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 hidePivotFieldList="1"/>
  <xr:revisionPtr revIDLastSave="0" documentId="13_ncr:1_{CA937B4E-88F9-4E8B-A47C-836FE069F050}" xr6:coauthVersionLast="47" xr6:coauthVersionMax="47" xr10:uidLastSave="{00000000-0000-0000-0000-000000000000}"/>
  <bookViews>
    <workbookView xWindow="792" yWindow="1284" windowWidth="17124" windowHeight="10680" xr2:uid="{00000000-000D-0000-FFFF-FFFF00000000}"/>
  </bookViews>
  <sheets>
    <sheet name="目次" sheetId="54" r:id="rId1"/>
    <sheet name="産業大分類" sheetId="5" r:id="rId2"/>
    <sheet name="産業中分類" sheetId="6" r:id="rId3"/>
    <sheet name="産業小分類" sheetId="7" r:id="rId4"/>
    <sheet name="静岡県" sheetId="8" r:id="rId5"/>
    <sheet name="静岡市" sheetId="9" r:id="rId6"/>
    <sheet name="静岡市葵区" sheetId="10" r:id="rId7"/>
    <sheet name="静岡市駿河区" sheetId="11" r:id="rId8"/>
    <sheet name="静岡市清水区" sheetId="12" r:id="rId9"/>
    <sheet name="浜松市" sheetId="13" r:id="rId10"/>
    <sheet name="浜松市中区" sheetId="14" r:id="rId11"/>
    <sheet name="浜松市東区" sheetId="15" r:id="rId12"/>
    <sheet name="浜松市西区" sheetId="16" r:id="rId13"/>
    <sheet name="浜松市南区" sheetId="17" r:id="rId14"/>
    <sheet name="浜松市北区" sheetId="18" r:id="rId15"/>
    <sheet name="浜松市浜北区" sheetId="19" r:id="rId16"/>
    <sheet name="浜松市天竜区" sheetId="20" r:id="rId17"/>
    <sheet name="沼津市" sheetId="21" r:id="rId18"/>
    <sheet name="熱海市" sheetId="22" r:id="rId19"/>
    <sheet name="三島市" sheetId="23" r:id="rId20"/>
    <sheet name="富士宮市" sheetId="24" r:id="rId21"/>
    <sheet name="伊東市" sheetId="25" r:id="rId22"/>
    <sheet name="島田市" sheetId="26" r:id="rId23"/>
    <sheet name="富士市" sheetId="27" r:id="rId24"/>
    <sheet name="磐田市" sheetId="28" r:id="rId25"/>
    <sheet name="焼津市" sheetId="29" r:id="rId26"/>
    <sheet name="掛川市" sheetId="30" r:id="rId27"/>
    <sheet name="藤枝市" sheetId="31" r:id="rId28"/>
    <sheet name="御殿場市" sheetId="32" r:id="rId29"/>
    <sheet name="袋井市" sheetId="33" r:id="rId30"/>
    <sheet name="下田市" sheetId="34" r:id="rId31"/>
    <sheet name="裾野市" sheetId="35" r:id="rId32"/>
    <sheet name="湖西市" sheetId="36" r:id="rId33"/>
    <sheet name="伊豆市" sheetId="37" r:id="rId34"/>
    <sheet name="御前崎市" sheetId="38" r:id="rId35"/>
    <sheet name="菊川市" sheetId="39" r:id="rId36"/>
    <sheet name="伊豆の国市" sheetId="40" r:id="rId37"/>
    <sheet name="牧之原市" sheetId="41" r:id="rId38"/>
    <sheet name="賀茂郡東伊豆町" sheetId="42" r:id="rId39"/>
    <sheet name="賀茂郡河津町" sheetId="43" r:id="rId40"/>
    <sheet name="賀茂郡南伊豆町" sheetId="44" r:id="rId41"/>
    <sheet name="賀茂郡松崎町" sheetId="45" r:id="rId42"/>
    <sheet name="賀茂郡西伊豆町" sheetId="46" r:id="rId43"/>
    <sheet name="田方郡函南町" sheetId="47" r:id="rId44"/>
    <sheet name="駿東郡清水町" sheetId="48" r:id="rId45"/>
    <sheet name="駿東郡長泉町" sheetId="49" r:id="rId46"/>
    <sheet name="駿東郡小山町" sheetId="50" r:id="rId47"/>
    <sheet name="榛原郡吉田町" sheetId="51" r:id="rId48"/>
    <sheet name="榛原郡川根本町" sheetId="52" r:id="rId49"/>
    <sheet name="周智郡森町" sheetId="53" r:id="rId50"/>
  </sheets>
  <definedNames>
    <definedName name="_xlnm.Print_Titles" localSheetId="3">産業小分類!$1:$1</definedName>
    <definedName name="_xlnm.Print_Titles" localSheetId="1">産業大分類!$1:$1</definedName>
    <definedName name="_xlnm.Print_Titles" localSheetId="2">産業中分類!$1:$1</definedName>
  </definedNames>
  <calcPr calcId="191029"/>
  <pivotCaches>
    <pivotCache cacheId="2191" r:id="rId51"/>
    <pivotCache cacheId="2192" r:id="rId52"/>
    <pivotCache cacheId="2193" r:id="rId5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53" l="1"/>
  <c r="G21" i="53"/>
  <c r="E21" i="53"/>
  <c r="I20" i="53"/>
  <c r="G20" i="53"/>
  <c r="E20" i="53"/>
  <c r="C20" i="53"/>
  <c r="I21" i="52"/>
  <c r="G21" i="52"/>
  <c r="E21" i="52"/>
  <c r="I20" i="52"/>
  <c r="G20" i="52"/>
  <c r="E20" i="52"/>
  <c r="C20" i="52"/>
  <c r="I21" i="51"/>
  <c r="G21" i="51"/>
  <c r="E21" i="51"/>
  <c r="I20" i="51"/>
  <c r="G20" i="51"/>
  <c r="E20" i="51"/>
  <c r="C20" i="51"/>
  <c r="I21" i="50"/>
  <c r="G21" i="50"/>
  <c r="E21" i="50"/>
  <c r="I20" i="50"/>
  <c r="G20" i="50"/>
  <c r="E20" i="50"/>
  <c r="C20" i="50"/>
  <c r="I21" i="49"/>
  <c r="G21" i="49"/>
  <c r="E21" i="49"/>
  <c r="I20" i="49"/>
  <c r="G20" i="49"/>
  <c r="E20" i="49"/>
  <c r="C20" i="49"/>
  <c r="I21" i="48"/>
  <c r="G21" i="48"/>
  <c r="E21" i="48"/>
  <c r="I20" i="48"/>
  <c r="G20" i="48"/>
  <c r="E20" i="48"/>
  <c r="C20" i="48"/>
  <c r="I21" i="47"/>
  <c r="G21" i="47"/>
  <c r="E21" i="47"/>
  <c r="I20" i="47"/>
  <c r="G20" i="47"/>
  <c r="E20" i="47"/>
  <c r="C20" i="47"/>
  <c r="I21" i="46"/>
  <c r="G21" i="46"/>
  <c r="E21" i="46"/>
  <c r="I20" i="46"/>
  <c r="G20" i="46"/>
  <c r="E20" i="46"/>
  <c r="C20" i="46"/>
  <c r="I21" i="45"/>
  <c r="G21" i="45"/>
  <c r="E21" i="45"/>
  <c r="I20" i="45"/>
  <c r="G20" i="45"/>
  <c r="E20" i="45"/>
  <c r="C20" i="45"/>
  <c r="I21" i="44"/>
  <c r="G21" i="44"/>
  <c r="E21" i="44"/>
  <c r="I20" i="44"/>
  <c r="G20" i="44"/>
  <c r="E20" i="44"/>
  <c r="C20" i="44"/>
  <c r="I21" i="43"/>
  <c r="G21" i="43"/>
  <c r="E21" i="43"/>
  <c r="I20" i="43"/>
  <c r="G20" i="43"/>
  <c r="E20" i="43"/>
  <c r="C20" i="43"/>
  <c r="I21" i="42"/>
  <c r="G21" i="42"/>
  <c r="E21" i="42"/>
  <c r="I20" i="42"/>
  <c r="G20" i="42"/>
  <c r="E20" i="42"/>
  <c r="C20" i="42"/>
  <c r="I21" i="41"/>
  <c r="G21" i="41"/>
  <c r="E21" i="41"/>
  <c r="I20" i="41"/>
  <c r="G20" i="41"/>
  <c r="E20" i="41"/>
  <c r="C20" i="41"/>
  <c r="I21" i="40"/>
  <c r="G21" i="40"/>
  <c r="E21" i="40"/>
  <c r="I20" i="40"/>
  <c r="G20" i="40"/>
  <c r="E20" i="40"/>
  <c r="C20" i="40"/>
  <c r="I21" i="39"/>
  <c r="G21" i="39"/>
  <c r="E21" i="39"/>
  <c r="I20" i="39"/>
  <c r="G20" i="39"/>
  <c r="E20" i="39"/>
  <c r="C20" i="39"/>
  <c r="I21" i="38"/>
  <c r="G21" i="38"/>
  <c r="E21" i="38"/>
  <c r="I20" i="38"/>
  <c r="G20" i="38"/>
  <c r="E20" i="38"/>
  <c r="C20" i="38"/>
  <c r="I21" i="37"/>
  <c r="G21" i="37"/>
  <c r="E21" i="37"/>
  <c r="I20" i="37"/>
  <c r="G20" i="37"/>
  <c r="E20" i="37"/>
  <c r="C20" i="37"/>
  <c r="I21" i="36"/>
  <c r="G21" i="36"/>
  <c r="E21" i="36"/>
  <c r="I20" i="36"/>
  <c r="G20" i="36"/>
  <c r="E20" i="36"/>
  <c r="C20" i="36"/>
  <c r="I21" i="35"/>
  <c r="G21" i="35"/>
  <c r="E21" i="35"/>
  <c r="I20" i="35"/>
  <c r="G20" i="35"/>
  <c r="E20" i="35"/>
  <c r="C20" i="35"/>
  <c r="I21" i="34"/>
  <c r="G21" i="34"/>
  <c r="E21" i="34"/>
  <c r="I20" i="34"/>
  <c r="G20" i="34"/>
  <c r="E20" i="34"/>
  <c r="C20" i="34"/>
  <c r="I21" i="33"/>
  <c r="G21" i="33"/>
  <c r="E21" i="33"/>
  <c r="I20" i="33"/>
  <c r="G20" i="33"/>
  <c r="E20" i="33"/>
  <c r="C20" i="33"/>
  <c r="I21" i="32"/>
  <c r="G21" i="32"/>
  <c r="E21" i="32"/>
  <c r="I20" i="32"/>
  <c r="G20" i="32"/>
  <c r="E20" i="32"/>
  <c r="C20" i="32"/>
  <c r="I21" i="31"/>
  <c r="G21" i="31"/>
  <c r="E21" i="31"/>
  <c r="I20" i="31"/>
  <c r="G20" i="31"/>
  <c r="E20" i="31"/>
  <c r="C20" i="31"/>
  <c r="I21" i="30"/>
  <c r="G21" i="30"/>
  <c r="E21" i="30"/>
  <c r="I20" i="30"/>
  <c r="G20" i="30"/>
  <c r="E20" i="30"/>
  <c r="C20" i="30"/>
  <c r="I21" i="29"/>
  <c r="G21" i="29"/>
  <c r="E21" i="29"/>
  <c r="I20" i="29"/>
  <c r="G20" i="29"/>
  <c r="E20" i="29"/>
  <c r="C20" i="29"/>
  <c r="I21" i="28"/>
  <c r="G21" i="28"/>
  <c r="E21" i="28"/>
  <c r="I20" i="28"/>
  <c r="G20" i="28"/>
  <c r="E20" i="28"/>
  <c r="C20" i="28"/>
  <c r="I21" i="27"/>
  <c r="G21" i="27"/>
  <c r="E21" i="27"/>
  <c r="I20" i="27"/>
  <c r="G20" i="27"/>
  <c r="E20" i="27"/>
  <c r="C20" i="27"/>
  <c r="I21" i="26"/>
  <c r="G21" i="26"/>
  <c r="E21" i="26"/>
  <c r="I20" i="26"/>
  <c r="G20" i="26"/>
  <c r="E20" i="26"/>
  <c r="C20" i="26"/>
  <c r="I21" i="25"/>
  <c r="G21" i="25"/>
  <c r="E21" i="25"/>
  <c r="I20" i="25"/>
  <c r="G20" i="25"/>
  <c r="E20" i="25"/>
  <c r="C20" i="25"/>
  <c r="I21" i="24"/>
  <c r="G21" i="24"/>
  <c r="E21" i="24"/>
  <c r="I20" i="24"/>
  <c r="G20" i="24"/>
  <c r="E20" i="24"/>
  <c r="C20" i="24"/>
  <c r="I21" i="23"/>
  <c r="G21" i="23"/>
  <c r="E21" i="23"/>
  <c r="I20" i="23"/>
  <c r="G20" i="23"/>
  <c r="E20" i="23"/>
  <c r="C20" i="23"/>
  <c r="I21" i="22"/>
  <c r="G21" i="22"/>
  <c r="E21" i="22"/>
  <c r="I20" i="22"/>
  <c r="G20" i="22"/>
  <c r="E20" i="22"/>
  <c r="C20" i="22"/>
  <c r="I21" i="21"/>
  <c r="G21" i="21"/>
  <c r="E21" i="21"/>
  <c r="I20" i="21"/>
  <c r="G20" i="21"/>
  <c r="E20" i="21"/>
  <c r="C20" i="21"/>
  <c r="I21" i="20"/>
  <c r="G21" i="20"/>
  <c r="E21" i="20"/>
  <c r="I20" i="20"/>
  <c r="G20" i="20"/>
  <c r="E20" i="20"/>
  <c r="C20" i="20"/>
  <c r="I21" i="19"/>
  <c r="G21" i="19"/>
  <c r="E21" i="19"/>
  <c r="I20" i="19"/>
  <c r="G20" i="19"/>
  <c r="E20" i="19"/>
  <c r="C20" i="19"/>
  <c r="I21" i="18"/>
  <c r="G21" i="18"/>
  <c r="E21" i="18"/>
  <c r="I20" i="18"/>
  <c r="G20" i="18"/>
  <c r="E20" i="18"/>
  <c r="C20" i="18"/>
  <c r="I21" i="17"/>
  <c r="G21" i="17"/>
  <c r="E21" i="17"/>
  <c r="I20" i="17"/>
  <c r="G20" i="17"/>
  <c r="E20" i="17"/>
  <c r="C20" i="17"/>
  <c r="I21" i="16"/>
  <c r="G21" i="16"/>
  <c r="E21" i="16"/>
  <c r="I20" i="16"/>
  <c r="G20" i="16"/>
  <c r="E20" i="16"/>
  <c r="C20" i="16"/>
  <c r="I21" i="15"/>
  <c r="G21" i="15"/>
  <c r="E21" i="15"/>
  <c r="I20" i="15"/>
  <c r="G20" i="15"/>
  <c r="E20" i="15"/>
  <c r="C20" i="15"/>
  <c r="I21" i="14"/>
  <c r="G21" i="14"/>
  <c r="E21" i="14"/>
  <c r="I20" i="14"/>
  <c r="G20" i="14"/>
  <c r="E20" i="14"/>
  <c r="C20" i="14"/>
  <c r="I21" i="13"/>
  <c r="G21" i="13"/>
  <c r="E21" i="13"/>
  <c r="I20" i="13"/>
  <c r="G20" i="13"/>
  <c r="E20" i="13"/>
  <c r="C20" i="13"/>
  <c r="I21" i="12"/>
  <c r="G21" i="12"/>
  <c r="E21" i="12"/>
  <c r="I20" i="12"/>
  <c r="G20" i="12"/>
  <c r="E20" i="12"/>
  <c r="C20" i="12"/>
  <c r="I21" i="11"/>
  <c r="G21" i="11"/>
  <c r="E21" i="11"/>
  <c r="I20" i="11"/>
  <c r="G20" i="11"/>
  <c r="E20" i="11"/>
  <c r="C20" i="11"/>
  <c r="I21" i="10"/>
  <c r="G21" i="10"/>
  <c r="E21" i="10"/>
  <c r="I20" i="10"/>
  <c r="G20" i="10"/>
  <c r="E20" i="10"/>
  <c r="C20" i="10"/>
  <c r="I21" i="9"/>
  <c r="G21" i="9"/>
  <c r="E21" i="9"/>
  <c r="I20" i="9"/>
  <c r="G20" i="9"/>
  <c r="E20" i="9"/>
  <c r="C20" i="9"/>
  <c r="I21" i="8"/>
  <c r="G21" i="8"/>
  <c r="E21" i="8"/>
  <c r="I20" i="8"/>
  <c r="G20" i="8"/>
  <c r="E20" i="8"/>
  <c r="C20" i="8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3000000}" name="ec2021 L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2" xr16:uid="{00000000-0015-0000-FFFF-FFFF06000000}" name="ec2021 M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  <connection id="3" xr16:uid="{00000000-0015-0000-FFFF-FFFF08000000}" name="ec2021 S" type="1" refreshedVersion="8" deleted="1" saveData="1">
    <dbPr connection="" command="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<sst xmlns="http://schemas.openxmlformats.org/spreadsheetml/2006/main" count="6656" uniqueCount="287">
  <si>
    <t>22000 静岡県</t>
  </si>
  <si>
    <t>22100 静岡市</t>
  </si>
  <si>
    <t>22101 静岡市葵区</t>
  </si>
  <si>
    <t>22102 静岡市駿河区</t>
  </si>
  <si>
    <t>22103 静岡市清水区</t>
  </si>
  <si>
    <t>22130 浜松市</t>
  </si>
  <si>
    <t>22131 浜松市中区</t>
  </si>
  <si>
    <t>22132 浜松市東区</t>
  </si>
  <si>
    <t>22133 浜松市西区</t>
  </si>
  <si>
    <t>22134 浜松市南区</t>
  </si>
  <si>
    <t>22135 浜松市北区</t>
  </si>
  <si>
    <t>22136 浜松市浜北区</t>
  </si>
  <si>
    <t>22137 浜松市天竜区</t>
  </si>
  <si>
    <t>22203 沼津市</t>
  </si>
  <si>
    <t>22205 熱海市</t>
  </si>
  <si>
    <t>22206 三島市</t>
  </si>
  <si>
    <t>22207 富士宮市</t>
  </si>
  <si>
    <t>22208 伊東市</t>
  </si>
  <si>
    <t>22209 島田市</t>
  </si>
  <si>
    <t>22210 富士市</t>
  </si>
  <si>
    <t>22211 磐田市</t>
  </si>
  <si>
    <t>22212 焼津市</t>
  </si>
  <si>
    <t>22213 掛川市</t>
  </si>
  <si>
    <t>22214 藤枝市</t>
  </si>
  <si>
    <t>22215 御殿場市</t>
  </si>
  <si>
    <t>22216 袋井市</t>
  </si>
  <si>
    <t>22219 下田市</t>
  </si>
  <si>
    <t>22220 裾野市</t>
  </si>
  <si>
    <t>22221 湖西市</t>
  </si>
  <si>
    <t>22222 伊豆市</t>
  </si>
  <si>
    <t>22223 御前崎市</t>
  </si>
  <si>
    <t>22224 菊川市</t>
  </si>
  <si>
    <t>22225 伊豆の国市</t>
  </si>
  <si>
    <t>22226 牧之原市</t>
  </si>
  <si>
    <t>22301 賀茂郡東伊豆町</t>
  </si>
  <si>
    <t>22302 賀茂郡河津町</t>
  </si>
  <si>
    <t>22304 賀茂郡南伊豆町</t>
  </si>
  <si>
    <t>22305 賀茂郡松崎町</t>
  </si>
  <si>
    <t>22306 賀茂郡西伊豆町</t>
  </si>
  <si>
    <t>22325 田方郡函南町</t>
  </si>
  <si>
    <t>22341 駿東郡清水町</t>
  </si>
  <si>
    <t>22342 駿東郡長泉町</t>
  </si>
  <si>
    <t>22344 駿東郡小山町</t>
  </si>
  <si>
    <t>22424 榛原郡吉田町</t>
  </si>
  <si>
    <t>22429 榛原郡川根本町</t>
  </si>
  <si>
    <t>22461 周智郡森町</t>
  </si>
  <si>
    <t>C 鉱業，採石業，砂利採取業</t>
  </si>
  <si>
    <t>D 建設業</t>
  </si>
  <si>
    <t>E 製造業</t>
  </si>
  <si>
    <t>F 電気・ガス・熱供給・水道業</t>
  </si>
  <si>
    <t>G 情報通信業</t>
  </si>
  <si>
    <t>H 運輸業，郵便業</t>
  </si>
  <si>
    <t>I 卸売業，小売業</t>
  </si>
  <si>
    <t>J 金融業，保険業</t>
  </si>
  <si>
    <t>K 不動産業，物品賃貸業</t>
  </si>
  <si>
    <t>L 学術研究，専門・技術サービス業</t>
  </si>
  <si>
    <t>M 宿泊業，飲食サービス業</t>
  </si>
  <si>
    <t>N 生活関連サービス業，娯楽業</t>
  </si>
  <si>
    <t>O 教育，学習支援業</t>
  </si>
  <si>
    <t>P 医療，福祉</t>
  </si>
  <si>
    <t>R サービス業（他に分類されないもの）</t>
  </si>
  <si>
    <t>自治体／産業大分類</t>
  </si>
  <si>
    <t>総数／事業所数</t>
  </si>
  <si>
    <t>総数／構成比</t>
  </si>
  <si>
    <t>個人／事業所数</t>
  </si>
  <si>
    <t>個人／構成比</t>
  </si>
  <si>
    <t>法人／事業所数</t>
  </si>
  <si>
    <t>法人／構成比</t>
  </si>
  <si>
    <t>法人以外の団体／事業所数</t>
  </si>
  <si>
    <t>06 総合工事業</t>
  </si>
  <si>
    <t>07 職別工事業（設備工事業を除く）</t>
  </si>
  <si>
    <t>08 設備工事業</t>
  </si>
  <si>
    <t>24 金属製品製造業</t>
  </si>
  <si>
    <t>26 生産用機械器具製造業</t>
  </si>
  <si>
    <t>53 建築材料，鉱物・金属材料等卸売業</t>
  </si>
  <si>
    <t>54 機械器具卸売業</t>
  </si>
  <si>
    <t>57 織物・衣服・身の回り品小売業</t>
  </si>
  <si>
    <t>58 飲食料品小売業</t>
  </si>
  <si>
    <t>59 機械器具小売業</t>
  </si>
  <si>
    <t>60 その他の小売業</t>
  </si>
  <si>
    <t>68 不動産取引業</t>
  </si>
  <si>
    <t>69 不動産賃貸業・管理業</t>
  </si>
  <si>
    <t>72 専門サービス業（他に分類されないもの）</t>
  </si>
  <si>
    <t>74 技術サービス業（他に分類されないもの）</t>
  </si>
  <si>
    <t>76 飲食店</t>
  </si>
  <si>
    <t>78 洗濯・理容・美容・浴場業</t>
  </si>
  <si>
    <t>82 その他の教育，学習支援業</t>
  </si>
  <si>
    <t>83 医療業</t>
  </si>
  <si>
    <t>89 自動車整備業</t>
  </si>
  <si>
    <t>55 その他の卸売業</t>
  </si>
  <si>
    <t>85 社会保険・社会福祉・介護事業</t>
  </si>
  <si>
    <t>13 家具・装備品製造業</t>
  </si>
  <si>
    <t>32 その他の製造業</t>
  </si>
  <si>
    <t>52 飲食料品卸売業</t>
  </si>
  <si>
    <t>31 輸送用機械器具製造業</t>
  </si>
  <si>
    <t>79 その他の生活関連サービス業</t>
  </si>
  <si>
    <t>11 繊維工業</t>
  </si>
  <si>
    <t>10 飲料・たばこ・飼料製造業</t>
  </si>
  <si>
    <t>12 木材・木製品製造業（家具を除く）</t>
  </si>
  <si>
    <t>75 宿泊業</t>
  </si>
  <si>
    <t>09 食料品製造業</t>
  </si>
  <si>
    <t>80 娯楽業</t>
  </si>
  <si>
    <t>92 その他の事業サービス業</t>
  </si>
  <si>
    <t>77 持ち帰り・配達飲食サービス業</t>
  </si>
  <si>
    <t>70 物品賃貸業</t>
  </si>
  <si>
    <t>27 業務用機械器具製造業</t>
  </si>
  <si>
    <t>95 その他のサービス業</t>
  </si>
  <si>
    <t>18 プラスチック製品製造業（別掲を除く）</t>
  </si>
  <si>
    <t>33 電気業</t>
  </si>
  <si>
    <t>90 機械等修理業（別掲を除く）</t>
  </si>
  <si>
    <t>61 無店舗小売業</t>
  </si>
  <si>
    <t>88 廃棄物処理業</t>
  </si>
  <si>
    <t>29 電気機械器具製造業</t>
  </si>
  <si>
    <t>20 なめし革・同製品・毛皮製造業</t>
  </si>
  <si>
    <t>自治体</t>
  </si>
  <si>
    <t>産業中分類</t>
  </si>
  <si>
    <t>062 土木工事業（舗装工事業を除く）</t>
  </si>
  <si>
    <t>064 建築工事業（木造建築工事業を除く）</t>
  </si>
  <si>
    <t>065 木造建築工事業</t>
  </si>
  <si>
    <t>081 電気工事業</t>
  </si>
  <si>
    <t>083 管工事業（さく井工事業を除く）</t>
  </si>
  <si>
    <t>589 その他の飲食料品小売業</t>
  </si>
  <si>
    <t>591 自動車小売業</t>
  </si>
  <si>
    <t>603 医薬品・化粧品小売業</t>
  </si>
  <si>
    <t>609 他に分類されない小売業</t>
  </si>
  <si>
    <t>691 不動産賃貸業（貸家業，貸間業を除く）</t>
  </si>
  <si>
    <t>692 貸家業，貸間業</t>
  </si>
  <si>
    <t>742 土木建築サービス業</t>
  </si>
  <si>
    <t>762 専門料理店</t>
  </si>
  <si>
    <t>765 酒場，ビヤホール</t>
  </si>
  <si>
    <t>766 バー，キャバレー，ナイトクラブ</t>
  </si>
  <si>
    <t>782 理容業</t>
  </si>
  <si>
    <t>783 美容業</t>
  </si>
  <si>
    <t>824 教養・技能教授業</t>
  </si>
  <si>
    <t>835 療術業</t>
  </si>
  <si>
    <t>891 自動車整備業</t>
  </si>
  <si>
    <t>586 菓子・パン小売業</t>
  </si>
  <si>
    <t>573 婦人・子供服小売業</t>
  </si>
  <si>
    <t>682 不動産代理業・仲介業</t>
  </si>
  <si>
    <t>767 喫茶店</t>
  </si>
  <si>
    <t>781 洗濯業</t>
  </si>
  <si>
    <t>131 家具製造業</t>
  </si>
  <si>
    <t>541 産業機械器具卸売業</t>
  </si>
  <si>
    <t>559 他に分類されない卸売業</t>
  </si>
  <si>
    <t>077 塗装工事業</t>
  </si>
  <si>
    <t>311 自動車・同附属品製造業</t>
  </si>
  <si>
    <t>693 駐車場業</t>
  </si>
  <si>
    <t>694 不動産管理業</t>
  </si>
  <si>
    <t>724 公認会計士事務所，税理士事務所</t>
  </si>
  <si>
    <t>066 建築リフォーム工事業</t>
  </si>
  <si>
    <t>079 その他の職別工事業</t>
  </si>
  <si>
    <t>266 金属加工機械製造業</t>
  </si>
  <si>
    <t>244 建設用・建築用金属製品製造業（製缶板金業を含む）</t>
  </si>
  <si>
    <t>823 学習塾</t>
  </si>
  <si>
    <t>072 とび・土工・コンクリート工事業</t>
  </si>
  <si>
    <t>593 機械器具小売業（自動車，自転車を除く）</t>
  </si>
  <si>
    <t>071 大工工事業</t>
  </si>
  <si>
    <t>103 茶・コーヒー製造業（清涼飲料を除く）</t>
  </si>
  <si>
    <t>121 製材業，木製品製造業</t>
  </si>
  <si>
    <t>605 燃料小売業</t>
  </si>
  <si>
    <t>751 旅館，ホテル</t>
  </si>
  <si>
    <t>761 食堂，レストラン（専門料理店を除く）</t>
  </si>
  <si>
    <t>769 その他の飲食店</t>
  </si>
  <si>
    <t>759 その他の宿泊業</t>
  </si>
  <si>
    <t>853 児童福祉事業</t>
  </si>
  <si>
    <t>092 水産食料品製造業</t>
  </si>
  <si>
    <t>521 農畜産物・水産物卸売業</t>
  </si>
  <si>
    <t>789 その他の洗濯・理容・美容・浴場業</t>
  </si>
  <si>
    <t>607 スポーツ用品・がん具・娯楽用品・楽器小売業</t>
  </si>
  <si>
    <t>752 簡易宿所</t>
  </si>
  <si>
    <t>809 その他の娯楽業</t>
  </si>
  <si>
    <t>772 配達飲食サービス業</t>
  </si>
  <si>
    <t>078 床・内装工事業</t>
  </si>
  <si>
    <t>855 障害者福祉事業</t>
  </si>
  <si>
    <t>951 集会場</t>
  </si>
  <si>
    <t>076 板金・金物工事業</t>
  </si>
  <si>
    <t>929 他に分類されない事業サービス業</t>
  </si>
  <si>
    <t>075 左官工事業</t>
  </si>
  <si>
    <t>763 そば・うどん店</t>
  </si>
  <si>
    <t>531 建築材料卸売業</t>
  </si>
  <si>
    <t>582 野菜・果実小売業</t>
  </si>
  <si>
    <t>522 食料・飲料卸売業</t>
  </si>
  <si>
    <t>269 その他の生産用機械・同部分品製造業</t>
  </si>
  <si>
    <t>543 電気機械器具卸売業</t>
  </si>
  <si>
    <t>112 織物業</t>
  </si>
  <si>
    <t>585 酒小売業</t>
  </si>
  <si>
    <t>611 通信販売・訪問販売小売業</t>
  </si>
  <si>
    <t>833 歯科診療所</t>
  </si>
  <si>
    <t>産業小分類</t>
  </si>
  <si>
    <t>22000　静岡県</t>
  </si>
  <si>
    <t>産業大分類</t>
  </si>
  <si>
    <t>合計</t>
  </si>
  <si>
    <t>産業中分類上位２０</t>
    <phoneticPr fontId="1"/>
  </si>
  <si>
    <t>産業小分類上位２０</t>
    <phoneticPr fontId="1"/>
  </si>
  <si>
    <t>※当資料は『令和３年経済センサス-活動調査』の調査結果データより作成したものです。</t>
  </si>
  <si>
    <t>22100　静岡市</t>
  </si>
  <si>
    <t>22101　静岡市葵区</t>
  </si>
  <si>
    <t>22102　静岡市駿河区</t>
  </si>
  <si>
    <t>22103　静岡市清水区</t>
  </si>
  <si>
    <t>22130　浜松市</t>
  </si>
  <si>
    <t>22131　浜松市中区</t>
  </si>
  <si>
    <t>22132　浜松市東区</t>
  </si>
  <si>
    <t>22133　浜松市西区</t>
  </si>
  <si>
    <t>22134　浜松市南区</t>
  </si>
  <si>
    <t>22135　浜松市北区</t>
  </si>
  <si>
    <t>22136　浜松市浜北区</t>
  </si>
  <si>
    <t>22137　浜松市天竜区</t>
  </si>
  <si>
    <t>22203　沼津市</t>
  </si>
  <si>
    <t>22205　熱海市</t>
  </si>
  <si>
    <t>22206　三島市</t>
  </si>
  <si>
    <t>22207　富士宮市</t>
  </si>
  <si>
    <t>22208　伊東市</t>
  </si>
  <si>
    <t>22209　島田市</t>
  </si>
  <si>
    <t>22210　富士市</t>
  </si>
  <si>
    <t>22211　磐田市</t>
  </si>
  <si>
    <t>22212　焼津市</t>
  </si>
  <si>
    <t>22213　掛川市</t>
  </si>
  <si>
    <t>22214　藤枝市</t>
  </si>
  <si>
    <t>22215　御殿場市</t>
  </si>
  <si>
    <t>22216　袋井市</t>
  </si>
  <si>
    <t>22219　下田市</t>
  </si>
  <si>
    <t>22220　裾野市</t>
  </si>
  <si>
    <t>22221　湖西市</t>
  </si>
  <si>
    <t>22222　伊豆市</t>
  </si>
  <si>
    <t>22223　御前崎市</t>
  </si>
  <si>
    <t>22224　菊川市</t>
  </si>
  <si>
    <t>22225　伊豆の国市</t>
  </si>
  <si>
    <t>22226　牧之原市</t>
  </si>
  <si>
    <t>22301　賀茂郡東伊豆町</t>
  </si>
  <si>
    <t>22302　賀茂郡河津町</t>
  </si>
  <si>
    <t>22304　賀茂郡南伊豆町</t>
  </si>
  <si>
    <t>22305　賀茂郡松崎町</t>
  </si>
  <si>
    <t>22306　賀茂郡西伊豆町</t>
  </si>
  <si>
    <t>22325　田方郡函南町</t>
  </si>
  <si>
    <t>22341　駿東郡清水町</t>
  </si>
  <si>
    <t>22342　駿東郡長泉町</t>
  </si>
  <si>
    <t>22344　駿東郡小山町</t>
  </si>
  <si>
    <t>22424　榛原郡吉田町</t>
  </si>
  <si>
    <t>22429　榛原郡川根本町</t>
  </si>
  <si>
    <t>22461　周智郡森町</t>
  </si>
  <si>
    <t>静岡県</t>
  </si>
  <si>
    <t>静岡市</t>
  </si>
  <si>
    <t>静岡市葵区</t>
  </si>
  <si>
    <t>静岡市駿河区</t>
  </si>
  <si>
    <t>静岡市清水区</t>
  </si>
  <si>
    <t>浜松市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</si>
  <si>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</si>
  <si>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</si>
  <si>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</si>
  <si>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</si>
  <si>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</si>
  <si>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</si>
  <si>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</si>
  <si>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</si>
  <si>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</si>
  <si>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</si>
  <si>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</si>
  <si>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</si>
  <si>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</si>
  <si>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</si>
  <si>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</si>
  <si>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</si>
  <si>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</si>
  <si>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</si>
  <si>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</si>
  <si>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</si>
  <si>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</si>
  <si>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</si>
  <si>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</si>
  <si>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</si>
  <si>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</si>
  <si>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</si>
  <si>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</si>
  <si>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</si>
  <si>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賀茂郡東伊豆町</t>
  </si>
  <si>
    <t>賀茂郡河津町</t>
  </si>
  <si>
    <t>賀茂郡南伊豆町</t>
  </si>
  <si>
    <t>賀茂郡松崎町</t>
  </si>
  <si>
    <t>賀茂郡西伊豆町</t>
  </si>
  <si>
    <t>田方郡函南町</t>
  </si>
  <si>
    <t>駿東郡清水町</t>
  </si>
  <si>
    <t>駿東郡長泉町</t>
  </si>
  <si>
    <t>駿東郡小山町</t>
  </si>
  <si>
    <t>榛原郡吉田町</t>
  </si>
  <si>
    <t>榛原郡川根本町</t>
  </si>
  <si>
    <t>周智郡森町</t>
  </si>
  <si>
    <t>目次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</si>
</sst>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&quot;%&quot;"/>
    <numFmt numFmtId="178" formatCode="0.00_ &quot;%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pivotButton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3" fillId="0" borderId="0" xfId="0" pivotButton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0" fontId="0" fillId="0" borderId="0" xfId="0" applyNumberFormat="1">
      <alignment vertical="center"/>
    </xf>
    <xf numFmtId="38" fontId="0" fillId="0" borderId="0" xfId="1" applyFont="1">
      <alignment vertical="center"/>
    </xf>
    <xf numFmtId="0" fontId="4" fillId="0" borderId="0" xfId="2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694"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numFmt numFmtId="178" formatCode="0.00_ &quot;%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family val="2"/>
        <charset val="128"/>
        <scheme val="minor"/>
      </font>
    </dxf>
    <dxf>
      <alignment horizontal="center" vertical="center" textRotation="0" wrapText="0" indent="0" justifyLastLine="0" shrinkToFit="0" readingOrder="0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numFmt numFmtId="178" formatCode="0.00_ &quot;%&quot;"/>
    </dxf>
    <dxf>
      <numFmt numFmtId="176" formatCode="#,##0_ "/>
    </dxf>
    <dxf>
      <alignment horizontal="center"/>
    </dxf>
    <dxf>
      <alignment wrapText="1"/>
    </dxf>
    <dxf>
      <alignment horizontal="center"/>
    </dxf>
    <dxf>
      <font>
        <name val="ＭＳ Ｐゴシック"/>
        <family val="3"/>
        <charset val="128"/>
        <scheme val="minor"/>
      </font>
    </dxf>
    <dxf>
      <font>
        <name val="ＭＳ Ｐゴシック"/>
        <family val="3"/>
        <charset val="128"/>
        <scheme val="minor"/>
      </font>
    </dxf>
    <dxf>
      <font>
        <color theme="1"/>
        <family val="3"/>
        <charset val="128"/>
      </font>
    </dxf>
    <dxf>
      <font>
        <color theme="1"/>
        <family val="3"/>
        <charset val="128"/>
      </font>
    </dxf>
    <dxf>
      <font>
        <sz val="10"/>
        <family val="3"/>
      </font>
    </dxf>
    <dxf>
      <font>
        <sz val="10"/>
        <family val="3"/>
      </font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numFmt numFmtId="177" formatCode="0.0_ &quot;%&quot;"/>
    </dxf>
    <dxf>
      <numFmt numFmtId="176" formatCode="#,##0_ 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onnections" Target="connection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pivotCacheDefinition" Target="pivotCache/pivotCacheDefinition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5390740739" createdVersion="5" refreshedVersion="8" minRefreshableVersion="3" recordCount="690" xr:uid="{695A4C51-878D-4F27-AAD9-271DDE0568D5}">
  <cacheSource type="external" connectionId="1"/>
  <cacheFields count="11">
    <cacheField name="都道府県" numFmtId="0" sqlType="-9">
      <sharedItems count="1">
        <s v="22 静岡県"/>
      </sharedItems>
    </cacheField>
    <cacheField name="自治体名" numFmtId="0" sqlType="-9">
      <sharedItems/>
    </cacheField>
    <cacheField name="自治体" numFmtId="0" sqlType="-9">
      <sharedItems count="46">
        <s v="22000 静岡県"/>
        <s v="22100 静岡市"/>
        <s v="22101 静岡市葵区"/>
        <s v="22102 静岡市駿河区"/>
        <s v="22103 静岡市清水区"/>
        <s v="22130 浜松市"/>
        <s v="22131 浜松市中区"/>
        <s v="22132 浜松市東区"/>
        <s v="22133 浜松市西区"/>
        <s v="22134 浜松市南区"/>
        <s v="22135 浜松市北区"/>
        <s v="22136 浜松市浜北区"/>
        <s v="22137 浜松市天竜区"/>
        <s v="22203 沼津市"/>
        <s v="22205 熱海市"/>
        <s v="22206 三島市"/>
        <s v="22207 富士宮市"/>
        <s v="22208 伊東市"/>
        <s v="22209 島田市"/>
        <s v="22210 富士市"/>
        <s v="22211 磐田市"/>
        <s v="22212 焼津市"/>
        <s v="22213 掛川市"/>
        <s v="22214 藤枝市"/>
        <s v="22215 御殿場市"/>
        <s v="22216 袋井市"/>
        <s v="22219 下田市"/>
        <s v="22220 裾野市"/>
        <s v="22221 湖西市"/>
        <s v="22222 伊豆市"/>
        <s v="22223 御前崎市"/>
        <s v="22224 菊川市"/>
        <s v="22225 伊豆の国市"/>
        <s v="22226 牧之原市"/>
        <s v="22301 賀茂郡東伊豆町"/>
        <s v="22302 賀茂郡河津町"/>
        <s v="22304 賀茂郡南伊豆町"/>
        <s v="22305 賀茂郡松崎町"/>
        <s v="22306 賀茂郡西伊豆町"/>
        <s v="22325 田方郡函南町"/>
        <s v="22341 駿東郡清水町"/>
        <s v="22342 駿東郡長泉町"/>
        <s v="22344 駿東郡小山町"/>
        <s v="22424 榛原郡吉田町"/>
        <s v="22429 榛原郡川根本町"/>
        <s v="22461 周智郡森町"/>
      </sharedItems>
    </cacheField>
    <cacheField name="産業大分類" numFmtId="0" sqlType="-9">
      <sharedItems count="15">
        <s v="C 鉱業，採石業，砂利採取業"/>
        <s v="D 建設業"/>
        <s v="E 製造業"/>
        <s v="F 電気・ガス・熱供給・水道業"/>
        <s v="G 情報通信業"/>
        <s v="H 運輸業，郵便業"/>
        <s v="I 卸売業，小売業"/>
        <s v="J 金融業，保険業"/>
        <s v="K 不動産業，物品賃貸業"/>
        <s v="L 学術研究，専門・技術サービス業"/>
        <s v="M 宿泊業，飲食サービス業"/>
        <s v="N 生活関連サービス業，娯楽業"/>
        <s v="O 教育，学習支援業"/>
        <s v="P 医療，福祉"/>
        <s v="R サービス業（他に分類されないもの）"/>
      </sharedItems>
    </cacheField>
    <cacheField name="総数" numFmtId="0" sqlType="4">
      <sharedItems containsSemiMixedTypes="0" containsString="0" containsNumber="1" containsInteger="1" minValue="0" maxValue="21699"/>
    </cacheField>
    <cacheField name="構成比" numFmtId="0" sqlType="3">
      <sharedItems containsSemiMixedTypes="0" containsString="0" containsNumber="1" minValue="0" maxValue="32.159999999999997"/>
    </cacheField>
    <cacheField name="総数（個人）" numFmtId="0" sqlType="4">
      <sharedItems containsSemiMixedTypes="0" containsString="0" containsNumber="1" containsInteger="1" minValue="0" maxValue="10237"/>
    </cacheField>
    <cacheField name="構成比（個人）" numFmtId="0" sqlType="3">
      <sharedItems containsSemiMixedTypes="0" containsString="0" containsNumber="1" minValue="0" maxValue="39.01"/>
    </cacheField>
    <cacheField name="総数（法人）" numFmtId="0" sqlType="4">
      <sharedItems containsSemiMixedTypes="0" containsString="0" containsNumber="1" containsInteger="1" minValue="0" maxValue="11427"/>
    </cacheField>
    <cacheField name="構成比（法人）" numFmtId="0" sqlType="3">
      <sharedItems containsSemiMixedTypes="0" containsString="0" containsNumber="1" minValue="0" maxValue="39.08"/>
    </cacheField>
    <cacheField name="総数（法人以外の団体）" numFmtId="0" sqlType="4">
      <sharedItems containsSemiMixedTypes="0" containsString="0" containsNumber="1" containsInteger="1" minValue="0" maxValue="35" count="17">
        <n v="0"/>
        <n v="1"/>
        <n v="15"/>
        <n v="17"/>
        <n v="34"/>
        <n v="4"/>
        <n v="6"/>
        <n v="2"/>
        <n v="5"/>
        <n v="21"/>
        <n v="35"/>
        <n v="30"/>
        <n v="3"/>
        <n v="11"/>
        <n v="7"/>
        <n v="8"/>
        <n v="1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5516087961" createdVersion="5" refreshedVersion="8" minRefreshableVersion="3" recordCount="949" xr:uid="{7BA88265-499D-4A98-BD08-AA2EE08E3B39}">
  <cacheSource type="external" connectionId="2"/>
  <cacheFields count="14">
    <cacheField name="都道府県" numFmtId="0" sqlType="-9">
      <sharedItems count="1">
        <s v="22 静岡県"/>
      </sharedItems>
    </cacheField>
    <cacheField name="自治体名" numFmtId="0" sqlType="-9">
      <sharedItems count="46">
        <s v="静岡県"/>
        <s v="静岡市"/>
        <s v="静岡市葵区"/>
        <s v="静岡市駿河区"/>
        <s v="静岡市清水区"/>
        <s v="浜松市"/>
        <s v="浜松市中区"/>
        <s v="浜松市東区"/>
        <s v="浜松市西区"/>
        <s v="浜松市南区"/>
        <s v="浜松市北区"/>
        <s v="浜松市浜北区"/>
        <s v="浜松市天竜区"/>
        <s v="沼津市"/>
        <s v="熱海市"/>
        <s v="三島市"/>
        <s v="富士宮市"/>
        <s v="伊東市"/>
        <s v="島田市"/>
        <s v="富士市"/>
        <s v="磐田市"/>
        <s v="焼津市"/>
        <s v="掛川市"/>
        <s v="藤枝市"/>
        <s v="御殿場市"/>
        <s v="袋井市"/>
        <s v="下田市"/>
        <s v="裾野市"/>
        <s v="湖西市"/>
        <s v="伊豆市"/>
        <s v="御前崎市"/>
        <s v="菊川市"/>
        <s v="伊豆の国市"/>
        <s v="牧之原市"/>
        <s v="賀茂郡東伊豆町"/>
        <s v="賀茂郡河津町"/>
        <s v="賀茂郡南伊豆町"/>
        <s v="賀茂郡松崎町"/>
        <s v="賀茂郡西伊豆町"/>
        <s v="田方郡函南町"/>
        <s v="駿東郡清水町"/>
        <s v="駿東郡長泉町"/>
        <s v="駿東郡小山町"/>
        <s v="榛原郡吉田町"/>
        <s v="榛原郡川根本町"/>
        <s v="周智郡森町"/>
      </sharedItems>
    </cacheField>
    <cacheField name="自治体" numFmtId="0" sqlType="-9">
      <sharedItems count="46">
        <s v="22000 静岡県"/>
        <s v="22100 静岡市"/>
        <s v="22101 静岡市葵区"/>
        <s v="22102 静岡市駿河区"/>
        <s v="22103 静岡市清水区"/>
        <s v="22130 浜松市"/>
        <s v="22131 浜松市中区"/>
        <s v="22132 浜松市東区"/>
        <s v="22133 浜松市西区"/>
        <s v="22134 浜松市南区"/>
        <s v="22135 浜松市北区"/>
        <s v="22136 浜松市浜北区"/>
        <s v="22137 浜松市天竜区"/>
        <s v="22203 沼津市"/>
        <s v="22205 熱海市"/>
        <s v="22206 三島市"/>
        <s v="22207 富士宮市"/>
        <s v="22208 伊東市"/>
        <s v="22209 島田市"/>
        <s v="22210 富士市"/>
        <s v="22211 磐田市"/>
        <s v="22212 焼津市"/>
        <s v="22213 掛川市"/>
        <s v="22214 藤枝市"/>
        <s v="22215 御殿場市"/>
        <s v="22216 袋井市"/>
        <s v="22219 下田市"/>
        <s v="22220 裾野市"/>
        <s v="22221 湖西市"/>
        <s v="22222 伊豆市"/>
        <s v="22223 御前崎市"/>
        <s v="22224 菊川市"/>
        <s v="22225 伊豆の国市"/>
        <s v="22226 牧之原市"/>
        <s v="22301 賀茂郡東伊豆町"/>
        <s v="22302 賀茂郡河津町"/>
        <s v="22304 賀茂郡南伊豆町"/>
        <s v="22305 賀茂郡松崎町"/>
        <s v="22306 賀茂郡西伊豆町"/>
        <s v="22325 田方郡函南町"/>
        <s v="22341 駿東郡清水町"/>
        <s v="22342 駿東郡長泉町"/>
        <s v="22344 駿東郡小山町"/>
        <s v="22424 榛原郡吉田町"/>
        <s v="22429 榛原郡川根本町"/>
        <s v="22461 周智郡森町"/>
      </sharedItems>
    </cacheField>
    <cacheField name="産業分類コード" numFmtId="0" sqlType="-8">
      <sharedItems count="45">
        <s v="76"/>
        <s v="78"/>
        <s v="69"/>
        <s v="60"/>
        <s v="06"/>
        <s v="07"/>
        <s v="58"/>
        <s v="82"/>
        <s v="08"/>
        <s v="59"/>
        <s v="83"/>
        <s v="72"/>
        <s v="57"/>
        <s v="74"/>
        <s v="54"/>
        <s v="24"/>
        <s v="53"/>
        <s v="68"/>
        <s v="26"/>
        <s v="89"/>
        <s v="55"/>
        <s v="85"/>
        <s v="13"/>
        <s v="32"/>
        <s v="52"/>
        <s v="31"/>
        <s v="79"/>
        <s v="11"/>
        <s v="12"/>
        <s v="10"/>
        <s v="75"/>
        <s v="09"/>
        <s v="80"/>
        <s v="92"/>
        <s v="77"/>
        <s v="70"/>
        <s v="27"/>
        <s v="95"/>
        <s v="18"/>
        <s v="33"/>
        <s v="90"/>
        <s v="61"/>
        <s v="88"/>
        <s v="29"/>
        <s v="20"/>
      </sharedItems>
    </cacheField>
    <cacheField name="産業分類" numFmtId="0" sqlType="-9">
      <sharedItems count="45">
        <s v="飲食店"/>
        <s v="洗濯・理容・美容・浴場業"/>
        <s v="不動産賃貸業・管理業"/>
        <s v="その他の小売業"/>
        <s v="総合工事業"/>
        <s v="職別工事業（設備工事業を除く）"/>
        <s v="飲食料品小売業"/>
        <s v="その他の教育，学習支援業"/>
        <s v="設備工事業"/>
        <s v="機械器具小売業"/>
        <s v="医療業"/>
        <s v="専門サービス業（他に分類されないもの）"/>
        <s v="織物・衣服・身の回り品小売業"/>
        <s v="技術サービス業（他に分類されないもの）"/>
        <s v="機械器具卸売業"/>
        <s v="金属製品製造業"/>
        <s v="建築材料，鉱物・金属材料等卸売業"/>
        <s v="不動産取引業"/>
        <s v="生産用機械器具製造業"/>
        <s v="自動車整備業"/>
        <s v="その他の卸売業"/>
        <s v="社会保険・社会福祉・介護事業"/>
        <s v="家具・装備品製造業"/>
        <s v="その他の製造業"/>
        <s v="飲食料品卸売業"/>
        <s v="輸送用機械器具製造業"/>
        <s v="その他の生活関連サービス業"/>
        <s v="繊維工業"/>
        <s v="木材・木製品製造業（家具を除く）"/>
        <s v="飲料・たばこ・飼料製造業"/>
        <s v="宿泊業"/>
        <s v="食料品製造業"/>
        <s v="娯楽業"/>
        <s v="その他の事業サービス業"/>
        <s v="持ち帰り・配達飲食サービス業"/>
        <s v="物品賃貸業"/>
        <s v="業務用機械器具製造業"/>
        <s v="その他のサービス業"/>
        <s v="プラスチック製品製造業（別掲を除く）"/>
        <s v="電気業"/>
        <s v="機械等修理業（別掲を除く）"/>
        <s v="無店舗小売業"/>
        <s v="廃棄物処理業"/>
        <s v="電気機械器具製造業"/>
        <s v="なめし革・同製品・毛皮製造業"/>
      </sharedItems>
    </cacheField>
    <cacheField name="産業中分類" numFmtId="0" sqlType="-9">
      <sharedItems count="45">
        <s v="76 飲食店"/>
        <s v="78 洗濯・理容・美容・浴場業"/>
        <s v="69 不動産賃貸業・管理業"/>
        <s v="60 その他の小売業"/>
        <s v="06 総合工事業"/>
        <s v="07 職別工事業（設備工事業を除く）"/>
        <s v="58 飲食料品小売業"/>
        <s v="82 その他の教育，学習支援業"/>
        <s v="08 設備工事業"/>
        <s v="59 機械器具小売業"/>
        <s v="83 医療業"/>
        <s v="72 専門サービス業（他に分類されないもの）"/>
        <s v="57 織物・衣服・身の回り品小売業"/>
        <s v="74 技術サービス業（他に分類されないもの）"/>
        <s v="54 機械器具卸売業"/>
        <s v="24 金属製品製造業"/>
        <s v="53 建築材料，鉱物・金属材料等卸売業"/>
        <s v="68 不動産取引業"/>
        <s v="26 生産用機械器具製造業"/>
        <s v="89 自動車整備業"/>
        <s v="55 その他の卸売業"/>
        <s v="85 社会保険・社会福祉・介護事業"/>
        <s v="13 家具・装備品製造業"/>
        <s v="32 その他の製造業"/>
        <s v="52 飲食料品卸売業"/>
        <s v="31 輸送用機械器具製造業"/>
        <s v="79 その他の生活関連サービス業"/>
        <s v="11 繊維工業"/>
        <s v="12 木材・木製品製造業（家具を除く）"/>
        <s v="10 飲料・たばこ・飼料製造業"/>
        <s v="75 宿泊業"/>
        <s v="09 食料品製造業"/>
        <s v="80 娯楽業"/>
        <s v="92 その他の事業サービス業"/>
        <s v="77 持ち帰り・配達飲食サービス業"/>
        <s v="70 物品賃貸業"/>
        <s v="27 業務用機械器具製造業"/>
        <s v="95 その他のサービス業"/>
        <s v="18 プラスチック製品製造業（別掲を除く）"/>
        <s v="33 電気業"/>
        <s v="90 機械等修理業（別掲を除く）"/>
        <s v="61 無店舗小売業"/>
        <s v="88 廃棄物処理業"/>
        <s v="29 電気機械器具製造業"/>
        <s v="20 なめし革・同製品・毛皮製造業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2" maxValue="9907" count="303">
        <n v="9907"/>
        <n v="9697"/>
        <n v="7328"/>
        <n v="5734"/>
        <n v="5698"/>
        <n v="4682"/>
        <n v="4529"/>
        <n v="3559"/>
        <n v="3469"/>
        <n v="3091"/>
        <n v="2919"/>
        <n v="2573"/>
        <n v="2434"/>
        <n v="2063"/>
        <n v="1394"/>
        <n v="1343"/>
        <n v="1341"/>
        <n v="1339"/>
        <n v="1303"/>
        <n v="1260"/>
        <n v="2055"/>
        <n v="1970"/>
        <n v="1385"/>
        <n v="1135"/>
        <n v="930"/>
        <n v="908"/>
        <n v="898"/>
        <n v="679"/>
        <n v="662"/>
        <n v="647"/>
        <n v="589"/>
        <n v="574"/>
        <n v="551"/>
        <n v="433"/>
        <n v="412"/>
        <n v="345"/>
        <n v="338"/>
        <n v="306"/>
        <n v="287"/>
        <n v="270"/>
        <n v="980"/>
        <n v="790"/>
        <n v="526"/>
        <n v="517"/>
        <n v="391"/>
        <n v="340"/>
        <n v="329"/>
        <n v="320"/>
        <n v="278"/>
        <n v="254"/>
        <n v="229"/>
        <n v="204"/>
        <n v="196"/>
        <n v="163"/>
        <n v="143"/>
        <n v="133"/>
        <n v="132"/>
        <n v="126"/>
        <n v="114"/>
        <n v="113"/>
        <n v="508"/>
        <n v="475"/>
        <n v="409"/>
        <n v="297"/>
        <n v="274"/>
        <n v="252"/>
        <n v="246"/>
        <n v="189"/>
        <n v="176"/>
        <n v="168"/>
        <n v="160"/>
        <n v="159"/>
        <n v="156"/>
        <n v="131"/>
        <n v="127"/>
        <n v="121"/>
        <n v="110"/>
        <n v="104"/>
        <n v="86"/>
        <n v="672"/>
        <n v="666"/>
        <n v="384"/>
        <n v="380"/>
        <n v="372"/>
        <n v="348"/>
        <n v="293"/>
        <n v="264"/>
        <n v="224"/>
        <n v="194"/>
        <n v="150"/>
        <n v="116"/>
        <n v="100"/>
        <n v="99"/>
        <n v="93"/>
        <n v="85"/>
        <n v="1757"/>
        <n v="1590"/>
        <n v="1152"/>
        <n v="1080"/>
        <n v="973"/>
        <n v="735"/>
        <n v="734"/>
        <n v="716"/>
        <n v="703"/>
        <n v="701"/>
        <n v="615"/>
        <n v="434"/>
        <n v="378"/>
        <n v="359"/>
        <n v="303"/>
        <n v="295"/>
        <n v="294"/>
        <n v="277"/>
        <n v="979"/>
        <n v="720"/>
        <n v="400"/>
        <n v="365"/>
        <n v="276"/>
        <n v="257"/>
        <n v="233"/>
        <n v="209"/>
        <n v="192"/>
        <n v="173"/>
        <n v="164"/>
        <n v="140"/>
        <n v="102"/>
        <n v="87"/>
        <n v="312"/>
        <n v="234"/>
        <n v="208"/>
        <n v="199"/>
        <n v="161"/>
        <n v="151"/>
        <n v="128"/>
        <n v="105"/>
        <n v="101"/>
        <n v="96"/>
        <n v="81"/>
        <n v="78"/>
        <n v="76"/>
        <n v="74"/>
        <n v="66"/>
        <n v="222"/>
        <n v="162"/>
        <n v="142"/>
        <n v="91"/>
        <n v="90"/>
        <n v="65"/>
        <n v="59"/>
        <n v="45"/>
        <n v="43"/>
        <n v="42"/>
        <n v="34"/>
        <n v="33"/>
        <n v="31"/>
        <n v="205"/>
        <n v="144"/>
        <n v="139"/>
        <n v="123"/>
        <n v="119"/>
        <n v="108"/>
        <n v="83"/>
        <n v="71"/>
        <n v="70"/>
        <n v="58"/>
        <n v="55"/>
        <n v="53"/>
        <n v="44"/>
        <n v="39"/>
        <n v="37"/>
        <n v="223"/>
        <n v="155"/>
        <n v="97"/>
        <n v="95"/>
        <n v="35"/>
        <n v="30"/>
        <n v="29"/>
        <n v="28"/>
        <n v="203"/>
        <n v="185"/>
        <n v="167"/>
        <n v="138"/>
        <n v="103"/>
        <n v="57"/>
        <n v="51"/>
        <n v="48"/>
        <n v="32"/>
        <n v="73"/>
        <n v="72"/>
        <n v="56"/>
        <n v="38"/>
        <n v="25"/>
        <n v="24"/>
        <n v="20"/>
        <n v="18"/>
        <n v="17"/>
        <n v="15"/>
        <n v="13"/>
        <n v="9"/>
        <n v="625"/>
        <n v="524"/>
        <n v="406"/>
        <n v="331"/>
        <n v="273"/>
        <n v="259"/>
        <n v="238"/>
        <n v="197"/>
        <n v="175"/>
        <n v="157"/>
        <n v="112"/>
        <n v="92"/>
        <n v="89"/>
        <n v="82"/>
        <n v="286"/>
        <n v="186"/>
        <n v="129"/>
        <n v="67"/>
        <n v="54"/>
        <n v="26"/>
        <n v="21"/>
        <n v="19"/>
        <n v="439"/>
        <n v="418"/>
        <n v="302"/>
        <n v="171"/>
        <n v="145"/>
        <n v="118"/>
        <n v="109"/>
        <n v="80"/>
        <n v="47"/>
        <n v="41"/>
        <n v="40"/>
        <n v="396"/>
        <n v="249"/>
        <n v="177"/>
        <n v="60"/>
        <n v="50"/>
        <n v="36"/>
        <n v="382"/>
        <n v="228"/>
        <n v="181"/>
        <n v="174"/>
        <n v="111"/>
        <n v="84"/>
        <n v="68"/>
        <n v="64"/>
        <n v="52"/>
        <n v="46"/>
        <n v="172"/>
        <n v="170"/>
        <n v="664"/>
        <n v="645"/>
        <n v="623"/>
        <n v="373"/>
        <n v="299"/>
        <n v="282"/>
        <n v="266"/>
        <n v="154"/>
        <n v="136"/>
        <n v="115"/>
        <n v="370"/>
        <n v="272"/>
        <n v="210"/>
        <n v="153"/>
        <n v="148"/>
        <n v="122"/>
        <n v="79"/>
        <n v="62"/>
        <n v="211"/>
        <n v="202"/>
        <n v="195"/>
        <n v="120"/>
        <n v="290"/>
        <n v="117"/>
        <n v="77"/>
        <n v="63"/>
        <n v="304"/>
        <n v="200"/>
        <n v="169"/>
        <n v="88"/>
        <n v="165"/>
        <n v="27"/>
        <n v="22"/>
        <n v="191"/>
        <n v="23"/>
        <n v="16"/>
        <n v="134"/>
        <n v="14"/>
        <n v="12"/>
        <n v="10"/>
        <n v="106"/>
        <n v="61"/>
        <n v="49"/>
        <n v="107"/>
        <n v="8"/>
        <n v="7"/>
        <n v="6"/>
        <n v="5"/>
        <n v="11"/>
        <n v="4"/>
        <n v="3"/>
        <n v="75"/>
        <n v="2"/>
      </sharedItems>
    </cacheField>
    <cacheField name="構成比" numFmtId="0" sqlType="3">
      <sharedItems containsSemiMixedTypes="0" containsString="0" containsNumber="1" minValue="0.68" maxValue="23.24" count="501">
        <n v="10.25"/>
        <n v="10.029999999999999"/>
        <n v="7.58"/>
        <n v="5.93"/>
        <n v="5.9"/>
        <n v="4.84"/>
        <n v="4.6900000000000004"/>
        <n v="3.68"/>
        <n v="3.59"/>
        <n v="3.2"/>
        <n v="3.02"/>
        <n v="2.66"/>
        <n v="2.52"/>
        <n v="2.13"/>
        <n v="1.44"/>
        <n v="1.39"/>
        <n v="1.35"/>
        <n v="1.3"/>
        <n v="10.55"/>
        <n v="10.11"/>
        <n v="7.11"/>
        <n v="5.82"/>
        <n v="4.7699999999999996"/>
        <n v="4.66"/>
        <n v="4.6100000000000003"/>
        <n v="3.48"/>
        <n v="3.4"/>
        <n v="3.32"/>
        <n v="2.95"/>
        <n v="2.83"/>
        <n v="2.2200000000000002"/>
        <n v="2.11"/>
        <n v="1.77"/>
        <n v="1.73"/>
        <n v="1.57"/>
        <n v="1.47"/>
        <n v="12.52"/>
        <n v="10.09"/>
        <n v="6.72"/>
        <n v="6.6"/>
        <n v="4.99"/>
        <n v="4.34"/>
        <n v="4.2"/>
        <n v="4.09"/>
        <n v="3.55"/>
        <n v="3.24"/>
        <n v="2.92"/>
        <n v="2.61"/>
        <n v="2.5"/>
        <n v="2.08"/>
        <n v="1.83"/>
        <n v="1.7"/>
        <n v="1.69"/>
        <n v="1.61"/>
        <n v="1.46"/>
        <n v="9.4499999999999993"/>
        <n v="8.84"/>
        <n v="7.61"/>
        <n v="5.52"/>
        <n v="5.0999999999999996"/>
        <n v="4.58"/>
        <n v="3.52"/>
        <n v="3.27"/>
        <n v="3.13"/>
        <n v="2.98"/>
        <n v="2.96"/>
        <n v="2.9"/>
        <n v="2.44"/>
        <n v="2.36"/>
        <n v="2.25"/>
        <n v="2.12"/>
        <n v="2.0499999999999998"/>
        <n v="1.93"/>
        <n v="1.6"/>
        <n v="10.7"/>
        <n v="10.61"/>
        <n v="6.11"/>
        <n v="6.05"/>
        <n v="5.92"/>
        <n v="5.54"/>
        <n v="4.67"/>
        <n v="3.57"/>
        <n v="3.25"/>
        <n v="3.09"/>
        <n v="2.39"/>
        <n v="1.85"/>
        <n v="1.59"/>
        <n v="1.58"/>
        <n v="1.48"/>
        <n v="1.37"/>
        <n v="9.9"/>
        <n v="8.83"/>
        <n v="7.99"/>
        <n v="5.79"/>
        <n v="5.42"/>
        <n v="4.8899999999999997"/>
        <n v="3.69"/>
        <n v="3.6"/>
        <n v="3.53"/>
        <n v="2.6"/>
        <n v="2.1800000000000002"/>
        <n v="1.9"/>
        <n v="1.8"/>
        <n v="1.52"/>
        <n v="13.71"/>
        <n v="10.29"/>
        <n v="10.08"/>
        <n v="5.6"/>
        <n v="5.1100000000000003"/>
        <n v="3.87"/>
        <n v="3.45"/>
        <n v="3.26"/>
        <n v="3.14"/>
        <n v="2.93"/>
        <n v="2.69"/>
        <n v="2.42"/>
        <n v="2.2999999999999998"/>
        <n v="1.96"/>
        <n v="1.76"/>
        <n v="1.43"/>
        <n v="1.22"/>
        <n v="1.2"/>
        <n v="9.32"/>
        <n v="6.99"/>
        <n v="6.22"/>
        <n v="5.95"/>
        <n v="5.74"/>
        <n v="4.8099999999999996"/>
        <n v="4.51"/>
        <n v="3.83"/>
        <n v="2.87"/>
        <n v="2.33"/>
        <n v="2.27"/>
        <n v="2.21"/>
        <n v="1.97"/>
        <n v="10.26"/>
        <n v="7.49"/>
        <n v="6.61"/>
        <n v="6.56"/>
        <n v="5.83"/>
        <n v="5.27"/>
        <n v="4.21"/>
        <n v="4.16"/>
        <n v="4.0199999999999996"/>
        <n v="3.01"/>
        <n v="2.73"/>
        <n v="1.99"/>
        <n v="1.94"/>
        <n v="1.53"/>
        <n v="9.3800000000000008"/>
        <n v="6.59"/>
        <n v="6.36"/>
        <n v="5.63"/>
        <n v="5.44"/>
        <n v="4.9400000000000004"/>
        <n v="4.12"/>
        <n v="3.8"/>
        <n v="2.65"/>
        <n v="2.06"/>
        <n v="2.0099999999999998"/>
        <n v="1.92"/>
        <n v="1.78"/>
        <n v="10.91"/>
        <n v="6.95"/>
        <n v="6.51"/>
        <n v="6.41"/>
        <n v="4.75"/>
        <n v="4.7"/>
        <n v="4.6500000000000004"/>
        <n v="3.62"/>
        <n v="3.42"/>
        <n v="2.1"/>
        <n v="1.91"/>
        <n v="1.71"/>
        <n v="1.42"/>
        <n v="9.2100000000000009"/>
        <n v="8.39"/>
        <n v="6.26"/>
        <n v="5.99"/>
        <n v="5.76"/>
        <n v="4.08"/>
        <n v="3.86"/>
        <n v="3.36"/>
        <n v="2.59"/>
        <n v="2.31"/>
        <n v="2"/>
        <n v="1.95"/>
        <n v="1.5"/>
        <n v="1.45"/>
        <n v="8.7200000000000006"/>
        <n v="7.02"/>
        <n v="6.78"/>
        <n v="4.5999999999999996"/>
        <n v="4.24"/>
        <n v="3.75"/>
        <n v="3.51"/>
        <n v="3.03"/>
        <n v="2.91"/>
        <n v="1.82"/>
        <n v="1.0900000000000001"/>
        <n v="11.48"/>
        <n v="9.6199999999999992"/>
        <n v="7.46"/>
        <n v="6.08"/>
        <n v="5.01"/>
        <n v="4.76"/>
        <n v="4.37"/>
        <n v="3.21"/>
        <n v="2.88"/>
        <n v="1.65"/>
        <n v="1.63"/>
        <n v="1.51"/>
        <n v="18.78"/>
        <n v="12.21"/>
        <n v="8.6"/>
        <n v="8.4700000000000006"/>
        <n v="4.8600000000000003"/>
        <n v="4.4000000000000004"/>
        <n v="2.82"/>
        <n v="2.56"/>
        <n v="2.17"/>
        <n v="1.84"/>
        <n v="1.64"/>
        <n v="1.38"/>
        <n v="1.25"/>
        <n v="13.89"/>
        <n v="13.22"/>
        <n v="9.5500000000000007"/>
        <n v="5.41"/>
        <n v="4.59"/>
        <n v="4.43"/>
        <n v="3.99"/>
        <n v="3.73"/>
        <n v="3.54"/>
        <n v="3.23"/>
        <n v="2.63"/>
        <n v="2.5299999999999998"/>
        <n v="2.09"/>
        <n v="1.49"/>
        <n v="1.27"/>
        <n v="12.39"/>
        <n v="10.01"/>
        <n v="7.79"/>
        <n v="7.29"/>
        <n v="4.91"/>
        <n v="4.4400000000000004"/>
        <n v="3.85"/>
        <n v="3.04"/>
        <n v="2.78"/>
        <n v="2.19"/>
        <n v="1.88"/>
        <n v="1.75"/>
        <n v="1.56"/>
        <n v="1.1599999999999999"/>
        <n v="1.1299999999999999"/>
        <n v="14.76"/>
        <n v="8.81"/>
        <n v="7.5"/>
        <n v="6.68"/>
        <n v="4.29"/>
        <n v="2.4700000000000002"/>
        <n v="1.74"/>
        <n v="1.62"/>
        <n v="10.86"/>
        <n v="9.11"/>
        <n v="6.64"/>
        <n v="6.29"/>
        <n v="6.1"/>
        <n v="2.97"/>
        <n v="2.62"/>
        <n v="2.54"/>
        <n v="1.72"/>
        <n v="1.41"/>
        <n v="1.33"/>
        <n v="1.29"/>
        <n v="9.7799999999999994"/>
        <n v="9.5"/>
        <n v="9.18"/>
        <n v="6.39"/>
        <n v="5.49"/>
        <n v="4.3499999999999996"/>
        <n v="4.1500000000000004"/>
        <n v="3.92"/>
        <n v="3.28"/>
        <n v="3.08"/>
        <n v="2.46"/>
        <n v="10.49"/>
        <n v="7.71"/>
        <n v="7.34"/>
        <n v="4.82"/>
        <n v="3.46"/>
        <n v="2.58"/>
        <n v="2.2400000000000002"/>
        <n v="2.15"/>
        <n v="1.87"/>
        <n v="10.58"/>
        <n v="9.36"/>
        <n v="5.81"/>
        <n v="5.56"/>
        <n v="5.37"/>
        <n v="5.29"/>
        <n v="4.74"/>
        <n v="4.49"/>
        <n v="3.66"/>
        <n v="3.3"/>
        <n v="2.4500000000000002"/>
        <n v="2.04"/>
        <n v="1.79"/>
        <n v="1.4"/>
        <n v="12.17"/>
        <n v="11.53"/>
        <n v="7"/>
        <n v="4.0599999999999996"/>
        <n v="3.22"/>
        <n v="3.06"/>
        <n v="1.55"/>
        <n v="1.23"/>
        <n v="11.45"/>
        <n v="9.33"/>
        <n v="6.14"/>
        <n v="5.8"/>
        <n v="5.19"/>
        <n v="3.44"/>
        <n v="3.35"/>
        <n v="2.7"/>
        <n v="1.32"/>
        <n v="1.26"/>
        <n v="12.23"/>
        <n v="11.14"/>
        <n v="9.01"/>
        <n v="7.21"/>
        <n v="4.3099999999999996"/>
        <n v="4.26"/>
        <n v="3.49"/>
        <n v="3.11"/>
        <n v="1.86"/>
        <n v="0.98"/>
        <n v="10.82"/>
        <n v="10.23"/>
        <n v="7.39"/>
        <n v="5.57"/>
        <n v="2.41"/>
        <n v="1.07"/>
        <n v="14.35"/>
        <n v="12.32"/>
        <n v="7.92"/>
        <n v="7.83"/>
        <n v="7.22"/>
        <n v="3.96"/>
        <n v="2.29"/>
        <n v="2.2000000000000002"/>
        <n v="2.02"/>
        <n v="1.1399999999999999"/>
        <n v="11.37"/>
        <n v="9.9499999999999993"/>
        <n v="8.44"/>
        <n v="8.15"/>
        <n v="4.83"/>
        <n v="4.55"/>
        <n v="2.94"/>
        <n v="2.75"/>
        <n v="2.37"/>
        <n v="10.24"/>
        <n v="9.85"/>
        <n v="7.56"/>
        <n v="5.96"/>
        <n v="5.58"/>
        <n v="11.18"/>
        <n v="9.34"/>
        <n v="8.9"/>
        <n v="8.0299999999999994"/>
        <n v="7.93"/>
        <n v="7.27"/>
        <n v="5.97"/>
        <n v="3.15"/>
        <n v="2.2799999999999998"/>
        <n v="11.6"/>
        <n v="10.83"/>
        <n v="9.52"/>
        <n v="6.89"/>
        <n v="6.24"/>
        <n v="4.92"/>
        <n v="3.61"/>
        <n v="2.84"/>
        <n v="11.64"/>
        <n v="9.31"/>
        <n v="8.5"/>
        <n v="6.17"/>
        <n v="4.96"/>
        <n v="4.45"/>
        <n v="4.25"/>
        <n v="2.4300000000000002"/>
        <n v="14.85"/>
        <n v="12.28"/>
        <n v="10.71"/>
        <n v="6.5"/>
        <n v="5.07"/>
        <n v="4.1399999999999997"/>
        <n v="3.43"/>
        <n v="2.86"/>
        <n v="2.71"/>
        <n v="2.0699999999999998"/>
        <n v="1"/>
        <n v="7.48"/>
        <n v="7.13"/>
        <n v="7.06"/>
        <n v="3.77"/>
        <n v="3.63"/>
        <n v="2.0299999999999998"/>
        <n v="1.68"/>
        <n v="1.19"/>
        <n v="11.83"/>
        <n v="11.62"/>
        <n v="10.17"/>
        <n v="8.92"/>
        <n v="7.88"/>
        <n v="7.05"/>
        <n v="6.02"/>
        <n v="3.94"/>
        <n v="1.66"/>
        <n v="1.24"/>
        <n v="1.04"/>
        <n v="12.7"/>
        <n v="12.38"/>
        <n v="8.89"/>
        <n v="8.57"/>
        <n v="8.25"/>
        <n v="6.98"/>
        <n v="6.35"/>
        <n v="0.95"/>
        <n v="23.24"/>
        <n v="8.3800000000000008"/>
        <n v="7.84"/>
        <n v="7.3"/>
        <n v="4.05"/>
        <n v="2.16"/>
        <n v="1.08"/>
        <n v="15.5"/>
        <n v="10.94"/>
        <n v="9.42"/>
        <n v="9.1199999999999992"/>
        <n v="6.38"/>
        <n v="5.17"/>
        <n v="3.95"/>
        <n v="3.65"/>
        <n v="2.74"/>
        <n v="11.08"/>
        <n v="10.199999999999999"/>
        <n v="8.4499999999999993"/>
        <n v="3.79"/>
        <n v="3.5"/>
        <n v="1.17"/>
        <n v="10.18"/>
        <n v="10.050000000000001"/>
        <n v="9.92"/>
        <n v="9.3000000000000007"/>
        <n v="6.03"/>
        <n v="5.03"/>
        <n v="4.9000000000000004"/>
        <n v="3.39"/>
        <n v="2.64"/>
        <n v="2.2599999999999998"/>
        <n v="11.3"/>
        <n v="8.32"/>
        <n v="6.06"/>
        <n v="5.47"/>
        <n v="5.23"/>
        <n v="4.88"/>
        <n v="4.04"/>
        <n v="2.38"/>
        <n v="14.01"/>
        <n v="5.85"/>
        <n v="5.12"/>
        <n v="4.87"/>
        <n v="3.41"/>
        <n v="3.17"/>
        <n v="3.05"/>
        <n v="9.2799999999999994"/>
        <n v="8.75"/>
        <n v="7.69"/>
        <n v="6.9"/>
        <n v="3.71"/>
        <n v="9.93"/>
        <n v="7.42"/>
        <n v="6.62"/>
        <n v="4.5"/>
        <n v="4.1100000000000003"/>
        <n v="3.31"/>
        <n v="15.25"/>
        <n v="9.83"/>
        <n v="7.8"/>
        <n v="7.12"/>
        <n v="4.41"/>
        <n v="1.02"/>
        <n v="0.68"/>
        <n v="11.23"/>
        <n v="8.0500000000000007"/>
        <n v="6.57"/>
        <n v="5.08"/>
        <n v="4.03"/>
        <n v="3.81"/>
      </sharedItems>
    </cacheField>
    <cacheField name="総数（個人）" numFmtId="0" sqlType="4">
      <sharedItems containsSemiMixedTypes="0" containsString="0" containsNumber="1" containsInteger="1" minValue="0" maxValue="8554" count="233">
        <n v="8554"/>
        <n v="8341"/>
        <n v="3616"/>
        <n v="2941"/>
        <n v="1731"/>
        <n v="2148"/>
        <n v="3215"/>
        <n v="2682"/>
        <n v="931"/>
        <n v="1716"/>
        <n v="2561"/>
        <n v="1721"/>
        <n v="1245"/>
        <n v="957"/>
        <n v="165"/>
        <n v="457"/>
        <n v="238"/>
        <n v="291"/>
        <n v="346"/>
        <n v="894"/>
        <n v="1796"/>
        <n v="1691"/>
        <n v="534"/>
        <n v="623"/>
        <n v="208"/>
        <n v="364"/>
        <n v="681"/>
        <n v="174"/>
        <n v="495"/>
        <n v="395"/>
        <n v="527"/>
        <n v="355"/>
        <n v="280"/>
        <n v="178"/>
        <n v="43"/>
        <n v="55"/>
        <n v="71"/>
        <n v="80"/>
        <n v="106"/>
        <n v="2"/>
        <n v="829"/>
        <n v="653"/>
        <n v="159"/>
        <n v="266"/>
        <n v="279"/>
        <n v="67"/>
        <n v="205"/>
        <n v="148"/>
        <n v="186"/>
        <n v="95"/>
        <n v="206"/>
        <n v="133"/>
        <n v="48"/>
        <n v="18"/>
        <n v="32"/>
        <n v="1"/>
        <n v="24"/>
        <n v="14"/>
        <n v="65"/>
        <n v="433"/>
        <n v="167"/>
        <n v="359"/>
        <n v="49"/>
        <n v="66"/>
        <n v="46"/>
        <n v="129"/>
        <n v="9"/>
        <n v="104"/>
        <n v="89"/>
        <n v="111"/>
        <n v="119"/>
        <n v="137"/>
        <n v="16"/>
        <n v="20"/>
        <n v="38"/>
        <n v="68"/>
        <n v="26"/>
        <n v="30"/>
        <n v="605"/>
        <n v="608"/>
        <n v="203"/>
        <n v="228"/>
        <n v="283"/>
        <n v="92"/>
        <n v="198"/>
        <n v="184"/>
        <n v="118"/>
        <n v="90"/>
        <n v="101"/>
        <n v="60"/>
        <n v="25"/>
        <n v="83"/>
        <n v="27"/>
        <n v="1683"/>
        <n v="1437"/>
        <n v="558"/>
        <n v="292"/>
        <n v="490"/>
        <n v="341"/>
        <n v="135"/>
        <n v="545"/>
        <n v="476"/>
        <n v="441"/>
        <n v="357"/>
        <n v="510"/>
        <n v="225"/>
        <n v="190"/>
        <n v="77"/>
        <n v="96"/>
        <n v="54"/>
        <n v="775"/>
        <n v="212"/>
        <n v="581"/>
        <n v="185"/>
        <n v="223"/>
        <n v="155"/>
        <n v="94"/>
        <n v="182"/>
        <n v="57"/>
        <n v="6"/>
        <n v="39"/>
        <n v="11"/>
        <n v="269"/>
        <n v="72"/>
        <n v="177"/>
        <n v="44"/>
        <n v="81"/>
        <n v="51"/>
        <n v="63"/>
        <n v="82"/>
        <n v="23"/>
        <n v="21"/>
        <n v="31"/>
        <n v="22"/>
        <n v="8"/>
        <n v="189"/>
        <n v="62"/>
        <n v="36"/>
        <n v="59"/>
        <n v="107"/>
        <n v="87"/>
        <n v="41"/>
        <n v="37"/>
        <n v="17"/>
        <n v="7"/>
        <n v="10"/>
        <n v="28"/>
        <n v="105"/>
        <n v="69"/>
        <n v="5"/>
        <n v="34"/>
        <n v="4"/>
        <n v="56"/>
        <n v="64"/>
        <n v="15"/>
        <n v="19"/>
        <n v="0"/>
        <n v="29"/>
        <n v="12"/>
        <n v="543"/>
        <n v="437"/>
        <n v="151"/>
        <n v="147"/>
        <n v="161"/>
        <n v="40"/>
        <n v="79"/>
        <n v="158"/>
        <n v="112"/>
        <n v="42"/>
        <n v="231"/>
        <n v="103"/>
        <n v="70"/>
        <n v="13"/>
        <n v="390"/>
        <n v="234"/>
        <n v="254"/>
        <n v="102"/>
        <n v="45"/>
        <n v="35"/>
        <n v="285"/>
        <n v="139"/>
        <n v="108"/>
        <n v="125"/>
        <n v="85"/>
        <n v="88"/>
        <n v="58"/>
        <n v="307"/>
        <n v="199"/>
        <n v="109"/>
        <n v="98"/>
        <n v="97"/>
        <n v="91"/>
        <n v="47"/>
        <n v="241"/>
        <n v="211"/>
        <n v="124"/>
        <n v="61"/>
        <n v="583"/>
        <n v="544"/>
        <n v="362"/>
        <n v="127"/>
        <n v="200"/>
        <n v="128"/>
        <n v="195"/>
        <n v="142"/>
        <n v="132"/>
        <n v="73"/>
        <n v="313"/>
        <n v="242"/>
        <n v="141"/>
        <n v="76"/>
        <n v="325"/>
        <n v="306"/>
        <n v="153"/>
        <n v="110"/>
        <n v="136"/>
        <n v="50"/>
        <n v="93"/>
        <n v="268"/>
        <n v="256"/>
        <n v="75"/>
        <n v="264"/>
        <n v="117"/>
        <n v="122"/>
        <n v="134"/>
        <n v="138"/>
        <n v="53"/>
        <n v="33"/>
        <n v="3"/>
        <n v="176"/>
        <n v="152"/>
        <n v="115"/>
        <n v="74"/>
      </sharedItems>
    </cacheField>
    <cacheField name="構成比（個人）" numFmtId="0" sqlType="3">
      <sharedItems containsSemiMixedTypes="0" containsString="0" containsNumber="1" minValue="0" maxValue="29.39" count="550">
        <n v="16.77"/>
        <n v="16.350000000000001"/>
        <n v="7.09"/>
        <n v="5.76"/>
        <n v="3.39"/>
        <n v="4.21"/>
        <n v="6.3"/>
        <n v="5.26"/>
        <n v="1.82"/>
        <n v="3.36"/>
        <n v="5.0199999999999996"/>
        <n v="3.37"/>
        <n v="2.44"/>
        <n v="1.88"/>
        <n v="0.32"/>
        <n v="0.9"/>
        <n v="0.47"/>
        <n v="0.56999999999999995"/>
        <n v="0.68"/>
        <n v="1.75"/>
        <n v="17.91"/>
        <n v="16.86"/>
        <n v="5.33"/>
        <n v="6.21"/>
        <n v="2.0699999999999998"/>
        <n v="3.63"/>
        <n v="6.79"/>
        <n v="1.74"/>
        <n v="4.9400000000000004"/>
        <n v="3.94"/>
        <n v="3.54"/>
        <n v="2.79"/>
        <n v="1.78"/>
        <n v="0.43"/>
        <n v="0.55000000000000004"/>
        <n v="0.71"/>
        <n v="0.8"/>
        <n v="1.06"/>
        <n v="0.02"/>
        <n v="20.82"/>
        <n v="16.399999999999999"/>
        <n v="3.99"/>
        <n v="6.68"/>
        <n v="7.01"/>
        <n v="1.68"/>
        <n v="5.15"/>
        <n v="3.72"/>
        <n v="4.67"/>
        <n v="2.39"/>
        <n v="5.17"/>
        <n v="3.34"/>
        <n v="2.0099999999999998"/>
        <n v="1.21"/>
        <n v="0.45"/>
        <n v="0.03"/>
        <n v="0.6"/>
        <n v="0.35"/>
        <n v="1.63"/>
        <n v="18.350000000000001"/>
        <n v="7.08"/>
        <n v="15.21"/>
        <n v="2.08"/>
        <n v="2.8"/>
        <n v="1.95"/>
        <n v="5.47"/>
        <n v="0.38"/>
        <n v="4.41"/>
        <n v="3.77"/>
        <n v="4.7"/>
        <n v="5.04"/>
        <n v="5.81"/>
        <n v="0.85"/>
        <n v="1.61"/>
        <n v="2.88"/>
        <n v="1.1000000000000001"/>
        <n v="1.27"/>
        <n v="16.420000000000002"/>
        <n v="16.5"/>
        <n v="5.64"/>
        <n v="5.51"/>
        <n v="6.19"/>
        <n v="7.68"/>
        <n v="2.5"/>
        <n v="2.17"/>
        <n v="5.37"/>
        <n v="4.99"/>
        <n v="3.2"/>
        <n v="2.74"/>
        <n v="1.03"/>
        <n v="2.25"/>
        <n v="0.73"/>
        <n v="0.54"/>
        <n v="18.32"/>
        <n v="15.64"/>
        <n v="6.07"/>
        <n v="3.18"/>
        <n v="3.71"/>
        <n v="1.47"/>
        <n v="5.93"/>
        <n v="5.18"/>
        <n v="4.8"/>
        <n v="3.89"/>
        <n v="5.55"/>
        <n v="2.4500000000000002"/>
        <n v="0.27"/>
        <n v="0.84"/>
        <n v="1.05"/>
        <n v="0.59"/>
        <n v="24.36"/>
        <n v="6.66"/>
        <n v="18.260000000000002"/>
        <n v="5.82"/>
        <n v="1.51"/>
        <n v="5.25"/>
        <n v="4.87"/>
        <n v="2.96"/>
        <n v="5.72"/>
        <n v="1.79"/>
        <n v="0.5"/>
        <n v="2.23"/>
        <n v="0.19"/>
        <n v="2.11"/>
        <n v="0.63"/>
        <n v="1.23"/>
        <n v="0.82"/>
        <n v="19.45"/>
        <n v="5.21"/>
        <n v="12.8"/>
        <n v="5.86"/>
        <n v="3.69"/>
        <n v="1.1599999999999999"/>
        <n v="4.5599999999999996"/>
        <n v="4.7699999999999996"/>
        <n v="3.9"/>
        <n v="2.82"/>
        <n v="1.66"/>
        <n v="1.52"/>
        <n v="2.2400000000000002"/>
        <n v="1.59"/>
        <n v="0.57999999999999996"/>
        <n v="17.78"/>
        <n v="5.83"/>
        <n v="10.07"/>
        <n v="8.18"/>
        <n v="3.86"/>
        <n v="7.24"/>
        <n v="1.69"/>
        <n v="6.77"/>
        <n v="2.35"/>
        <n v="3.48"/>
        <n v="1.6"/>
        <n v="0.66"/>
        <n v="0.94"/>
        <n v="20.09"/>
        <n v="4.75"/>
        <n v="3.09"/>
        <n v="3.42"/>
        <n v="11.59"/>
        <n v="2.4300000000000002"/>
        <n v="4.3"/>
        <n v="5.96"/>
        <n v="7.62"/>
        <n v="1.77"/>
        <n v="5.3"/>
        <n v="2.21"/>
        <n v="5.08"/>
        <n v="1.99"/>
        <n v="3.75"/>
        <n v="0.44"/>
        <n v="2.54"/>
        <n v="19.75"/>
        <n v="11.48"/>
        <n v="6.61"/>
        <n v="4.96"/>
        <n v="5.45"/>
        <n v="2.63"/>
        <n v="4.28"/>
        <n v="6.23"/>
        <n v="2.5299999999999998"/>
        <n v="1.65"/>
        <n v="0.78"/>
        <n v="1.46"/>
        <n v="0.39"/>
        <n v="0.1"/>
        <n v="1.85"/>
        <n v="1.56"/>
        <n v="15.54"/>
        <n v="9.2200000000000006"/>
        <n v="5.88"/>
        <n v="5.44"/>
        <n v="9.1300000000000008"/>
        <n v="7.2"/>
        <n v="1.93"/>
        <n v="4.4800000000000004"/>
        <n v="5.53"/>
        <n v="2.2799999999999998"/>
        <n v="1.58"/>
        <n v="2.99"/>
        <n v="1.4"/>
        <n v="1.84"/>
        <n v="0.53"/>
        <n v="0"/>
        <n v="1.49"/>
        <n v="16.87"/>
        <n v="5.97"/>
        <n v="9.0500000000000007"/>
        <n v="8.02"/>
        <n v="10.49"/>
        <n v="5.56"/>
        <n v="3.29"/>
        <n v="4.12"/>
        <n v="3.5"/>
        <n v="0.21"/>
        <n v="1.44"/>
        <n v="2.4700000000000002"/>
        <n v="2.06"/>
        <n v="21.52"/>
        <n v="17.32"/>
        <n v="5.98"/>
        <n v="6.38"/>
        <n v="3.13"/>
        <n v="1.1499999999999999"/>
        <n v="3.17"/>
        <n v="6.26"/>
        <n v="4.4400000000000004"/>
        <n v="4.16"/>
        <n v="0.28000000000000003"/>
        <n v="0.91"/>
        <n v="1.1100000000000001"/>
        <n v="0.4"/>
        <n v="0.79"/>
        <n v="29.39"/>
        <n v="13.1"/>
        <n v="8.91"/>
        <n v="2.29"/>
        <n v="4.07"/>
        <n v="2.93"/>
        <n v="3.82"/>
        <n v="1.53"/>
        <n v="0.13"/>
        <n v="22.6"/>
        <n v="13.56"/>
        <n v="14.72"/>
        <n v="4.6900000000000004"/>
        <n v="6.89"/>
        <n v="2.09"/>
        <n v="5.91"/>
        <n v="1.22"/>
        <n v="4"/>
        <n v="2.61"/>
        <n v="2.0299999999999998"/>
        <n v="0.06"/>
        <n v="0.98"/>
        <n v="0.46"/>
        <n v="0.87"/>
        <n v="0.75"/>
        <n v="19.13"/>
        <n v="14.98"/>
        <n v="7.3"/>
        <n v="5.68"/>
        <n v="4.83"/>
        <n v="6.57"/>
        <n v="2.36"/>
        <n v="2.42"/>
        <n v="4.47"/>
        <n v="4.62"/>
        <n v="3.05"/>
        <n v="2.89"/>
        <n v="2.94"/>
        <n v="2.2599999999999998"/>
        <n v="0.05"/>
        <n v="0.74"/>
        <n v="0.95"/>
        <n v="21.45"/>
        <n v="13.91"/>
        <n v="6.85"/>
        <n v="6.78"/>
        <n v="6.36"/>
        <n v="3.28"/>
        <n v="3.07"/>
        <n v="1.96"/>
        <n v="3.98"/>
        <n v="5.38"/>
        <n v="2.52"/>
        <n v="0.14000000000000001"/>
        <n v="0.77"/>
        <n v="7.0000000000000007E-2"/>
        <n v="15.08"/>
        <n v="13.2"/>
        <n v="6.63"/>
        <n v="8.57"/>
        <n v="7.76"/>
        <n v="3.88"/>
        <n v="6.45"/>
        <n v="4.1900000000000004"/>
        <n v="3"/>
        <n v="0.31"/>
        <n v="15.94"/>
        <n v="14.87"/>
        <n v="9.9"/>
        <n v="3.47"/>
        <n v="2.16"/>
        <n v="6.1"/>
        <n v="3.61"/>
        <n v="2"/>
        <n v="2.87"/>
        <n v="0.96"/>
        <n v="1.1200000000000001"/>
        <n v="0.25"/>
        <n v="17.12"/>
        <n v="13.24"/>
        <n v="7.71"/>
        <n v="5.69"/>
        <n v="5.85"/>
        <n v="1.7"/>
        <n v="3.01"/>
        <n v="1.26"/>
        <n v="2.68"/>
        <n v="1.37"/>
        <n v="1.97"/>
        <n v="15.92"/>
        <n v="14.99"/>
        <n v="5.49"/>
        <n v="7.5"/>
        <n v="3.58"/>
        <n v="5.39"/>
        <n v="3.92"/>
        <n v="3.87"/>
        <n v="1.18"/>
        <n v="0.69"/>
        <n v="2.2000000000000002"/>
        <n v="1.1299999999999999"/>
        <n v="1.08"/>
        <n v="0.49"/>
        <n v="19.170000000000002"/>
        <n v="18.309999999999999"/>
        <n v="5.36"/>
        <n v="4.8600000000000003"/>
        <n v="6.58"/>
        <n v="1.43"/>
        <n v="0.93"/>
        <n v="2.65"/>
        <n v="2.86"/>
        <n v="2.72"/>
        <n v="0.36"/>
        <n v="0.64"/>
        <n v="16.079999999999998"/>
        <n v="6.52"/>
        <n v="6.01"/>
        <n v="6.27"/>
        <n v="6.88"/>
        <n v="3.03"/>
        <n v="4.5199999999999996"/>
        <n v="0.62"/>
        <n v="0.51"/>
        <n v="0.56000000000000005"/>
        <n v="20.8"/>
        <n v="20.23"/>
        <n v="6.17"/>
        <n v="6.06"/>
        <n v="1.83"/>
        <n v="0.23"/>
        <n v="1.71"/>
        <n v="1.1399999999999999"/>
        <n v="0.11"/>
        <n v="0.34"/>
        <n v="16.16"/>
        <n v="13.96"/>
        <n v="13.87"/>
        <n v="5.6"/>
        <n v="4.5"/>
        <n v="5.79"/>
        <n v="4.68"/>
        <n v="4.22"/>
        <n v="3.67"/>
        <n v="2.02"/>
        <n v="3.12"/>
        <n v="2.48"/>
        <n v="0.37"/>
        <n v="0.18"/>
        <n v="0.83"/>
        <n v="19.02"/>
        <n v="14.48"/>
        <n v="10.45"/>
        <n v="6.8"/>
        <n v="8.69"/>
        <n v="7.56"/>
        <n v="2.77"/>
        <n v="3.65"/>
        <n v="3.27"/>
        <n v="2.27"/>
        <n v="1.01"/>
        <n v="0.88"/>
        <n v="1.39"/>
        <n v="13.14"/>
        <n v="13.32"/>
        <n v="3.83"/>
        <n v="4.93"/>
        <n v="2.92"/>
        <n v="2.19"/>
        <n v="1.28"/>
        <n v="14.38"/>
        <n v="15.91"/>
        <n v="11.76"/>
        <n v="7.88"/>
        <n v="3.04"/>
        <n v="4.9800000000000004"/>
        <n v="6.64"/>
        <n v="2.9"/>
        <n v="4.29"/>
        <n v="0.41"/>
        <n v="16.28"/>
        <n v="4.42"/>
        <n v="6.9"/>
        <n v="7.61"/>
        <n v="6.02"/>
        <n v="5.66"/>
        <n v="2.12"/>
        <n v="1.24"/>
        <n v="2.83"/>
        <n v="1.42"/>
        <n v="18.989999999999998"/>
        <n v="17.579999999999998"/>
        <n v="4.8499999999999996"/>
        <n v="3.84"/>
        <n v="4.6500000000000004"/>
        <n v="3.43"/>
        <n v="2.2200000000000002"/>
        <n v="1.41"/>
        <n v="0.61"/>
        <n v="0.2"/>
        <n v="17.75"/>
        <n v="14.85"/>
        <n v="5.8"/>
        <n v="5.63"/>
        <n v="5.46"/>
        <n v="4.2699999999999996"/>
        <n v="2.56"/>
        <n v="1.02"/>
        <n v="3.24"/>
        <n v="1.54"/>
        <n v="20.85"/>
        <n v="16.93"/>
        <n v="15.02"/>
        <n v="3.59"/>
        <n v="5.27"/>
        <n v="5.61"/>
        <n v="1.57"/>
        <n v="1.91"/>
        <n v="1.35"/>
        <n v="13.92"/>
        <n v="6.72"/>
        <n v="10.26"/>
        <n v="7.55"/>
        <n v="7.9"/>
        <n v="4.13"/>
        <n v="3.3"/>
        <n v="1.3"/>
        <n v="15.41"/>
        <n v="11.15"/>
        <n v="13.77"/>
        <n v="8.52"/>
        <n v="4.92"/>
        <n v="7.87"/>
        <n v="2.95"/>
        <n v="0.33"/>
        <n v="1.31"/>
        <n v="1.64"/>
        <n v="2.2999999999999998"/>
        <n v="14.03"/>
        <n v="16.29"/>
        <n v="11.31"/>
        <n v="8.6"/>
        <n v="3.62"/>
        <n v="1.81"/>
        <n v="2.71"/>
        <n v="1.36"/>
        <n v="28.37"/>
        <n v="9.93"/>
        <n v="6.03"/>
        <n v="8.8699999999999992"/>
        <n v="5.67"/>
        <n v="2.13"/>
        <n v="20.5"/>
        <n v="14.23"/>
        <n v="11.72"/>
        <n v="10.46"/>
        <n v="4.18"/>
        <n v="2.5099999999999998"/>
        <n v="1.67"/>
        <n v="0.42"/>
        <n v="13.85"/>
        <n v="7.79"/>
        <n v="11.26"/>
        <n v="9.52"/>
        <n v="2.6"/>
        <n v="1.73"/>
        <n v="15.79"/>
        <n v="12.81"/>
        <n v="6.41"/>
        <n v="15.33"/>
        <n v="2.97"/>
        <n v="5.95"/>
        <n v="4.3499999999999996"/>
        <n v="0.92"/>
        <n v="15"/>
        <n v="5.75"/>
        <n v="8.75"/>
        <n v="1"/>
        <n v="1.25"/>
        <n v="2.75"/>
        <n v="16.260000000000002"/>
        <n v="17.89"/>
        <n v="8.94"/>
        <n v="9.2100000000000009"/>
        <n v="3.79"/>
        <n v="6.5"/>
        <n v="3.52"/>
        <n v="0.81"/>
        <n v="18.95"/>
        <n v="13.68"/>
        <n v="14.74"/>
        <n v="6.84"/>
        <n v="7.89"/>
        <n v="3.68"/>
        <n v="6.32"/>
        <n v="16.670000000000002"/>
        <n v="12.96"/>
        <n v="8.1999999999999993"/>
        <n v="2.38"/>
        <n v="3.97"/>
        <n v="3.44"/>
        <n v="2.91"/>
        <n v="0.26"/>
        <n v="1.32"/>
        <n v="17.79"/>
        <n v="12.5"/>
        <n v="3.85"/>
        <n v="5.77"/>
        <n v="6.73"/>
        <n v="4.8099999999999996"/>
        <n v="1.92"/>
        <n v="0.48"/>
        <n v="7.46"/>
        <n v="15.59"/>
        <n v="8.14"/>
        <n v="9.83"/>
        <n v="6.44"/>
        <n v="7.8"/>
        <n v="3.73"/>
      </sharedItems>
    </cacheField>
    <cacheField name="総数（法人）" numFmtId="0" sqlType="4">
      <sharedItems containsSemiMixedTypes="0" containsString="0" containsNumber="1" containsInteger="1" minValue="0" maxValue="3967" count="207">
        <n v="1351"/>
        <n v="1344"/>
        <n v="3700"/>
        <n v="2789"/>
        <n v="3967"/>
        <n v="2534"/>
        <n v="1302"/>
        <n v="779"/>
        <n v="2537"/>
        <n v="1375"/>
        <n v="355"/>
        <n v="851"/>
        <n v="1189"/>
        <n v="1082"/>
        <n v="1229"/>
        <n v="886"/>
        <n v="1092"/>
        <n v="1048"/>
        <n v="957"/>
        <n v="366"/>
        <n v="258"/>
        <n v="278"/>
        <n v="848"/>
        <n v="511"/>
        <n v="722"/>
        <n v="544"/>
        <n v="216"/>
        <n v="505"/>
        <n v="155"/>
        <n v="252"/>
        <n v="62"/>
        <n v="219"/>
        <n v="271"/>
        <n v="251"/>
        <n v="369"/>
        <n v="290"/>
        <n v="267"/>
        <n v="226"/>
        <n v="181"/>
        <n v="249"/>
        <n v="150"/>
        <n v="136"/>
        <n v="365"/>
        <n v="112"/>
        <n v="273"/>
        <n v="124"/>
        <n v="172"/>
        <n v="85"/>
        <n v="159"/>
        <n v="23"/>
        <n v="71"/>
        <n v="114"/>
        <n v="115"/>
        <n v="125"/>
        <n v="101"/>
        <n v="116"/>
        <n v="102"/>
        <n v="100"/>
        <n v="48"/>
        <n v="75"/>
        <n v="308"/>
        <n v="50"/>
        <n v="248"/>
        <n v="208"/>
        <n v="206"/>
        <n v="180"/>
        <n v="72"/>
        <n v="79"/>
        <n v="47"/>
        <n v="40"/>
        <n v="19"/>
        <n v="107"/>
        <n v="83"/>
        <n v="46"/>
        <n v="67"/>
        <n v="78"/>
        <n v="56"/>
        <n v="58"/>
        <n v="175"/>
        <n v="177"/>
        <n v="144"/>
        <n v="64"/>
        <n v="201"/>
        <n v="184"/>
        <n v="20"/>
        <n v="76"/>
        <n v="60"/>
        <n v="49"/>
        <n v="54"/>
        <n v="16"/>
        <n v="66"/>
        <n v="65"/>
        <n v="286"/>
        <n v="319"/>
        <n v="1031"/>
        <n v="860"/>
        <n v="590"/>
        <n v="632"/>
        <n v="599"/>
        <n v="173"/>
        <n v="237"/>
        <n v="262"/>
        <n v="344"/>
        <n v="104"/>
        <n v="292"/>
        <n v="240"/>
        <n v="353"/>
        <n v="264"/>
        <n v="199"/>
        <n v="239"/>
        <n v="234"/>
        <n v="204"/>
        <n v="523"/>
        <n v="138"/>
        <n v="215"/>
        <n v="142"/>
        <n v="228"/>
        <n v="89"/>
        <n v="90"/>
        <n v="139"/>
        <n v="42"/>
        <n v="152"/>
        <n v="176"/>
        <n v="158"/>
        <n v="97"/>
        <n v="120"/>
        <n v="106"/>
        <n v="63"/>
        <n v="43"/>
        <n v="162"/>
        <n v="31"/>
        <n v="143"/>
        <n v="80"/>
        <n v="21"/>
        <n v="33"/>
        <n v="27"/>
        <n v="55"/>
        <n v="57"/>
        <n v="45"/>
        <n v="52"/>
        <n v="99"/>
        <n v="12"/>
        <n v="51"/>
        <n v="15"/>
        <n v="22"/>
        <n v="28"/>
        <n v="34"/>
        <n v="14"/>
        <n v="111"/>
        <n v="92"/>
        <n v="86"/>
        <n v="36"/>
        <n v="38"/>
        <n v="44"/>
        <n v="7"/>
        <n v="39"/>
        <n v="10"/>
        <n v="26"/>
        <n v="24"/>
        <n v="41"/>
        <n v="69"/>
        <n v="6"/>
        <n v="17"/>
        <n v="25"/>
        <n v="108"/>
        <n v="70"/>
        <n v="11"/>
        <n v="30"/>
        <n v="18"/>
        <n v="32"/>
        <n v="3"/>
        <n v="4"/>
        <n v="13"/>
        <n v="1"/>
        <n v="2"/>
        <n v="8"/>
        <n v="5"/>
        <n v="82"/>
        <n v="87"/>
        <n v="255"/>
        <n v="168"/>
        <n v="105"/>
        <n v="84"/>
        <n v="59"/>
        <n v="9"/>
        <n v="88"/>
        <n v="35"/>
        <n v="110"/>
        <n v="29"/>
        <n v="77"/>
        <n v="37"/>
        <n v="94"/>
        <n v="53"/>
        <n v="81"/>
        <n v="261"/>
        <n v="307"/>
        <n v="171"/>
        <n v="118"/>
        <n v="134"/>
        <n v="93"/>
        <n v="61"/>
        <n v="122"/>
        <n v="96"/>
        <n v="121"/>
        <n v="127"/>
        <n v="98"/>
        <n v="0"/>
      </sharedItems>
    </cacheField>
    <cacheField name="構成比（法人）" numFmtId="0" sqlType="3">
      <sharedItems containsSemiMixedTypes="0" containsString="0" containsNumber="1" minValue="0" maxValue="19.23" count="470">
        <n v="3.01"/>
        <n v="2.99"/>
        <n v="8.23"/>
        <n v="6.2"/>
        <n v="8.82"/>
        <n v="5.64"/>
        <n v="2.9"/>
        <n v="1.73"/>
        <n v="3.06"/>
        <n v="0.79"/>
        <n v="1.89"/>
        <n v="2.64"/>
        <n v="2.41"/>
        <n v="2.73"/>
        <n v="1.97"/>
        <n v="2.4300000000000002"/>
        <n v="2.33"/>
        <n v="2.13"/>
        <n v="0.81"/>
        <n v="2.75"/>
        <n v="2.96"/>
        <n v="9.0399999999999991"/>
        <n v="5.44"/>
        <n v="7.69"/>
        <n v="5.8"/>
        <n v="2.2999999999999998"/>
        <n v="5.38"/>
        <n v="1.65"/>
        <n v="2.69"/>
        <n v="0.66"/>
        <n v="2.89"/>
        <n v="2.67"/>
        <n v="3.93"/>
        <n v="3.09"/>
        <n v="2.84"/>
        <n v="1.93"/>
        <n v="2.65"/>
        <n v="3.94"/>
        <n v="3.58"/>
        <n v="9.6"/>
        <n v="6.6"/>
        <n v="2.94"/>
        <n v="7.18"/>
        <n v="3.26"/>
        <n v="4.5199999999999996"/>
        <n v="2.23"/>
        <n v="4.18"/>
        <n v="0.6"/>
        <n v="1.87"/>
        <n v="3"/>
        <n v="3.02"/>
        <n v="3.29"/>
        <n v="2.66"/>
        <n v="3.05"/>
        <n v="2.68"/>
        <n v="2.63"/>
        <n v="1.26"/>
        <n v="2.5"/>
        <n v="10.25"/>
        <n v="1.66"/>
        <n v="8.26"/>
        <n v="6.92"/>
        <n v="6.86"/>
        <n v="3.86"/>
        <n v="5.99"/>
        <n v="2.4"/>
        <n v="1.56"/>
        <n v="1.33"/>
        <n v="0.63"/>
        <n v="3.83"/>
        <n v="3.56"/>
        <n v="2.76"/>
        <n v="1.53"/>
        <n v="2.6"/>
        <n v="1.86"/>
        <n v="2.25"/>
        <n v="6.79"/>
        <n v="6.87"/>
        <n v="5.59"/>
        <n v="2.48"/>
        <n v="7.8"/>
        <n v="7.14"/>
        <n v="0.89"/>
        <n v="0.78"/>
        <n v="2.95"/>
        <n v="1.9"/>
        <n v="3.03"/>
        <n v="2.1"/>
        <n v="2.91"/>
        <n v="0.62"/>
        <n v="2.56"/>
        <n v="2.52"/>
        <n v="9.68"/>
        <n v="8.07"/>
        <n v="5.54"/>
        <n v="5.93"/>
        <n v="5.62"/>
        <n v="1.62"/>
        <n v="2.2200000000000002"/>
        <n v="2.46"/>
        <n v="3.23"/>
        <n v="0.98"/>
        <n v="2.74"/>
        <n v="3.31"/>
        <n v="2.12"/>
        <n v="2.2400000000000002"/>
        <n v="2.2000000000000002"/>
        <n v="5.17"/>
        <n v="13.25"/>
        <n v="3.5"/>
        <n v="5.45"/>
        <n v="3.6"/>
        <n v="5.78"/>
        <n v="2.2799999999999998"/>
        <n v="3.52"/>
        <n v="1.06"/>
        <n v="3.85"/>
        <n v="4.46"/>
        <n v="2.5299999999999998"/>
        <n v="4"/>
        <n v="3.04"/>
        <n v="1.6"/>
        <n v="1.52"/>
        <n v="2.19"/>
        <n v="1.58"/>
        <n v="7.9"/>
        <n v="7.29"/>
        <n v="4.08"/>
        <n v="5.0999999999999996"/>
        <n v="5.71"/>
        <n v="2.14"/>
        <n v="0.97"/>
        <n v="4.59"/>
        <n v="1.07"/>
        <n v="1.68"/>
        <n v="1.38"/>
        <n v="2.8"/>
        <n v="2.29"/>
        <n v="9.0299999999999994"/>
        <n v="9.76"/>
        <n v="7.57"/>
        <n v="5.47"/>
        <n v="1.0900000000000001"/>
        <n v="6.57"/>
        <n v="4.6500000000000004"/>
        <n v="1.37"/>
        <n v="3.65"/>
        <n v="2.0099999999999998"/>
        <n v="2.5499999999999998"/>
        <n v="3.1"/>
        <n v="1.82"/>
        <n v="1.28"/>
        <n v="1.8"/>
        <n v="7.92"/>
        <n v="8.6999999999999993"/>
        <n v="7.21"/>
        <n v="1.1000000000000001"/>
        <n v="6.74"/>
        <n v="2.82"/>
        <n v="0.94"/>
        <n v="4.3099999999999996"/>
        <n v="1.72"/>
        <n v="2.98"/>
        <n v="3.45"/>
        <n v="0.55000000000000004"/>
        <n v="1.25"/>
        <n v="2.04"/>
        <n v="10.56"/>
        <n v="2.37"/>
        <n v="6.42"/>
        <n v="4.05"/>
        <n v="6.81"/>
        <n v="5.03"/>
        <n v="0.59"/>
        <n v="2.17"/>
        <n v="1.18"/>
        <n v="2.4700000000000002"/>
        <n v="2.57"/>
        <n v="0.99"/>
        <n v="2.4500000000000002"/>
        <n v="7.55"/>
        <n v="10.19"/>
        <n v="6.7"/>
        <n v="6.32"/>
        <n v="3.4"/>
        <n v="2.2599999999999998"/>
        <n v="1.04"/>
        <n v="2.92"/>
        <n v="3.11"/>
        <n v="1.32"/>
        <n v="2.83"/>
        <n v="1.7"/>
        <n v="1.42"/>
        <n v="14.57"/>
        <n v="9.27"/>
        <n v="5.96"/>
        <n v="3.64"/>
        <n v="6.29"/>
        <n v="4.97"/>
        <n v="5.63"/>
        <n v="4.3"/>
        <n v="0.33"/>
        <n v="2.3199999999999998"/>
        <n v="5.3"/>
        <n v="6.36"/>
        <n v="3.87"/>
        <n v="7.58"/>
        <n v="5.5"/>
        <n v="5.81"/>
        <n v="3.63"/>
        <n v="2.42"/>
        <n v="2.7"/>
        <n v="2.87"/>
        <n v="2.4900000000000002"/>
        <n v="2.21"/>
        <n v="11.29"/>
        <n v="8.1300000000000008"/>
        <n v="7.99"/>
        <n v="5.79"/>
        <n v="4.96"/>
        <n v="1.24"/>
        <n v="0.96"/>
        <n v="2.34"/>
        <n v="3.51"/>
        <n v="13.18"/>
        <n v="3.44"/>
        <n v="6.45"/>
        <n v="7.95"/>
        <n v="3.15"/>
        <n v="5.87"/>
        <n v="0.72"/>
        <n v="6.3"/>
        <n v="2.36"/>
        <n v="2.72"/>
        <n v="3.22"/>
        <n v="2.79"/>
        <n v="2.15"/>
        <n v="2.44"/>
        <n v="1.79"/>
        <n v="8.58"/>
        <n v="9.75"/>
        <n v="6.63"/>
        <n v="0.7"/>
        <n v="2.1800000000000002"/>
        <n v="0.23"/>
        <n v="1.01"/>
        <n v="3.82"/>
        <n v="2.11"/>
        <n v="1.4"/>
        <n v="7.45"/>
        <n v="7.27"/>
        <n v="6.75"/>
        <n v="7.19"/>
        <n v="9.11"/>
        <n v="4.91"/>
        <n v="0.61"/>
        <n v="5.43"/>
        <n v="1.84"/>
        <n v="1.1399999999999999"/>
        <n v="1.49"/>
        <n v="7.03"/>
        <n v="10.01"/>
        <n v="4.58"/>
        <n v="0.64"/>
        <n v="4.1500000000000004"/>
        <n v="3.19"/>
        <n v="2.88"/>
        <n v="2.61"/>
        <n v="8.42"/>
        <n v="9.9"/>
        <n v="5.58"/>
        <n v="5.52"/>
        <n v="6.97"/>
        <n v="2.16"/>
        <n v="1.1299999999999999"/>
        <n v="3.42"/>
        <n v="0.9"/>
        <n v="3.13"/>
        <n v="2.71"/>
        <n v="3.54"/>
        <n v="7.33"/>
        <n v="8.32"/>
        <n v="5.09"/>
        <n v="4.41"/>
        <n v="0.93"/>
        <n v="1.55"/>
        <n v="3.79"/>
        <n v="1.1200000000000001"/>
        <n v="3.73"/>
        <n v="6.25"/>
        <n v="7.71"/>
        <n v="5.18"/>
        <n v="1.64"/>
        <n v="5.24"/>
        <n v="3.16"/>
        <n v="6.06"/>
        <n v="4.74"/>
        <n v="1.83"/>
        <n v="0.95"/>
        <n v="2.02"/>
        <n v="2.59"/>
        <n v="11"/>
        <n v="7.09"/>
        <n v="5.27"/>
        <n v="2.27"/>
        <n v="1.36"/>
        <n v="0.91"/>
        <n v="5.55"/>
        <n v="6"/>
        <n v="3.55"/>
        <n v="2.09"/>
        <n v="2"/>
        <n v="4.55"/>
        <n v="5.94"/>
        <n v="9.8000000000000007"/>
        <n v="2.62"/>
        <n v="5.32"/>
        <n v="0.85"/>
        <n v="1.85"/>
        <n v="1.23"/>
        <n v="2.78"/>
        <n v="2.08"/>
        <n v="2.39"/>
        <n v="2.31"/>
        <n v="4.42"/>
        <n v="10.73"/>
        <n v="10.3"/>
        <n v="7.05"/>
        <n v="3.89"/>
        <n v="1.1599999999999999"/>
        <n v="0.74"/>
        <n v="3.3"/>
        <n v="5.15"/>
        <n v="10.16"/>
        <n v="7.12"/>
        <n v="5.01"/>
        <n v="1.98"/>
        <n v="2.5099999999999998"/>
        <n v="0.92"/>
        <n v="1.45"/>
        <n v="3.68"/>
        <n v="7.67"/>
        <n v="10.74"/>
        <n v="4.29"/>
        <n v="3.37"/>
        <n v="0.31"/>
        <n v="3.99"/>
        <n v="9.66"/>
        <n v="11.87"/>
        <n v="6.04"/>
        <n v="4.63"/>
        <n v="1.61"/>
        <n v="1.81"/>
        <n v="1.41"/>
        <n v="8.81"/>
        <n v="5.53"/>
        <n v="3.97"/>
        <n v="0.86"/>
        <n v="3.28"/>
        <n v="0.35"/>
        <n v="3.21"/>
        <n v="14.29"/>
        <n v="9.91"/>
        <n v="7"/>
        <n v="6.12"/>
        <n v="1.17"/>
        <n v="1.75"/>
        <n v="0.57999999999999996"/>
        <n v="1.46"/>
        <n v="11.79"/>
        <n v="6.14"/>
        <n v="6.88"/>
        <n v="7.62"/>
        <n v="1.47"/>
        <n v="3.69"/>
        <n v="13.19"/>
        <n v="7.39"/>
        <n v="4.49"/>
        <n v="4.22"/>
        <n v="3.43"/>
        <n v="3.96"/>
        <n v="0.26"/>
        <n v="0"/>
        <n v="12.24"/>
        <n v="9.39"/>
        <n v="4.9000000000000004"/>
        <n v="4.6900000000000004"/>
        <n v="0.82"/>
        <n v="1.02"/>
        <n v="3.88"/>
        <n v="3.27"/>
        <n v="1.22"/>
        <n v="1.43"/>
        <n v="0.41"/>
        <n v="8.8000000000000007"/>
        <n v="7.22"/>
        <n v="6.16"/>
        <n v="3.35"/>
        <n v="4.2300000000000004"/>
        <n v="3.7"/>
        <n v="0.18"/>
        <n v="12.72"/>
        <n v="3.47"/>
        <n v="9.83"/>
        <n v="10.98"/>
        <n v="4.62"/>
        <n v="5.2"/>
        <n v="9.7799999999999994"/>
        <n v="15.22"/>
        <n v="4.3499999999999996"/>
        <n v="7.06"/>
        <n v="3.53"/>
        <n v="14.12"/>
        <n v="18.82"/>
        <n v="2.35"/>
        <n v="4.71"/>
        <n v="5.88"/>
        <n v="5.75"/>
        <n v="12.64"/>
        <n v="4.5999999999999996"/>
        <n v="8.0500000000000007"/>
        <n v="6.9"/>
        <n v="1.1499999999999999"/>
        <n v="5.66"/>
        <n v="10.38"/>
        <n v="13.21"/>
        <n v="3.77"/>
        <n v="4.72"/>
        <n v="3.49"/>
        <n v="6.98"/>
        <n v="14.83"/>
        <n v="2.0299999999999998"/>
        <n v="6.69"/>
        <n v="7.85"/>
        <n v="1.74"/>
        <n v="0.87"/>
        <n v="2.97"/>
        <n v="6.39"/>
        <n v="8.68"/>
        <n v="6.85"/>
        <n v="4.57"/>
        <n v="4.1100000000000003"/>
        <n v="0.68"/>
        <n v="12.28"/>
        <n v="9.15"/>
        <n v="4.24"/>
        <n v="3.57"/>
        <n v="0.45"/>
        <n v="0.67"/>
        <n v="15.17"/>
        <n v="8.99"/>
        <n v="5.0599999999999996"/>
        <n v="0.56000000000000005"/>
        <n v="2.81"/>
        <n v="1.69"/>
        <n v="8.2200000000000006"/>
        <n v="3.12"/>
        <n v="5.67"/>
        <n v="7.37"/>
        <n v="5.95"/>
        <n v="4.53"/>
        <n v="0.56999999999999995"/>
        <n v="19.23"/>
        <n v="10.26"/>
        <n v="5.13"/>
        <n v="18.34"/>
        <n v="4.7300000000000004"/>
        <n v="7.1"/>
        <n v="5.92"/>
        <n v="4.1399999999999997"/>
      </sharedItems>
    </cacheField>
    <cacheField name="総数（法人以外の団体）" numFmtId="0" sqlType="4">
      <sharedItems containsSemiMixedTypes="0" containsString="0" containsNumber="1" containsInteger="1" minValue="0" maxValue="21" count="11">
        <n v="2"/>
        <n v="7"/>
        <n v="6"/>
        <n v="3"/>
        <n v="0"/>
        <n v="12"/>
        <n v="21"/>
        <n v="1"/>
        <n v="11"/>
        <n v="5"/>
        <n v="4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作成者" refreshedDate="45155.455657986109" createdVersion="5" refreshedVersion="8" minRefreshableVersion="3" recordCount="961" xr:uid="{AE5401D0-E0AE-46F3-BFE1-8F6446167403}">
  <cacheSource type="external" connectionId="3"/>
  <cacheFields count="14">
    <cacheField name="都道府県" numFmtId="0" sqlType="-9">
      <sharedItems count="1">
        <s v="22 静岡県"/>
      </sharedItems>
    </cacheField>
    <cacheField name="自治体名" numFmtId="0" sqlType="-9">
      <sharedItems count="46">
        <s v="静岡県"/>
        <s v="静岡市"/>
        <s v="静岡市葵区"/>
        <s v="静岡市駿河区"/>
        <s v="静岡市清水区"/>
        <s v="浜松市"/>
        <s v="浜松市中区"/>
        <s v="浜松市東区"/>
        <s v="浜松市西区"/>
        <s v="浜松市南区"/>
        <s v="浜松市北区"/>
        <s v="浜松市浜北区"/>
        <s v="浜松市天竜区"/>
        <s v="沼津市"/>
        <s v="熱海市"/>
        <s v="三島市"/>
        <s v="富士宮市"/>
        <s v="伊東市"/>
        <s v="島田市"/>
        <s v="富士市"/>
        <s v="磐田市"/>
        <s v="焼津市"/>
        <s v="掛川市"/>
        <s v="藤枝市"/>
        <s v="御殿場市"/>
        <s v="袋井市"/>
        <s v="下田市"/>
        <s v="裾野市"/>
        <s v="湖西市"/>
        <s v="伊豆市"/>
        <s v="御前崎市"/>
        <s v="菊川市"/>
        <s v="伊豆の国市"/>
        <s v="牧之原市"/>
        <s v="賀茂郡東伊豆町"/>
        <s v="賀茂郡河津町"/>
        <s v="賀茂郡南伊豆町"/>
        <s v="賀茂郡松崎町"/>
        <s v="賀茂郡西伊豆町"/>
        <s v="田方郡函南町"/>
        <s v="駿東郡清水町"/>
        <s v="駿東郡長泉町"/>
        <s v="駿東郡小山町"/>
        <s v="榛原郡吉田町"/>
        <s v="榛原郡川根本町"/>
        <s v="周智郡森町"/>
      </sharedItems>
    </cacheField>
    <cacheField name="自治体" numFmtId="0" sqlType="-9">
      <sharedItems count="46">
        <s v="22000 静岡県"/>
        <s v="22100 静岡市"/>
        <s v="22101 静岡市葵区"/>
        <s v="22102 静岡市駿河区"/>
        <s v="22103 静岡市清水区"/>
        <s v="22130 浜松市"/>
        <s v="22131 浜松市中区"/>
        <s v="22132 浜松市東区"/>
        <s v="22133 浜松市西区"/>
        <s v="22134 浜松市南区"/>
        <s v="22135 浜松市北区"/>
        <s v="22136 浜松市浜北区"/>
        <s v="22137 浜松市天竜区"/>
        <s v="22203 沼津市"/>
        <s v="22205 熱海市"/>
        <s v="22206 三島市"/>
        <s v="22207 富士宮市"/>
        <s v="22208 伊東市"/>
        <s v="22209 島田市"/>
        <s v="22210 富士市"/>
        <s v="22211 磐田市"/>
        <s v="22212 焼津市"/>
        <s v="22213 掛川市"/>
        <s v="22214 藤枝市"/>
        <s v="22215 御殿場市"/>
        <s v="22216 袋井市"/>
        <s v="22219 下田市"/>
        <s v="22220 裾野市"/>
        <s v="22221 湖西市"/>
        <s v="22222 伊豆市"/>
        <s v="22223 御前崎市"/>
        <s v="22224 菊川市"/>
        <s v="22225 伊豆の国市"/>
        <s v="22226 牧之原市"/>
        <s v="22301 賀茂郡東伊豆町"/>
        <s v="22302 賀茂郡河津町"/>
        <s v="22304 賀茂郡南伊豆町"/>
        <s v="22305 賀茂郡松崎町"/>
        <s v="22306 賀茂郡西伊豆町"/>
        <s v="22325 田方郡函南町"/>
        <s v="22341 駿東郡清水町"/>
        <s v="22342 駿東郡長泉町"/>
        <s v="22344 駿東郡小山町"/>
        <s v="22424 榛原郡吉田町"/>
        <s v="22429 榛原郡川根本町"/>
        <s v="22461 周智郡森町"/>
      </sharedItems>
    </cacheField>
    <cacheField name="産業分類コード" numFmtId="0" sqlType="-8">
      <sharedItems count="72">
        <s v="783"/>
        <s v="692"/>
        <s v="782"/>
        <s v="762"/>
        <s v="765"/>
        <s v="824"/>
        <s v="835"/>
        <s v="591"/>
        <s v="766"/>
        <s v="589"/>
        <s v="062"/>
        <s v="609"/>
        <s v="065"/>
        <s v="691"/>
        <s v="081"/>
        <s v="083"/>
        <s v="064"/>
        <s v="603"/>
        <s v="742"/>
        <s v="891"/>
        <s v="586"/>
        <s v="573"/>
        <s v="767"/>
        <s v="781"/>
        <s v="682"/>
        <s v="541"/>
        <s v="131"/>
        <s v="559"/>
        <s v="077"/>
        <s v="311"/>
        <s v="693"/>
        <s v="724"/>
        <s v="694"/>
        <s v="066"/>
        <s v="079"/>
        <s v="266"/>
        <s v="823"/>
        <s v="244"/>
        <s v="072"/>
        <s v="593"/>
        <s v="121"/>
        <s v="103"/>
        <s v="605"/>
        <s v="071"/>
        <s v="761"/>
        <s v="751"/>
        <s v="769"/>
        <s v="759"/>
        <s v="853"/>
        <s v="092"/>
        <s v="521"/>
        <s v="789"/>
        <s v="809"/>
        <s v="607"/>
        <s v="752"/>
        <s v="772"/>
        <s v="078"/>
        <s v="855"/>
        <s v="951"/>
        <s v="076"/>
        <s v="929"/>
        <s v="075"/>
        <s v="763"/>
        <s v="531"/>
        <s v="582"/>
        <s v="522"/>
        <s v="269"/>
        <s v="543"/>
        <s v="112"/>
        <s v="585"/>
        <s v="611"/>
        <s v="833"/>
      </sharedItems>
    </cacheField>
    <cacheField name="産業分類" numFmtId="0" sqlType="-9">
      <sharedItems count="72">
        <s v="美容業"/>
        <s v="貸家業，貸間業"/>
        <s v="理容業"/>
        <s v="専門料理店"/>
        <s v="酒場，ビヤホール"/>
        <s v="教養・技能教授業"/>
        <s v="療術業"/>
        <s v="自動車小売業"/>
        <s v="バー，キャバレー，ナイトクラブ"/>
        <s v="その他の飲食料品小売業"/>
        <s v="土木工事業（舗装工事業を除く）"/>
        <s v="他に分類されない小売業"/>
        <s v="木造建築工事業"/>
        <s v="不動産賃貸業（貸家業，貸間業を除く）"/>
        <s v="電気工事業"/>
        <s v="管工事業（さく井工事業を除く）"/>
        <s v="建築工事業（木造建築工事業を除く）"/>
        <s v="医薬品・化粧品小売業"/>
        <s v="土木建築サービス業"/>
        <s v="自動車整備業"/>
        <s v="菓子・パン小売業"/>
        <s v="婦人・子供服小売業"/>
        <s v="喫茶店"/>
        <s v="洗濯業"/>
        <s v="不動産代理業・仲介業"/>
        <s v="産業機械器具卸売業"/>
        <s v="家具製造業"/>
        <s v="他に分類されない卸売業"/>
        <s v="塗装工事業"/>
        <s v="自動車・同附属品製造業"/>
        <s v="駐車場業"/>
        <s v="公認会計士事務所，税理士事務所"/>
        <s v="不動産管理業"/>
        <s v="建築リフォーム工事業"/>
        <s v="その他の職別工事業"/>
        <s v="金属加工機械製造業"/>
        <s v="学習塾"/>
        <s v="建設用・建築用金属製品製造業（製缶板金業を含む）"/>
        <s v="とび・土工・コンクリート工事業"/>
        <s v="機械器具小売業（自動車，自転車を除く）"/>
        <s v="製材業，木製品製造業"/>
        <s v="茶・コーヒー製造業（清涼飲料を除く）"/>
        <s v="燃料小売業"/>
        <s v="大工工事業"/>
        <s v="食堂，レストラン（専門料理店を除く）"/>
        <s v="旅館，ホテル"/>
        <s v="その他の飲食店"/>
        <s v="その他の宿泊業"/>
        <s v="児童福祉事業"/>
        <s v="水産食料品製造業"/>
        <s v="農畜産物・水産物卸売業"/>
        <s v="その他の洗濯・理容・美容・浴場業"/>
        <s v="その他の娯楽業"/>
        <s v="スポーツ用品・がん具・娯楽用品・楽器小売業"/>
        <s v="簡易宿所"/>
        <s v="配達飲食サービス業"/>
        <s v="床・内装工事業"/>
        <s v="障害者福祉事業"/>
        <s v="集会場"/>
        <s v="板金・金物工事業"/>
        <s v="他に分類されない事業サービス業"/>
        <s v="左官工事業"/>
        <s v="そば・うどん店"/>
        <s v="建築材料卸売業"/>
        <s v="野菜・果実小売業"/>
        <s v="食料・飲料卸売業"/>
        <s v="その他の生産用機械・同部分品製造業"/>
        <s v="電気機械器具卸売業"/>
        <s v="織物業"/>
        <s v="酒小売業"/>
        <s v="通信販売・訪問販売小売業"/>
        <s v="歯科診療所"/>
      </sharedItems>
    </cacheField>
    <cacheField name="産業小分類" numFmtId="0" sqlType="-9">
      <sharedItems count="72">
        <s v="783 美容業"/>
        <s v="692 貸家業，貸間業"/>
        <s v="782 理容業"/>
        <s v="762 専門料理店"/>
        <s v="765 酒場，ビヤホール"/>
        <s v="824 教養・技能教授業"/>
        <s v="835 療術業"/>
        <s v="591 自動車小売業"/>
        <s v="766 バー，キャバレー，ナイトクラブ"/>
        <s v="589 その他の飲食料品小売業"/>
        <s v="062 土木工事業（舗装工事業を除く）"/>
        <s v="609 他に分類されない小売業"/>
        <s v="065 木造建築工事業"/>
        <s v="691 不動産賃貸業（貸家業，貸間業を除く）"/>
        <s v="081 電気工事業"/>
        <s v="083 管工事業（さく井工事業を除く）"/>
        <s v="064 建築工事業（木造建築工事業を除く）"/>
        <s v="603 医薬品・化粧品小売業"/>
        <s v="742 土木建築サービス業"/>
        <s v="891 自動車整備業"/>
        <s v="586 菓子・パン小売業"/>
        <s v="573 婦人・子供服小売業"/>
        <s v="767 喫茶店"/>
        <s v="781 洗濯業"/>
        <s v="682 不動産代理業・仲介業"/>
        <s v="541 産業機械器具卸売業"/>
        <s v="131 家具製造業"/>
        <s v="559 他に分類されない卸売業"/>
        <s v="077 塗装工事業"/>
        <s v="311 自動車・同附属品製造業"/>
        <s v="693 駐車場業"/>
        <s v="724 公認会計士事務所，税理士事務所"/>
        <s v="694 不動産管理業"/>
        <s v="066 建築リフォーム工事業"/>
        <s v="079 その他の職別工事業"/>
        <s v="266 金属加工機械製造業"/>
        <s v="823 学習塾"/>
        <s v="244 建設用・建築用金属製品製造業（製缶板金業を含む）"/>
        <s v="072 とび・土工・コンクリート工事業"/>
        <s v="593 機械器具小売業（自動車，自転車を除く）"/>
        <s v="121 製材業，木製品製造業"/>
        <s v="103 茶・コーヒー製造業（清涼飲料を除く）"/>
        <s v="605 燃料小売業"/>
        <s v="071 大工工事業"/>
        <s v="761 食堂，レストラン（専門料理店を除く）"/>
        <s v="751 旅館，ホテル"/>
        <s v="769 その他の飲食店"/>
        <s v="759 その他の宿泊業"/>
        <s v="853 児童福祉事業"/>
        <s v="092 水産食料品製造業"/>
        <s v="521 農畜産物・水産物卸売業"/>
        <s v="789 その他の洗濯・理容・美容・浴場業"/>
        <s v="809 その他の娯楽業"/>
        <s v="607 スポーツ用品・がん具・娯楽用品・楽器小売業"/>
        <s v="752 簡易宿所"/>
        <s v="772 配達飲食サービス業"/>
        <s v="078 床・内装工事業"/>
        <s v="855 障害者福祉事業"/>
        <s v="951 集会場"/>
        <s v="076 板金・金物工事業"/>
        <s v="929 他に分類されない事業サービス業"/>
        <s v="075 左官工事業"/>
        <s v="763 そば・うどん店"/>
        <s v="531 建築材料卸売業"/>
        <s v="582 野菜・果実小売業"/>
        <s v="522 食料・飲料卸売業"/>
        <s v="269 その他の生産用機械・同部分品製造業"/>
        <s v="543 電気機械器具卸売業"/>
        <s v="112 織物業"/>
        <s v="585 酒小売業"/>
        <s v="611 通信販売・訪問販売小売業"/>
        <s v="833 歯科診療所"/>
      </sharedItems>
    </cacheField>
    <cacheField name="rank" numFmtId="0" sqlType="-5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総数" numFmtId="0" sqlType="4">
      <sharedItems containsSemiMixedTypes="0" containsString="0" containsNumber="1" containsInteger="1" minValue="4" maxValue="5067" count="226">
        <n v="5067"/>
        <n v="4468"/>
        <n v="2685"/>
        <n v="2554"/>
        <n v="2394"/>
        <n v="2211"/>
        <n v="2130"/>
        <n v="1936"/>
        <n v="1867"/>
        <n v="1833"/>
        <n v="1722"/>
        <n v="1714"/>
        <n v="1637"/>
        <n v="1559"/>
        <n v="1465"/>
        <n v="1374"/>
        <n v="1339"/>
        <n v="1315"/>
        <n v="1261"/>
        <n v="1258"/>
        <n v="1036"/>
        <n v="729"/>
        <n v="613"/>
        <n v="549"/>
        <n v="505"/>
        <n v="445"/>
        <n v="411"/>
        <n v="372"/>
        <n v="370"/>
        <n v="352"/>
        <n v="341"/>
        <n v="326"/>
        <n v="285"/>
        <n v="269"/>
        <n v="267"/>
        <n v="260"/>
        <n v="242"/>
        <n v="238"/>
        <n v="236"/>
        <n v="421"/>
        <n v="280"/>
        <n v="248"/>
        <n v="241"/>
        <n v="196"/>
        <n v="174"/>
        <n v="172"/>
        <n v="171"/>
        <n v="170"/>
        <n v="165"/>
        <n v="151"/>
        <n v="145"/>
        <n v="128"/>
        <n v="117"/>
        <n v="111"/>
        <n v="110"/>
        <n v="106"/>
        <n v="96"/>
        <n v="95"/>
        <n v="276"/>
        <n v="268"/>
        <n v="141"/>
        <n v="140"/>
        <n v="118"/>
        <n v="113"/>
        <n v="101"/>
        <n v="93"/>
        <n v="86"/>
        <n v="85"/>
        <n v="77"/>
        <n v="76"/>
        <n v="75"/>
        <n v="74"/>
        <n v="73"/>
        <n v="72"/>
        <n v="347"/>
        <n v="212"/>
        <n v="193"/>
        <n v="162"/>
        <n v="156"/>
        <n v="148"/>
        <n v="134"/>
        <n v="125"/>
        <n v="107"/>
        <n v="105"/>
        <n v="99"/>
        <n v="92"/>
        <n v="88"/>
        <n v="79"/>
        <n v="78"/>
        <n v="1022"/>
        <n v="913"/>
        <n v="547"/>
        <n v="479"/>
        <n v="477"/>
        <n v="447"/>
        <n v="436"/>
        <n v="397"/>
        <n v="382"/>
        <n v="356"/>
        <n v="354"/>
        <n v="331"/>
        <n v="308"/>
        <n v="283"/>
        <n v="282"/>
        <n v="272"/>
        <n v="247"/>
        <n v="383"/>
        <n v="351"/>
        <n v="235"/>
        <n v="213"/>
        <n v="209"/>
        <n v="175"/>
        <n v="173"/>
        <n v="163"/>
        <n v="109"/>
        <n v="89"/>
        <n v="87"/>
        <n v="82"/>
        <n v="81"/>
        <n v="139"/>
        <n v="123"/>
        <n v="71"/>
        <n v="60"/>
        <n v="54"/>
        <n v="53"/>
        <n v="51"/>
        <n v="50"/>
        <n v="48"/>
        <n v="46"/>
        <n v="45"/>
        <n v="42"/>
        <n v="40"/>
        <n v="102"/>
        <n v="65"/>
        <n v="61"/>
        <n v="55"/>
        <n v="38"/>
        <n v="37"/>
        <n v="36"/>
        <n v="34"/>
        <n v="33"/>
        <n v="32"/>
        <n v="31"/>
        <n v="29"/>
        <n v="28"/>
        <n v="104"/>
        <n v="98"/>
        <n v="62"/>
        <n v="59"/>
        <n v="56"/>
        <n v="52"/>
        <n v="41"/>
        <n v="39"/>
        <n v="30"/>
        <n v="26"/>
        <n v="25"/>
        <n v="70"/>
        <n v="68"/>
        <n v="49"/>
        <n v="47"/>
        <n v="44"/>
        <n v="35"/>
        <n v="27"/>
        <n v="138"/>
        <n v="67"/>
        <n v="66"/>
        <n v="58"/>
        <n v="57"/>
        <n v="43"/>
        <n v="23"/>
        <n v="20"/>
        <n v="18"/>
        <n v="17"/>
        <n v="16"/>
        <n v="15"/>
        <n v="14"/>
        <n v="12"/>
        <n v="11"/>
        <n v="234"/>
        <n v="166"/>
        <n v="136"/>
        <n v="129"/>
        <n v="126"/>
        <n v="114"/>
        <n v="100"/>
        <n v="83"/>
        <n v="69"/>
        <n v="24"/>
        <n v="22"/>
        <n v="21"/>
        <n v="115"/>
        <n v="191"/>
        <n v="124"/>
        <n v="122"/>
        <n v="63"/>
        <n v="132"/>
        <n v="121"/>
        <n v="376"/>
        <n v="350"/>
        <n v="177"/>
        <n v="167"/>
        <n v="160"/>
        <n v="159"/>
        <n v="157"/>
        <n v="153"/>
        <n v="149"/>
        <n v="133"/>
        <n v="108"/>
        <n v="94"/>
        <n v="189"/>
        <n v="91"/>
        <n v="64"/>
        <n v="147"/>
        <n v="80"/>
        <n v="195"/>
        <n v="90"/>
        <n v="84"/>
        <n v="13"/>
        <n v="19"/>
        <n v="10"/>
        <n v="9"/>
        <n v="8"/>
        <n v="7"/>
        <n v="6"/>
        <n v="5"/>
        <n v="4"/>
      </sharedItems>
    </cacheField>
    <cacheField name="構成比" numFmtId="0" sqlType="3">
      <sharedItems containsSemiMixedTypes="0" containsString="0" containsNumber="1" minValue="1.1000000000000001" maxValue="17.84" count="297">
        <n v="5.24"/>
        <n v="4.62"/>
        <n v="2.78"/>
        <n v="2.64"/>
        <n v="2.48"/>
        <n v="2.29"/>
        <n v="2.2000000000000002"/>
        <n v="2"/>
        <n v="1.93"/>
        <n v="1.9"/>
        <n v="1.78"/>
        <n v="1.77"/>
        <n v="1.69"/>
        <n v="1.61"/>
        <n v="1.52"/>
        <n v="1.42"/>
        <n v="1.39"/>
        <n v="1.36"/>
        <n v="1.3"/>
        <n v="5.32"/>
        <n v="3.74"/>
        <n v="3.15"/>
        <n v="2.82"/>
        <n v="2.59"/>
        <n v="2.2799999999999998"/>
        <n v="2.11"/>
        <n v="1.91"/>
        <n v="1.81"/>
        <n v="1.75"/>
        <n v="1.67"/>
        <n v="1.46"/>
        <n v="1.38"/>
        <n v="1.37"/>
        <n v="1.33"/>
        <n v="1.24"/>
        <n v="1.22"/>
        <n v="1.21"/>
        <n v="5.38"/>
        <n v="3.58"/>
        <n v="3.17"/>
        <n v="3.08"/>
        <n v="2.5"/>
        <n v="2.2200000000000002"/>
        <n v="2.1800000000000002"/>
        <n v="2.17"/>
        <n v="1.85"/>
        <n v="1.63"/>
        <n v="1.49"/>
        <n v="1.4"/>
        <n v="1.35"/>
        <n v="1.23"/>
        <n v="5.13"/>
        <n v="4.99"/>
        <n v="2.62"/>
        <n v="2.6"/>
        <n v="2.19"/>
        <n v="2.1"/>
        <n v="1.88"/>
        <n v="1.73"/>
        <n v="1.6"/>
        <n v="1.58"/>
        <n v="1.43"/>
        <n v="1.41"/>
        <n v="1.34"/>
        <n v="5.53"/>
        <n v="3.38"/>
        <n v="3.07"/>
        <n v="2.58"/>
        <n v="2.36"/>
        <n v="2.13"/>
        <n v="1.99"/>
        <n v="1.7"/>
        <n v="1.26"/>
        <n v="4.59"/>
        <n v="2.75"/>
        <n v="2.41"/>
        <n v="2.4"/>
        <n v="2.25"/>
        <n v="1.92"/>
        <n v="1.79"/>
        <n v="1.66"/>
        <n v="1.55"/>
        <n v="1.25"/>
        <n v="5.36"/>
        <n v="4.92"/>
        <n v="3.96"/>
        <n v="3.29"/>
        <n v="2.98"/>
        <n v="2.93"/>
        <n v="2.4500000000000002"/>
        <n v="2.42"/>
        <n v="1.97"/>
        <n v="1.53"/>
        <n v="1.2"/>
        <n v="1.1499999999999999"/>
        <n v="1.1299999999999999"/>
        <n v="4.51"/>
        <n v="4.1500000000000004"/>
        <n v="3.68"/>
        <n v="2.87"/>
        <n v="2.12"/>
        <n v="5.69"/>
        <n v="4.72"/>
        <n v="3.01"/>
        <n v="2.54"/>
        <n v="2.08"/>
        <n v="1.94"/>
        <n v="1.76"/>
        <n v="1.71"/>
        <n v="1.57"/>
        <n v="1.48"/>
        <n v="1.29"/>
        <n v="4.76"/>
        <n v="4.4800000000000004"/>
        <n v="2.84"/>
        <n v="2.7"/>
        <n v="2.56"/>
        <n v="2.38"/>
        <n v="1.74"/>
        <n v="1.28"/>
        <n v="1.19"/>
        <n v="1.1399999999999999"/>
        <n v="3.42"/>
        <n v="3.33"/>
        <n v="2.2999999999999998"/>
        <n v="2.15"/>
        <n v="1.47"/>
        <n v="1.32"/>
        <n v="1.27"/>
        <n v="6.26"/>
        <n v="3.04"/>
        <n v="2.99"/>
        <n v="2.68"/>
        <n v="2.63"/>
        <n v="2.09"/>
        <n v="2.04"/>
        <n v="1.5"/>
        <n v="1.45"/>
        <n v="5.21"/>
        <n v="4.12"/>
        <n v="3.27"/>
        <n v="2.06"/>
        <n v="1.82"/>
        <n v="5.14"/>
        <n v="4.3"/>
        <n v="3.16"/>
        <n v="3.05"/>
        <n v="2.37"/>
        <n v="2.31"/>
        <n v="1.95"/>
        <n v="1.84"/>
        <n v="8.4700000000000006"/>
        <n v="5.71"/>
        <n v="4.4000000000000004"/>
        <n v="3.87"/>
        <n v="3.35"/>
        <n v="2.23"/>
        <n v="1.44"/>
        <n v="1.31"/>
        <n v="7.43"/>
        <n v="5.5"/>
        <n v="3.73"/>
        <n v="3.64"/>
        <n v="3.39"/>
        <n v="3.13"/>
        <n v="1.8"/>
        <n v="1.65"/>
        <n v="5.98"/>
        <n v="2.88"/>
        <n v="2.35"/>
        <n v="2.16"/>
        <n v="1.56"/>
        <n v="5.26"/>
        <n v="4.79"/>
        <n v="4.71"/>
        <n v="3.21"/>
        <n v="2.4300000000000002"/>
        <n v="2.3199999999999998"/>
        <n v="1.89"/>
        <n v="1.62"/>
        <n v="1.51"/>
        <n v="5.16"/>
        <n v="4.7300000000000004"/>
        <n v="3.6"/>
        <n v="2.0299999999999998"/>
        <n v="1.68"/>
        <n v="5.54"/>
        <n v="2.61"/>
        <n v="2.46"/>
        <n v="2.34"/>
        <n v="1.96"/>
        <n v="1.59"/>
        <n v="5.0199999999999996"/>
        <n v="3"/>
        <n v="2.21"/>
        <n v="5.76"/>
        <n v="3.25"/>
        <n v="2.97"/>
        <n v="2.89"/>
        <n v="2.86"/>
        <n v="2.5099999999999998"/>
        <n v="5.84"/>
        <n v="3.78"/>
        <n v="3.26"/>
        <n v="3.18"/>
        <n v="2.74"/>
        <n v="1.83"/>
        <n v="5.99"/>
        <n v="3.62"/>
        <n v="3.59"/>
        <n v="3.19"/>
        <n v="2.76"/>
        <n v="5.79"/>
        <n v="3.44"/>
        <n v="2.95"/>
        <n v="2.67"/>
        <n v="2.57"/>
        <n v="2.2400000000000002"/>
        <n v="2.0699999999999998"/>
        <n v="1.86"/>
        <n v="8.19"/>
        <n v="5.89"/>
        <n v="3.37"/>
        <n v="1.87"/>
        <n v="1.1200000000000001"/>
        <n v="11"/>
        <n v="4.75"/>
        <n v="4.05"/>
        <n v="2.9"/>
        <n v="2.5499999999999998"/>
        <n v="7.96"/>
        <n v="3.7"/>
        <n v="2.94"/>
        <n v="2.65"/>
        <n v="6.95"/>
        <n v="4.8899999999999997"/>
        <n v="4.28"/>
        <n v="2.44"/>
        <n v="8.36"/>
        <n v="4.13"/>
        <n v="3.8"/>
        <n v="3.47"/>
        <n v="2.39"/>
        <n v="5.58"/>
        <n v="3.61"/>
        <n v="3.06"/>
        <n v="2.52"/>
        <n v="1.64"/>
        <n v="5.47"/>
        <n v="3.24"/>
        <n v="3.14"/>
        <n v="2.33"/>
        <n v="1.72"/>
        <n v="11.78"/>
        <n v="6.99"/>
        <n v="3.28"/>
        <n v="1.54"/>
        <n v="8.3000000000000007"/>
        <n v="5.39"/>
        <n v="3.32"/>
        <n v="3.11"/>
        <n v="11.43"/>
        <n v="3.81"/>
        <n v="3.49"/>
        <n v="17.84"/>
        <n v="4.32"/>
        <n v="3.51"/>
        <n v="14.29"/>
        <n v="4.5599999999999996"/>
        <n v="3.65"/>
        <n v="3.34"/>
        <n v="8.16"/>
        <n v="4.37"/>
        <n v="3.79"/>
        <n v="3.5"/>
        <n v="2.92"/>
        <n v="8.7899999999999991"/>
        <n v="4.5199999999999996"/>
        <n v="3.02"/>
        <n v="2.2599999999999998"/>
        <n v="2.14"/>
        <n v="6.42"/>
        <n v="3.45"/>
        <n v="3.09"/>
        <n v="2.85"/>
        <n v="9.5"/>
        <n v="6.09"/>
        <n v="4.1399999999999997"/>
        <n v="1.1000000000000001"/>
        <n v="3.98"/>
        <n v="5.56"/>
        <n v="7.8"/>
        <n v="5.42"/>
        <n v="4.07"/>
        <n v="2.71"/>
        <n v="5.08"/>
        <n v="4.87"/>
      </sharedItems>
    </cacheField>
    <cacheField name="総数（個人）" numFmtId="0" sqlType="4">
      <sharedItems containsSemiMixedTypes="0" containsString="0" containsNumber="1" containsInteger="1" minValue="0" maxValue="4503" count="191">
        <n v="4503"/>
        <n v="2740"/>
        <n v="2577"/>
        <n v="2106"/>
        <n v="2182"/>
        <n v="1818"/>
        <n v="1870"/>
        <n v="1027"/>
        <n v="1716"/>
        <n v="1201"/>
        <n v="371"/>
        <n v="1060"/>
        <n v="847"/>
        <n v="344"/>
        <n v="479"/>
        <n v="392"/>
        <n v="274"/>
        <n v="508"/>
        <n v="599"/>
        <n v="894"/>
        <n v="910"/>
        <n v="356"/>
        <n v="574"/>
        <n v="536"/>
        <n v="418"/>
        <n v="400"/>
        <n v="332"/>
        <n v="266"/>
        <n v="252"/>
        <n v="214"/>
        <n v="72"/>
        <n v="303"/>
        <n v="111"/>
        <n v="75"/>
        <n v="46"/>
        <n v="95"/>
        <n v="82"/>
        <n v="193"/>
        <n v="190"/>
        <n v="33"/>
        <n v="357"/>
        <n v="255"/>
        <n v="197"/>
        <n v="90"/>
        <n v="189"/>
        <n v="105"/>
        <n v="118"/>
        <n v="154"/>
        <n v="128"/>
        <n v="149"/>
        <n v="30"/>
        <n v="54"/>
        <n v="61"/>
        <n v="35"/>
        <n v="97"/>
        <n v="68"/>
        <n v="81"/>
        <n v="16"/>
        <n v="63"/>
        <n v="28"/>
        <n v="132"/>
        <n v="238"/>
        <n v="137"/>
        <n v="135"/>
        <n v="103"/>
        <n v="67"/>
        <n v="18"/>
        <n v="19"/>
        <n v="84"/>
        <n v="5"/>
        <n v="11"/>
        <n v="23"/>
        <n v="58"/>
        <n v="22"/>
        <n v="59"/>
        <n v="45"/>
        <n v="9"/>
        <n v="315"/>
        <n v="134"/>
        <n v="210"/>
        <n v="184"/>
        <n v="148"/>
        <n v="79"/>
        <n v="89"/>
        <n v="34"/>
        <n v="100"/>
        <n v="83"/>
        <n v="17"/>
        <n v="38"/>
        <n v="24"/>
        <n v="918"/>
        <n v="431"/>
        <n v="506"/>
        <n v="388"/>
        <n v="367"/>
        <n v="217"/>
        <n v="47"/>
        <n v="326"/>
        <n v="153"/>
        <n v="71"/>
        <n v="151"/>
        <n v="53"/>
        <n v="42"/>
        <n v="52"/>
        <n v="171"/>
        <n v="70"/>
        <n v="146"/>
        <n v="98"/>
        <n v="324"/>
        <n v="133"/>
        <n v="235"/>
        <n v="180"/>
        <n v="29"/>
        <n v="169"/>
        <n v="158"/>
        <n v="73"/>
        <n v="66"/>
        <n v="41"/>
        <n v="36"/>
        <n v="6"/>
        <n v="74"/>
        <n v="3"/>
        <n v="141"/>
        <n v="65"/>
        <n v="60"/>
        <n v="88"/>
        <n v="8"/>
        <n v="10"/>
        <n v="20"/>
        <n v="7"/>
        <n v="12"/>
        <n v="15"/>
        <n v="4"/>
        <n v="112"/>
        <n v="48"/>
        <n v="56"/>
        <n v="49"/>
        <n v="32"/>
        <n v="14"/>
        <n v="31"/>
        <n v="37"/>
        <n v="55"/>
        <n v="43"/>
        <n v="1"/>
        <n v="26"/>
        <n v="2"/>
        <n v="106"/>
        <n v="25"/>
        <n v="93"/>
        <n v="13"/>
        <n v="244"/>
        <n v="142"/>
        <n v="152"/>
        <n v="131"/>
        <n v="125"/>
        <n v="69"/>
        <n v="62"/>
        <n v="51"/>
        <n v="27"/>
        <n v="156"/>
        <n v="44"/>
        <n v="96"/>
        <n v="87"/>
        <n v="173"/>
        <n v="76"/>
        <n v="50"/>
        <n v="92"/>
        <n v="110"/>
        <n v="94"/>
        <n v="39"/>
        <n v="0"/>
        <n v="121"/>
        <n v="91"/>
        <n v="40"/>
        <n v="260"/>
        <n v="302"/>
        <n v="166"/>
        <n v="143"/>
        <n v="102"/>
        <n v="57"/>
        <n v="163"/>
        <n v="113"/>
        <n v="64"/>
        <n v="185"/>
        <n v="129"/>
        <n v="80"/>
        <n v="78"/>
        <n v="21"/>
        <n v="172"/>
        <n v="104"/>
        <n v="155"/>
      </sharedItems>
    </cacheField>
    <cacheField name="構成比（個人）" numFmtId="0" sqlType="3">
      <sharedItems containsSemiMixedTypes="0" containsString="0" containsNumber="1" minValue="0" maxValue="21.99" count="458">
        <n v="8.83"/>
        <n v="5.37"/>
        <n v="5.05"/>
        <n v="4.13"/>
        <n v="4.28"/>
        <n v="3.56"/>
        <n v="3.67"/>
        <n v="2.0099999999999998"/>
        <n v="3.36"/>
        <n v="2.35"/>
        <n v="0.73"/>
        <n v="2.08"/>
        <n v="1.66"/>
        <n v="0.67"/>
        <n v="0.94"/>
        <n v="0.77"/>
        <n v="0.54"/>
        <n v="1"/>
        <n v="1.17"/>
        <n v="1.75"/>
        <n v="9.08"/>
        <n v="3.55"/>
        <n v="5.72"/>
        <n v="5.35"/>
        <n v="4.17"/>
        <n v="3.99"/>
        <n v="3.31"/>
        <n v="2.65"/>
        <n v="2.5099999999999998"/>
        <n v="2.13"/>
        <n v="0.72"/>
        <n v="3.02"/>
        <n v="1.1100000000000001"/>
        <n v="0.75"/>
        <n v="0.46"/>
        <n v="0.95"/>
        <n v="0.82"/>
        <n v="1.92"/>
        <n v="1.89"/>
        <n v="0.33"/>
        <n v="8.9700000000000006"/>
        <n v="6.4"/>
        <n v="4.95"/>
        <n v="2.2599999999999998"/>
        <n v="4.75"/>
        <n v="2.64"/>
        <n v="2.96"/>
        <n v="3.87"/>
        <n v="3.21"/>
        <n v="3.74"/>
        <n v="1.36"/>
        <n v="1.53"/>
        <n v="0.88"/>
        <n v="2.44"/>
        <n v="1.71"/>
        <n v="2.0299999999999998"/>
        <n v="0.4"/>
        <n v="1.58"/>
        <n v="0.7"/>
        <n v="5.59"/>
        <n v="10.08"/>
        <n v="5.81"/>
        <n v="4.3600000000000003"/>
        <n v="2.84"/>
        <n v="0.76"/>
        <n v="0.81"/>
        <n v="0.21"/>
        <n v="0.47"/>
        <n v="3.05"/>
        <n v="0.97"/>
        <n v="2.46"/>
        <n v="0.93"/>
        <n v="2.5"/>
        <n v="1.91"/>
        <n v="0.38"/>
        <n v="1.19"/>
        <n v="8.5500000000000007"/>
        <n v="3.64"/>
        <n v="5.7"/>
        <n v="4.99"/>
        <n v="4.0199999999999996"/>
        <n v="3.72"/>
        <n v="3.58"/>
        <n v="2.85"/>
        <n v="2.14"/>
        <n v="2.42"/>
        <n v="0.92"/>
        <n v="2.71"/>
        <n v="2.25"/>
        <n v="1.25"/>
        <n v="2.04"/>
        <n v="0.52"/>
        <n v="1.03"/>
        <n v="0.65"/>
        <n v="9.99"/>
        <n v="4.6900000000000004"/>
        <n v="5.51"/>
        <n v="4.22"/>
        <n v="4"/>
        <n v="4.04"/>
        <n v="2.36"/>
        <n v="0.51"/>
        <n v="1.67"/>
        <n v="3.3"/>
        <n v="1.64"/>
        <n v="0.57999999999999996"/>
        <n v="0.56999999999999995"/>
        <n v="1.86"/>
        <n v="1.59"/>
        <n v="1.07"/>
        <n v="10.19"/>
        <n v="4.18"/>
        <n v="7.39"/>
        <n v="5.66"/>
        <n v="0.91"/>
        <n v="5.31"/>
        <n v="4.97"/>
        <n v="2.29"/>
        <n v="2.0699999999999998"/>
        <n v="1.29"/>
        <n v="1.48"/>
        <n v="1.7"/>
        <n v="1.1299999999999999"/>
        <n v="0.19"/>
        <n v="2.33"/>
        <n v="0.09"/>
        <n v="1.04"/>
        <n v="10.199999999999999"/>
        <n v="4.7"/>
        <n v="4.34"/>
        <n v="6.36"/>
        <n v="3.9"/>
        <n v="4.5599999999999996"/>
        <n v="4.41"/>
        <n v="0.43"/>
        <n v="3.33"/>
        <n v="1.45"/>
        <n v="0.87"/>
        <n v="0.36"/>
        <n v="1.08"/>
        <n v="1.23"/>
        <n v="0.28999999999999998"/>
        <n v="10.54"/>
        <n v="4.5199999999999996"/>
        <n v="5.08"/>
        <n v="5.27"/>
        <n v="1.79"/>
        <n v="4.6100000000000003"/>
        <n v="3.1"/>
        <n v="0.85"/>
        <n v="3.01"/>
        <n v="0.66"/>
        <n v="1.32"/>
        <n v="2.92"/>
        <n v="1.41"/>
        <n v="0.56000000000000005"/>
        <n v="2.16"/>
        <n v="11.04"/>
        <n v="4.6399999999999997"/>
        <n v="4.08"/>
        <n v="6.07"/>
        <n v="1.55"/>
        <n v="1.21"/>
        <n v="0.55000000000000004"/>
        <n v="3.75"/>
        <n v="2.54"/>
        <n v="0.11"/>
        <n v="2.87"/>
        <n v="0.22"/>
        <n v="1.1000000000000001"/>
        <n v="10.31"/>
        <n v="6.52"/>
        <n v="2.82"/>
        <n v="4.38"/>
        <n v="3.11"/>
        <n v="3.7"/>
        <n v="1.56"/>
        <n v="0.49"/>
        <n v="2.2400000000000002"/>
        <n v="1.46"/>
        <n v="1.85"/>
        <n v="0.78"/>
        <n v="1.65"/>
        <n v="2.4300000000000002"/>
        <n v="8.34"/>
        <n v="8.17"/>
        <n v="4.57"/>
        <n v="3.16"/>
        <n v="2.99"/>
        <n v="4.92"/>
        <n v="1.1399999999999999"/>
        <n v="1.49"/>
        <n v="1.4"/>
        <n v="0.35"/>
        <n v="2.5499999999999998"/>
        <n v="0.44"/>
        <n v="2.02"/>
        <n v="1.05"/>
        <n v="1.93"/>
        <n v="8.64"/>
        <n v="1.44"/>
        <n v="6.79"/>
        <n v="2.88"/>
        <n v="3.5"/>
        <n v="2.67"/>
        <n v="2.06"/>
        <n v="2.4700000000000002"/>
        <n v="9.67"/>
        <n v="4.4400000000000004"/>
        <n v="5.63"/>
        <n v="6.02"/>
        <n v="5.19"/>
        <n v="2.2200000000000002"/>
        <n v="3.57"/>
        <n v="2.73"/>
        <n v="1.63"/>
        <n v="1.94"/>
        <n v="0.28000000000000003"/>
        <n v="0.63"/>
        <n v="10.43"/>
        <n v="7.89"/>
        <n v="8.27"/>
        <n v="6.49"/>
        <n v="1.02"/>
        <n v="3.44"/>
        <n v="0.89"/>
        <n v="0.13"/>
        <n v="1.1499999999999999"/>
        <n v="9.0399999999999991"/>
        <n v="8.92"/>
        <n v="6.08"/>
        <n v="5.56"/>
        <n v="5.04"/>
        <n v="3.94"/>
        <n v="1.97"/>
        <n v="1.27"/>
        <n v="1.74"/>
        <n v="0.64"/>
        <n v="1.1599999999999999"/>
        <n v="1.8"/>
        <n v="9.09"/>
        <n v="1.52"/>
        <n v="2.79"/>
        <n v="3.63"/>
        <n v="1.42"/>
        <n v="2.63"/>
        <n v="3.42"/>
        <n v="2.94"/>
        <n v="1.31"/>
        <n v="0.74"/>
        <n v="6.22"/>
        <n v="6.43"/>
        <n v="7.69"/>
        <n v="6.57"/>
        <n v="3.91"/>
        <n v="4.26"/>
        <n v="3.84"/>
        <n v="3.28"/>
        <n v="3.49"/>
        <n v="2.1"/>
        <n v="2.66"/>
        <n v="1.68"/>
        <n v="0"/>
        <n v="0.14000000000000001"/>
        <n v="7.57"/>
        <n v="6.63"/>
        <n v="5.69"/>
        <n v="3.38"/>
        <n v="3.07"/>
        <n v="1.69"/>
        <n v="1.06"/>
        <n v="2.38"/>
        <n v="1.5"/>
        <n v="7.11"/>
        <n v="8.26"/>
        <n v="4.54"/>
        <n v="3.69"/>
        <n v="3.88"/>
        <n v="4.32"/>
        <n v="4.05"/>
        <n v="0.96"/>
        <n v="1.18"/>
        <n v="0.9"/>
        <n v="2.21"/>
        <n v="6.18"/>
        <n v="5.58"/>
        <n v="2.52"/>
        <n v="4.49"/>
        <n v="3.39"/>
        <n v="2.19"/>
        <n v="2.95"/>
        <n v="1.0900000000000001"/>
        <n v="9.06"/>
        <n v="4.12"/>
        <n v="5.14"/>
        <n v="4.51"/>
        <n v="2.6"/>
        <n v="2.4500000000000002"/>
        <n v="1.57"/>
        <n v="0.83"/>
        <n v="0.69"/>
        <n v="9.23"/>
        <n v="4.8600000000000003"/>
        <n v="2.93"/>
        <n v="3.93"/>
        <n v="3.86"/>
        <n v="3"/>
        <n v="0.79"/>
        <n v="4.0599999999999996"/>
        <n v="5.03"/>
        <n v="3.85"/>
        <n v="3.6"/>
        <n v="2.0499999999999998"/>
        <n v="1.39"/>
        <n v="2.41"/>
        <n v="0.98"/>
        <n v="6.29"/>
        <n v="10.29"/>
        <n v="5.71"/>
        <n v="5.83"/>
        <n v="0.8"/>
        <n v="4.91"/>
        <n v="2.17"/>
        <n v="1.83"/>
        <n v="1.26"/>
        <n v="2.4"/>
        <n v="11.85"/>
        <n v="9.18"/>
        <n v="5.23"/>
        <n v="2.57"/>
        <n v="2.75"/>
        <n v="2.48"/>
        <n v="1.01"/>
        <n v="2.11"/>
        <n v="1.38"/>
        <n v="13.1"/>
        <n v="5.67"/>
        <n v="5.29"/>
        <n v="5.54"/>
        <n v="3.78"/>
        <n v="3.53"/>
        <n v="2.9"/>
        <n v="2.27"/>
        <n v="2.39"/>
        <n v="1.76"/>
        <n v="11.5"/>
        <n v="9.49"/>
        <n v="3.65"/>
        <n v="2.37"/>
        <n v="4.74"/>
        <n v="2.74"/>
        <n v="0.18"/>
        <n v="1.28"/>
        <n v="1.82"/>
        <n v="10.51"/>
        <n v="8.3000000000000007"/>
        <n v="3.18"/>
        <n v="4.43"/>
        <n v="3.04"/>
        <n v="3.32"/>
        <n v="2.77"/>
        <n v="0.41"/>
        <n v="12.92"/>
        <n v="5.13"/>
        <n v="4.96"/>
        <n v="4.25"/>
        <n v="2.12"/>
        <n v="1.77"/>
        <n v="2.83"/>
        <n v="0.53"/>
        <n v="2.2999999999999998"/>
        <n v="0.71"/>
        <n v="9.6999999999999993"/>
        <n v="5.45"/>
        <n v="6.06"/>
        <n v="0.61"/>
        <n v="1.62"/>
        <n v="3.23"/>
        <n v="0.2"/>
        <n v="8.36"/>
        <n v="5.97"/>
        <n v="3.24"/>
        <n v="4.78"/>
        <n v="5.12"/>
        <n v="3.92"/>
        <n v="2.56"/>
        <n v="0.68"/>
        <n v="17.38"/>
        <n v="7.51"/>
        <n v="4.1500000000000004"/>
        <n v="3.59"/>
        <n v="3.25"/>
        <n v="1.35"/>
        <n v="7.9"/>
        <n v="6.13"/>
        <n v="5.42"/>
        <n v="3.77"/>
        <n v="2.59"/>
        <n v="2"/>
        <n v="10.82"/>
        <n v="6.56"/>
        <n v="8.1999999999999993"/>
        <n v="2.62"/>
        <n v="13.12"/>
        <n v="5.43"/>
        <n v="4.07"/>
        <n v="3.62"/>
        <n v="1.81"/>
        <n v="0.45"/>
        <n v="21.99"/>
        <n v="5.32"/>
        <n v="3.19"/>
        <n v="18.829999999999998"/>
        <n v="6.28"/>
        <n v="4.5999999999999996"/>
        <n v="3.35"/>
        <n v="0.42"/>
        <n v="0.84"/>
        <n v="9.52"/>
        <n v="3.46"/>
        <n v="1.73"/>
        <n v="1.3"/>
        <n v="3.03"/>
        <n v="12.36"/>
        <n v="8.01"/>
        <n v="2.97"/>
        <n v="1.37"/>
        <n v="3.43"/>
        <n v="1.6"/>
        <n v="6"/>
        <n v="4.5"/>
        <n v="5.5"/>
        <n v="5"/>
        <n v="0.5"/>
        <n v="0.25"/>
        <n v="15.18"/>
        <n v="11.65"/>
        <n v="7.05"/>
        <n v="5.15"/>
        <n v="0.27"/>
        <n v="1.9"/>
        <n v="6.32"/>
        <n v="5.79"/>
        <n v="3.68"/>
        <n v="4.21"/>
        <n v="9.7899999999999991"/>
        <n v="4.76"/>
        <n v="3.17"/>
        <n v="4.2300000000000004"/>
        <n v="9.6199999999999992"/>
        <n v="5.77"/>
        <n v="6.73"/>
        <n v="4.33"/>
        <n v="0.48"/>
        <n v="3.37"/>
        <n v="8.14"/>
        <n v="6.1"/>
        <n v="0.34"/>
      </sharedItems>
    </cacheField>
    <cacheField name="総数（法人）" numFmtId="0" sqlType="4">
      <sharedItems containsSemiMixedTypes="0" containsString="0" containsNumber="1" containsInteger="1" minValue="0" maxValue="1723" count="136">
        <n v="562"/>
        <n v="1723"/>
        <n v="107"/>
        <n v="447"/>
        <n v="212"/>
        <n v="389"/>
        <n v="259"/>
        <n v="909"/>
        <n v="151"/>
        <n v="626"/>
        <n v="1351"/>
        <n v="651"/>
        <n v="790"/>
        <n v="1215"/>
        <n v="986"/>
        <n v="981"/>
        <n v="1065"/>
        <n v="807"/>
        <n v="638"/>
        <n v="364"/>
        <n v="126"/>
        <n v="373"/>
        <n v="39"/>
        <n v="13"/>
        <n v="87"/>
        <n v="45"/>
        <n v="78"/>
        <n v="105"/>
        <n v="117"/>
        <n v="138"/>
        <n v="269"/>
        <n v="23"/>
        <n v="170"/>
        <n v="194"/>
        <n v="221"/>
        <n v="165"/>
        <n v="160"/>
        <n v="48"/>
        <n v="203"/>
        <n v="64"/>
        <n v="25"/>
        <n v="51"/>
        <n v="7"/>
        <n v="69"/>
        <n v="54"/>
        <n v="17"/>
        <n v="42"/>
        <n v="16"/>
        <n v="121"/>
        <n v="89"/>
        <n v="67"/>
        <n v="82"/>
        <n v="14"/>
        <n v="80"/>
        <n v="33"/>
        <n v="144"/>
        <n v="30"/>
        <n v="4"/>
        <n v="5"/>
        <n v="15"/>
        <n v="50"/>
        <n v="95"/>
        <n v="90"/>
        <n v="21"/>
        <n v="63"/>
        <n v="26"/>
        <n v="55"/>
        <n v="57"/>
        <n v="29"/>
        <n v="44"/>
        <n v="32"/>
        <n v="2"/>
        <n v="9"/>
        <n v="19"/>
        <n v="28"/>
        <n v="46"/>
        <n v="22"/>
        <n v="73"/>
        <n v="58"/>
        <n v="62"/>
        <n v="59"/>
        <n v="53"/>
        <n v="103"/>
        <n v="482"/>
        <n v="41"/>
        <n v="91"/>
        <n v="109"/>
        <n v="76"/>
        <n v="219"/>
        <n v="350"/>
        <n v="56"/>
        <n v="260"/>
        <n v="157"/>
        <n v="229"/>
        <n v="240"/>
        <n v="228"/>
        <n v="202"/>
        <n v="102"/>
        <n v="149"/>
        <n v="218"/>
        <n v="184"/>
        <n v="40"/>
        <n v="68"/>
        <n v="93"/>
        <n v="34"/>
        <n v="12"/>
        <n v="79"/>
        <n v="10"/>
        <n v="74"/>
        <n v="8"/>
        <n v="65"/>
        <n v="43"/>
        <n v="31"/>
        <n v="38"/>
        <n v="36"/>
        <n v="11"/>
        <n v="6"/>
        <n v="27"/>
        <n v="24"/>
        <n v="35"/>
        <n v="3"/>
        <n v="1"/>
        <n v="18"/>
        <n v="0"/>
        <n v="122"/>
        <n v="86"/>
        <n v="37"/>
        <n v="20"/>
        <n v="66"/>
        <n v="60"/>
        <n v="47"/>
        <n v="116"/>
        <n v="118"/>
        <n v="104"/>
        <n v="75"/>
        <n v="72"/>
      </sharedItems>
    </cacheField>
    <cacheField name="構成比（法人）" numFmtId="0" sqlType="3">
      <sharedItems containsSemiMixedTypes="0" containsString="0" containsNumber="1" minValue="0" maxValue="10.26" count="348">
        <n v="1.25"/>
        <n v="3.83"/>
        <n v="0.24"/>
        <n v="0.99"/>
        <n v="0.47"/>
        <n v="0.87"/>
        <n v="0.57999999999999996"/>
        <n v="2.02"/>
        <n v="0.34"/>
        <n v="1.39"/>
        <n v="3.01"/>
        <n v="1.45"/>
        <n v="1.76"/>
        <n v="2.7"/>
        <n v="2.19"/>
        <n v="2.1800000000000002"/>
        <n v="2.37"/>
        <n v="1.8"/>
        <n v="1.42"/>
        <n v="0.81"/>
        <n v="1.34"/>
        <n v="3.97"/>
        <n v="0.42"/>
        <n v="0.14000000000000001"/>
        <n v="0.93"/>
        <n v="0.48"/>
        <n v="0.83"/>
        <n v="1.1200000000000001"/>
        <n v="1.47"/>
        <n v="2.87"/>
        <n v="0.25"/>
        <n v="1.81"/>
        <n v="2.0699999999999998"/>
        <n v="2.35"/>
        <n v="1.7"/>
        <n v="0.51"/>
        <n v="2.16"/>
        <n v="1.68"/>
        <n v="0.66"/>
        <n v="0.18"/>
        <n v="0.45"/>
        <n v="1.1000000000000001"/>
        <n v="3.18"/>
        <n v="2.34"/>
        <n v="0.37"/>
        <n v="2.1"/>
        <n v="4.79"/>
        <n v="1"/>
        <n v="0.13"/>
        <n v="0.17"/>
        <n v="0.5"/>
        <n v="1.66"/>
        <n v="3.16"/>
        <n v="2.73"/>
        <n v="0.56999999999999995"/>
        <n v="3"/>
        <n v="0.7"/>
        <n v="1.83"/>
        <n v="1.9"/>
        <n v="0.53"/>
        <n v="0.97"/>
        <n v="2.13"/>
        <n v="1.46"/>
        <n v="1.24"/>
        <n v="3.03"/>
        <n v="0.08"/>
        <n v="0.35"/>
        <n v="0.54"/>
        <n v="0.74"/>
        <n v="1.0900000000000001"/>
        <n v="1.79"/>
        <n v="0.85"/>
        <n v="2.83"/>
        <n v="0.19"/>
        <n v="0.62"/>
        <n v="2.25"/>
        <n v="2.41"/>
        <n v="2.29"/>
        <n v="1.51"/>
        <n v="2.06"/>
        <n v="4.5199999999999996"/>
        <n v="0.38"/>
        <n v="1.02"/>
        <n v="0.71"/>
        <n v="3.28"/>
        <n v="1.91"/>
        <n v="2.44"/>
        <n v="2.15"/>
        <n v="2.14"/>
        <n v="0.96"/>
        <n v="1.4"/>
        <n v="5.52"/>
        <n v="1.22"/>
        <n v="4.66"/>
        <n v="1.01"/>
        <n v="0.43"/>
        <n v="1.1399999999999999"/>
        <n v="0.76"/>
        <n v="1.72"/>
        <n v="2.36"/>
        <n v="1.06"/>
        <n v="0.86"/>
        <n v="1.29"/>
        <n v="2.0299999999999998"/>
        <n v="0.3"/>
        <n v="2"/>
        <n v="3.77"/>
        <n v="3.21"/>
        <n v="0.41"/>
        <n v="0.82"/>
        <n v="0.61"/>
        <n v="3.31"/>
        <n v="1.58"/>
        <n v="1.73"/>
        <n v="2.09"/>
        <n v="1.94"/>
        <n v="1.53"/>
        <n v="1.27"/>
        <n v="4.93"/>
        <n v="0.46"/>
        <n v="0.55000000000000004"/>
        <n v="0.73"/>
        <n v="2.65"/>
        <n v="2.46"/>
        <n v="2.2799999999999998"/>
        <n v="1.92"/>
        <n v="0.31"/>
        <n v="4.3899999999999997"/>
        <n v="1.96"/>
        <n v="3.29"/>
        <n v="0.39"/>
        <n v="2.4300000000000002"/>
        <n v="2.74"/>
        <n v="2.82"/>
        <n v="1.18"/>
        <n v="2.27"/>
        <n v="0.16"/>
        <n v="2.04"/>
        <n v="0.69"/>
        <n v="2.67"/>
        <n v="2.17"/>
        <n v="1.48"/>
        <n v="0.89"/>
        <n v="3.46"/>
        <n v="2.86"/>
        <n v="3.85"/>
        <n v="0.59"/>
        <n v="1.88"/>
        <n v="0.79"/>
        <n v="0.1"/>
        <n v="4.0599999999999996"/>
        <n v="1.1299999999999999"/>
        <n v="0.94"/>
        <n v="3.3"/>
        <n v="2.4500000000000002"/>
        <n v="2.08"/>
        <n v="1.04"/>
        <n v="0.33"/>
        <n v="9.93"/>
        <n v="4.3"/>
        <n v="1.99"/>
        <n v="2.98"/>
        <n v="2.3199999999999998"/>
        <n v="3.64"/>
        <n v="0"/>
        <n v="1.32"/>
        <n v="4.22"/>
        <n v="2.0099999999999998"/>
        <n v="0.52"/>
        <n v="2.97"/>
        <n v="1.28"/>
        <n v="1.97"/>
        <n v="0.8"/>
        <n v="0.9"/>
        <n v="6.34"/>
        <n v="3.44"/>
        <n v="0.28000000000000003"/>
        <n v="3.17"/>
        <n v="4.13"/>
        <n v="1.52"/>
        <n v="2.62"/>
        <n v="2.75"/>
        <n v="5.66"/>
        <n v="1.43"/>
        <n v="0.72"/>
        <n v="4.51"/>
        <n v="0.21"/>
        <n v="1.93"/>
        <n v="2.72"/>
        <n v="2.58"/>
        <n v="1.5"/>
        <n v="4.91"/>
        <n v="3.35"/>
        <n v="0.23"/>
        <n v="2.57"/>
        <n v="1.33"/>
        <n v="2.2599999999999998"/>
        <n v="4.12"/>
        <n v="2.8"/>
        <n v="1.05"/>
        <n v="1.75"/>
        <n v="3.59"/>
        <n v="0.44"/>
        <n v="3.42"/>
        <n v="2.54"/>
        <n v="1.17"/>
        <n v="1.6"/>
        <n v="0.11"/>
        <n v="2.56"/>
        <n v="0.64"/>
        <n v="2.66"/>
        <n v="1.38"/>
        <n v="0.75"/>
        <n v="2.77"/>
        <n v="3.74"/>
        <n v="1.55"/>
        <n v="1.03"/>
        <n v="0.77"/>
        <n v="1.77"/>
        <n v="3.81"/>
        <n v="1.84"/>
        <n v="2.9"/>
        <n v="2.42"/>
        <n v="0.84"/>
        <n v="1.61"/>
        <n v="3.98"/>
        <n v="2.92"/>
        <n v="0.56000000000000005"/>
        <n v="1.49"/>
        <n v="1.3"/>
        <n v="1.86"/>
        <n v="1.74"/>
        <n v="2.2400000000000002"/>
        <n v="4.55"/>
        <n v="2.4"/>
        <n v="1.64"/>
        <n v="1.36"/>
        <n v="0.36"/>
        <n v="2.5499999999999998"/>
        <n v="3.45"/>
        <n v="3.91"/>
        <n v="0.27"/>
        <n v="0.91"/>
        <n v="2.93"/>
        <n v="1.1599999999999999"/>
        <n v="1.54"/>
        <n v="2.31"/>
        <n v="2.4700000000000002"/>
        <n v="5.36"/>
        <n v="1.37"/>
        <n v="0.32"/>
        <n v="4.63"/>
        <n v="0.63"/>
        <n v="2.63"/>
        <n v="2.52"/>
        <n v="2.94"/>
        <n v="1.19"/>
        <n v="2.5099999999999998"/>
        <n v="0.4"/>
        <n v="1.98"/>
        <n v="3.43"/>
        <n v="0.26"/>
        <n v="2.64"/>
        <n v="1.85"/>
        <n v="6.44"/>
        <n v="2.76"/>
        <n v="1.23"/>
        <n v="3.68"/>
        <n v="0.92"/>
        <n v="4.2300000000000004"/>
        <n v="1.21"/>
        <n v="6.04"/>
        <n v="2.21"/>
        <n v="3.02"/>
        <n v="0.2"/>
        <n v="3.22"/>
        <n v="0.6"/>
        <n v="1.41"/>
        <n v="2.59"/>
        <n v="5.7"/>
        <n v="8.4499999999999993"/>
        <n v="0.28999999999999998"/>
        <n v="3.5"/>
        <n v="2.33"/>
        <n v="5.16"/>
        <n v="3.19"/>
        <n v="2.95"/>
        <n v="0.49"/>
        <n v="0.98"/>
        <n v="6.33"/>
        <n v="3.96"/>
        <n v="4.49"/>
        <n v="6.12"/>
        <n v="3.06"/>
        <n v="1.63"/>
        <n v="5.81"/>
        <n v="3.52"/>
        <n v="0.88"/>
        <n v="4.05"/>
        <n v="3.47"/>
        <n v="4.62"/>
        <n v="6.36"/>
        <n v="2.89"/>
        <n v="7.61"/>
        <n v="4.3499999999999996"/>
        <n v="5.43"/>
        <n v="3.26"/>
        <n v="4.71"/>
        <n v="3.53"/>
        <n v="5.88"/>
        <n v="7.06"/>
        <n v="2.2999999999999998"/>
        <n v="1.1499999999999999"/>
        <n v="5.75"/>
        <n v="4.5999999999999996"/>
        <n v="1.89"/>
        <n v="7.55"/>
        <n v="4.72"/>
        <n v="4.6500000000000004"/>
        <n v="7.27"/>
        <n v="3.78"/>
        <n v="3.49"/>
        <n v="2.0499999999999998"/>
        <n v="4.1100000000000003"/>
        <n v="0.68"/>
        <n v="1.56"/>
        <n v="3.13"/>
        <n v="4.0199999999999996"/>
        <n v="3.57"/>
        <n v="2.23"/>
        <n v="0.22"/>
        <n v="2.68"/>
        <n v="0.67"/>
        <n v="2.81"/>
        <n v="6.74"/>
        <n v="3.93"/>
        <n v="3.37"/>
        <n v="1.69"/>
        <n v="3.4"/>
        <n v="10.26"/>
        <n v="7.69"/>
        <n v="8.9700000000000006"/>
        <n v="6.41"/>
        <n v="4.1399999999999997"/>
        <n v="2.96"/>
        <n v="7.1"/>
        <n v="4.7300000000000004"/>
        <n v="1.78"/>
      </sharedItems>
    </cacheField>
    <cacheField name="総数（法人以外の団体）" numFmtId="0" sqlType="4">
      <sharedItems containsSemiMixedTypes="0" containsString="0" containsNumber="1" containsInteger="1" minValue="0" maxValue="7" count="7">
        <n v="2"/>
        <n v="1"/>
        <n v="0"/>
        <n v="4"/>
        <n v="6"/>
        <n v="7"/>
        <n v="3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0">
  <r>
    <x v="0"/>
    <s v="静岡県"/>
    <x v="0"/>
    <x v="0"/>
    <n v="25"/>
    <n v="0.03"/>
    <n v="3"/>
    <n v="0.01"/>
    <n v="22"/>
    <n v="0.05"/>
    <x v="0"/>
  </r>
  <r>
    <x v="0"/>
    <s v="静岡県"/>
    <x v="0"/>
    <x v="1"/>
    <n v="13849"/>
    <n v="14.33"/>
    <n v="4810"/>
    <n v="9.43"/>
    <n v="9038"/>
    <n v="20.100000000000001"/>
    <x v="1"/>
  </r>
  <r>
    <x v="0"/>
    <s v="静岡県"/>
    <x v="0"/>
    <x v="2"/>
    <n v="10720"/>
    <n v="11.09"/>
    <n v="3812"/>
    <n v="7.47"/>
    <n v="6892"/>
    <n v="15.33"/>
    <x v="2"/>
  </r>
  <r>
    <x v="0"/>
    <s v="静岡県"/>
    <x v="0"/>
    <x v="3"/>
    <n v="192"/>
    <n v="0.2"/>
    <n v="8"/>
    <n v="0.02"/>
    <n v="175"/>
    <n v="0.39"/>
    <x v="1"/>
  </r>
  <r>
    <x v="0"/>
    <s v="静岡県"/>
    <x v="0"/>
    <x v="4"/>
    <n v="747"/>
    <n v="0.77"/>
    <n v="66"/>
    <n v="0.13"/>
    <n v="680"/>
    <n v="1.51"/>
    <x v="1"/>
  </r>
  <r>
    <x v="0"/>
    <s v="静岡県"/>
    <x v="0"/>
    <x v="5"/>
    <n v="947"/>
    <n v="0.98"/>
    <n v="140"/>
    <n v="0.27"/>
    <n v="789"/>
    <n v="1.76"/>
    <x v="3"/>
  </r>
  <r>
    <x v="0"/>
    <s v="静岡県"/>
    <x v="0"/>
    <x v="6"/>
    <n v="21699"/>
    <n v="22.45"/>
    <n v="10237"/>
    <n v="20.059999999999999"/>
    <n v="11427"/>
    <n v="25.42"/>
    <x v="4"/>
  </r>
  <r>
    <x v="0"/>
    <s v="静岡県"/>
    <x v="0"/>
    <x v="7"/>
    <n v="697"/>
    <n v="0.72"/>
    <n v="131"/>
    <n v="0.26"/>
    <n v="562"/>
    <n v="1.25"/>
    <x v="5"/>
  </r>
  <r>
    <x v="0"/>
    <s v="静岡県"/>
    <x v="0"/>
    <x v="8"/>
    <n v="9064"/>
    <n v="9.3800000000000008"/>
    <n v="3956"/>
    <n v="7.75"/>
    <n v="5096"/>
    <n v="11.34"/>
    <x v="6"/>
  </r>
  <r>
    <x v="0"/>
    <s v="静岡県"/>
    <x v="0"/>
    <x v="9"/>
    <n v="4849"/>
    <n v="5.0199999999999996"/>
    <n v="2691"/>
    <n v="5.27"/>
    <n v="2128"/>
    <n v="4.7300000000000004"/>
    <x v="7"/>
  </r>
  <r>
    <x v="0"/>
    <s v="静岡県"/>
    <x v="0"/>
    <x v="10"/>
    <n v="11465"/>
    <n v="11.86"/>
    <n v="9392"/>
    <n v="18.41"/>
    <n v="2031"/>
    <n v="4.5199999999999996"/>
    <x v="8"/>
  </r>
  <r>
    <x v="0"/>
    <s v="静岡県"/>
    <x v="0"/>
    <x v="11"/>
    <n v="11461"/>
    <n v="11.86"/>
    <n v="9213"/>
    <n v="18.059999999999999"/>
    <n v="2201"/>
    <n v="4.9000000000000004"/>
    <x v="3"/>
  </r>
  <r>
    <x v="0"/>
    <s v="静岡県"/>
    <x v="0"/>
    <x v="12"/>
    <n v="3559"/>
    <n v="3.68"/>
    <n v="2682"/>
    <n v="5.26"/>
    <n v="779"/>
    <n v="1.73"/>
    <x v="9"/>
  </r>
  <r>
    <x v="0"/>
    <s v="静岡県"/>
    <x v="0"/>
    <x v="13"/>
    <n v="4156"/>
    <n v="4.3"/>
    <n v="2582"/>
    <n v="5.0599999999999996"/>
    <n v="1359"/>
    <n v="3.02"/>
    <x v="10"/>
  </r>
  <r>
    <x v="0"/>
    <s v="静岡県"/>
    <x v="0"/>
    <x v="14"/>
    <n v="3207"/>
    <n v="3.32"/>
    <n v="1299"/>
    <n v="2.5499999999999998"/>
    <n v="1775"/>
    <n v="3.95"/>
    <x v="11"/>
  </r>
  <r>
    <x v="0"/>
    <s v="静岡市"/>
    <x v="1"/>
    <x v="0"/>
    <n v="2"/>
    <n v="0.01"/>
    <n v="1"/>
    <n v="0.01"/>
    <n v="1"/>
    <n v="0.01"/>
    <x v="0"/>
  </r>
  <r>
    <x v="0"/>
    <s v="静岡市"/>
    <x v="1"/>
    <x v="1"/>
    <n v="2517"/>
    <n v="12.92"/>
    <n v="746"/>
    <n v="7.44"/>
    <n v="1771"/>
    <n v="18.87"/>
    <x v="0"/>
  </r>
  <r>
    <x v="0"/>
    <s v="静岡市"/>
    <x v="1"/>
    <x v="2"/>
    <n v="2059"/>
    <n v="10.57"/>
    <n v="818"/>
    <n v="8.16"/>
    <n v="1241"/>
    <n v="13.22"/>
    <x v="0"/>
  </r>
  <r>
    <x v="0"/>
    <s v="静岡市"/>
    <x v="1"/>
    <x v="3"/>
    <n v="17"/>
    <n v="0.09"/>
    <n v="0"/>
    <n v="0"/>
    <n v="17"/>
    <n v="0.18"/>
    <x v="0"/>
  </r>
  <r>
    <x v="0"/>
    <s v="静岡市"/>
    <x v="1"/>
    <x v="4"/>
    <n v="186"/>
    <n v="0.95"/>
    <n v="21"/>
    <n v="0.21"/>
    <n v="164"/>
    <n v="1.75"/>
    <x v="1"/>
  </r>
  <r>
    <x v="0"/>
    <s v="静岡市"/>
    <x v="1"/>
    <x v="5"/>
    <n v="205"/>
    <n v="1.05"/>
    <n v="30"/>
    <n v="0.3"/>
    <n v="174"/>
    <n v="1.85"/>
    <x v="1"/>
  </r>
  <r>
    <x v="0"/>
    <s v="静岡市"/>
    <x v="1"/>
    <x v="6"/>
    <n v="4715"/>
    <n v="24.2"/>
    <n v="2189"/>
    <n v="21.83"/>
    <n v="2523"/>
    <n v="26.88"/>
    <x v="12"/>
  </r>
  <r>
    <x v="0"/>
    <s v="静岡市"/>
    <x v="1"/>
    <x v="7"/>
    <n v="170"/>
    <n v="0.87"/>
    <n v="30"/>
    <n v="0.3"/>
    <n v="140"/>
    <n v="1.49"/>
    <x v="0"/>
  </r>
  <r>
    <x v="0"/>
    <s v="静岡市"/>
    <x v="1"/>
    <x v="8"/>
    <n v="1790"/>
    <n v="9.19"/>
    <n v="621"/>
    <n v="6.19"/>
    <n v="1166"/>
    <n v="12.42"/>
    <x v="7"/>
  </r>
  <r>
    <x v="0"/>
    <s v="静岡市"/>
    <x v="1"/>
    <x v="9"/>
    <n v="1140"/>
    <n v="5.85"/>
    <n v="577"/>
    <n v="5.75"/>
    <n v="558"/>
    <n v="5.95"/>
    <x v="1"/>
  </r>
  <r>
    <x v="0"/>
    <s v="静岡市"/>
    <x v="1"/>
    <x v="10"/>
    <n v="2230"/>
    <n v="11.44"/>
    <n v="1871"/>
    <n v="18.66"/>
    <n v="350"/>
    <n v="3.73"/>
    <x v="1"/>
  </r>
  <r>
    <x v="0"/>
    <s v="静岡市"/>
    <x v="1"/>
    <x v="11"/>
    <n v="2287"/>
    <n v="11.74"/>
    <n v="1838"/>
    <n v="18.329999999999998"/>
    <n v="439"/>
    <n v="4.68"/>
    <x v="7"/>
  </r>
  <r>
    <x v="0"/>
    <s v="静岡市"/>
    <x v="1"/>
    <x v="12"/>
    <n v="662"/>
    <n v="3.4"/>
    <n v="495"/>
    <n v="4.9400000000000004"/>
    <n v="155"/>
    <n v="1.65"/>
    <x v="8"/>
  </r>
  <r>
    <x v="0"/>
    <s v="静岡市"/>
    <x v="1"/>
    <x v="13"/>
    <n v="859"/>
    <n v="4.41"/>
    <n v="529"/>
    <n v="5.28"/>
    <n v="311"/>
    <n v="3.31"/>
    <x v="13"/>
  </r>
  <r>
    <x v="0"/>
    <s v="静岡市"/>
    <x v="1"/>
    <x v="14"/>
    <n v="647"/>
    <n v="3.32"/>
    <n v="261"/>
    <n v="2.6"/>
    <n v="375"/>
    <n v="4"/>
    <x v="14"/>
  </r>
  <r>
    <x v="0"/>
    <s v="静岡市葵区"/>
    <x v="2"/>
    <x v="0"/>
    <n v="2"/>
    <n v="0.03"/>
    <n v="1"/>
    <n v="0.03"/>
    <n v="1"/>
    <n v="0.03"/>
    <x v="0"/>
  </r>
  <r>
    <x v="0"/>
    <s v="静岡市葵区"/>
    <x v="2"/>
    <x v="1"/>
    <n v="757"/>
    <n v="9.67"/>
    <n v="210"/>
    <n v="5.27"/>
    <n v="547"/>
    <n v="14.38"/>
    <x v="0"/>
  </r>
  <r>
    <x v="0"/>
    <s v="静岡市葵区"/>
    <x v="2"/>
    <x v="2"/>
    <n v="717"/>
    <n v="9.16"/>
    <n v="314"/>
    <n v="7.89"/>
    <n v="403"/>
    <n v="10.59"/>
    <x v="0"/>
  </r>
  <r>
    <x v="0"/>
    <s v="静岡市葵区"/>
    <x v="2"/>
    <x v="3"/>
    <n v="8"/>
    <n v="0.1"/>
    <n v="0"/>
    <n v="0"/>
    <n v="8"/>
    <n v="0.21"/>
    <x v="0"/>
  </r>
  <r>
    <x v="0"/>
    <s v="静岡市葵区"/>
    <x v="2"/>
    <x v="4"/>
    <n v="93"/>
    <n v="1.19"/>
    <n v="13"/>
    <n v="0.33"/>
    <n v="80"/>
    <n v="2.1"/>
    <x v="0"/>
  </r>
  <r>
    <x v="0"/>
    <s v="静岡市葵区"/>
    <x v="2"/>
    <x v="5"/>
    <n v="50"/>
    <n v="0.64"/>
    <n v="7"/>
    <n v="0.18"/>
    <n v="43"/>
    <n v="1.1299999999999999"/>
    <x v="0"/>
  </r>
  <r>
    <x v="0"/>
    <s v="静岡市葵区"/>
    <x v="2"/>
    <x v="6"/>
    <n v="2008"/>
    <n v="25.64"/>
    <n v="913"/>
    <n v="22.93"/>
    <n v="1095"/>
    <n v="28.79"/>
    <x v="0"/>
  </r>
  <r>
    <x v="0"/>
    <s v="静岡市葵区"/>
    <x v="2"/>
    <x v="7"/>
    <n v="82"/>
    <n v="1.05"/>
    <n v="10"/>
    <n v="0.25"/>
    <n v="72"/>
    <n v="1.89"/>
    <x v="0"/>
  </r>
  <r>
    <x v="0"/>
    <s v="静岡市葵区"/>
    <x v="2"/>
    <x v="8"/>
    <n v="697"/>
    <n v="8.9"/>
    <n v="192"/>
    <n v="4.82"/>
    <n v="503"/>
    <n v="13.22"/>
    <x v="1"/>
  </r>
  <r>
    <x v="0"/>
    <s v="静岡市葵区"/>
    <x v="2"/>
    <x v="9"/>
    <n v="556"/>
    <n v="7.1"/>
    <n v="287"/>
    <n v="7.21"/>
    <n v="266"/>
    <n v="6.99"/>
    <x v="1"/>
  </r>
  <r>
    <x v="0"/>
    <s v="静岡市葵区"/>
    <x v="2"/>
    <x v="10"/>
    <n v="1058"/>
    <n v="13.51"/>
    <n v="859"/>
    <n v="21.57"/>
    <n v="194"/>
    <n v="5.0999999999999996"/>
    <x v="1"/>
  </r>
  <r>
    <x v="0"/>
    <s v="静岡市葵区"/>
    <x v="2"/>
    <x v="11"/>
    <n v="927"/>
    <n v="11.84"/>
    <n v="707"/>
    <n v="17.75"/>
    <n v="214"/>
    <n v="5.63"/>
    <x v="7"/>
  </r>
  <r>
    <x v="0"/>
    <s v="静岡市葵区"/>
    <x v="2"/>
    <x v="12"/>
    <n v="278"/>
    <n v="3.55"/>
    <n v="186"/>
    <n v="4.67"/>
    <n v="85"/>
    <n v="2.23"/>
    <x v="7"/>
  </r>
  <r>
    <x v="0"/>
    <s v="静岡市葵区"/>
    <x v="2"/>
    <x v="13"/>
    <n v="361"/>
    <n v="4.6100000000000003"/>
    <n v="207"/>
    <n v="5.2"/>
    <n v="139"/>
    <n v="3.65"/>
    <x v="13"/>
  </r>
  <r>
    <x v="0"/>
    <s v="静岡市葵区"/>
    <x v="2"/>
    <x v="14"/>
    <n v="236"/>
    <n v="3.01"/>
    <n v="76"/>
    <n v="1.91"/>
    <n v="154"/>
    <n v="4.05"/>
    <x v="5"/>
  </r>
  <r>
    <x v="0"/>
    <s v="静岡市駿河区"/>
    <x v="3"/>
    <x v="0"/>
    <n v="0"/>
    <n v="0"/>
    <n v="0"/>
    <n v="0"/>
    <n v="0"/>
    <n v="0"/>
    <x v="0"/>
  </r>
  <r>
    <x v="0"/>
    <s v="静岡市駿河区"/>
    <x v="3"/>
    <x v="1"/>
    <n v="823"/>
    <n v="15.31"/>
    <n v="161"/>
    <n v="6.82"/>
    <n v="662"/>
    <n v="22.04"/>
    <x v="0"/>
  </r>
  <r>
    <x v="0"/>
    <s v="静岡市駿河区"/>
    <x v="3"/>
    <x v="2"/>
    <n v="641"/>
    <n v="11.92"/>
    <n v="228"/>
    <n v="9.66"/>
    <n v="413"/>
    <n v="13.75"/>
    <x v="0"/>
  </r>
  <r>
    <x v="0"/>
    <s v="静岡市駿河区"/>
    <x v="3"/>
    <x v="3"/>
    <n v="2"/>
    <n v="0.04"/>
    <n v="0"/>
    <n v="0"/>
    <n v="2"/>
    <n v="7.0000000000000007E-2"/>
    <x v="0"/>
  </r>
  <r>
    <x v="0"/>
    <s v="静岡市駿河区"/>
    <x v="3"/>
    <x v="4"/>
    <n v="53"/>
    <n v="0.99"/>
    <n v="1"/>
    <n v="0.04"/>
    <n v="51"/>
    <n v="1.7"/>
    <x v="1"/>
  </r>
  <r>
    <x v="0"/>
    <s v="静岡市駿河区"/>
    <x v="3"/>
    <x v="5"/>
    <n v="38"/>
    <n v="0.71"/>
    <n v="5"/>
    <n v="0.21"/>
    <n v="33"/>
    <n v="1.1000000000000001"/>
    <x v="0"/>
  </r>
  <r>
    <x v="0"/>
    <s v="静岡市駿河区"/>
    <x v="3"/>
    <x v="6"/>
    <n v="1232"/>
    <n v="22.92"/>
    <n v="456"/>
    <n v="19.32"/>
    <n v="775"/>
    <n v="25.8"/>
    <x v="1"/>
  </r>
  <r>
    <x v="0"/>
    <s v="静岡市駿河区"/>
    <x v="3"/>
    <x v="7"/>
    <n v="43"/>
    <n v="0.8"/>
    <n v="10"/>
    <n v="0.42"/>
    <n v="33"/>
    <n v="1.1000000000000001"/>
    <x v="0"/>
  </r>
  <r>
    <x v="0"/>
    <s v="静岡市駿河区"/>
    <x v="3"/>
    <x v="8"/>
    <n v="618"/>
    <n v="11.5"/>
    <n v="195"/>
    <n v="8.26"/>
    <n v="423"/>
    <n v="14.08"/>
    <x v="0"/>
  </r>
  <r>
    <x v="0"/>
    <s v="静岡市駿河区"/>
    <x v="3"/>
    <x v="9"/>
    <n v="305"/>
    <n v="5.67"/>
    <n v="128"/>
    <n v="5.42"/>
    <n v="177"/>
    <n v="5.89"/>
    <x v="0"/>
  </r>
  <r>
    <x v="0"/>
    <s v="静岡市駿河区"/>
    <x v="3"/>
    <x v="10"/>
    <n v="452"/>
    <n v="8.41"/>
    <n v="377"/>
    <n v="15.97"/>
    <n v="72"/>
    <n v="2.4"/>
    <x v="0"/>
  </r>
  <r>
    <x v="0"/>
    <s v="静岡市駿河区"/>
    <x v="3"/>
    <x v="11"/>
    <n v="587"/>
    <n v="10.92"/>
    <n v="473"/>
    <n v="20.04"/>
    <n v="113"/>
    <n v="3.76"/>
    <x v="0"/>
  </r>
  <r>
    <x v="0"/>
    <s v="静岡市駿河区"/>
    <x v="3"/>
    <x v="12"/>
    <n v="160"/>
    <n v="2.98"/>
    <n v="111"/>
    <n v="4.7"/>
    <n v="47"/>
    <n v="1.56"/>
    <x v="1"/>
  </r>
  <r>
    <x v="0"/>
    <s v="静岡市駿河区"/>
    <x v="3"/>
    <x v="13"/>
    <n v="227"/>
    <n v="4.22"/>
    <n v="138"/>
    <n v="5.85"/>
    <n v="86"/>
    <n v="2.86"/>
    <x v="0"/>
  </r>
  <r>
    <x v="0"/>
    <s v="静岡市駿河区"/>
    <x v="3"/>
    <x v="14"/>
    <n v="195"/>
    <n v="3.63"/>
    <n v="77"/>
    <n v="3.26"/>
    <n v="117"/>
    <n v="3.89"/>
    <x v="1"/>
  </r>
  <r>
    <x v="0"/>
    <s v="静岡市清水区"/>
    <x v="4"/>
    <x v="0"/>
    <n v="0"/>
    <n v="0"/>
    <n v="0"/>
    <n v="0"/>
    <n v="0"/>
    <n v="0"/>
    <x v="0"/>
  </r>
  <r>
    <x v="0"/>
    <s v="静岡市清水区"/>
    <x v="4"/>
    <x v="1"/>
    <n v="937"/>
    <n v="14.92"/>
    <n v="375"/>
    <n v="10.18"/>
    <n v="562"/>
    <n v="21.81"/>
    <x v="0"/>
  </r>
  <r>
    <x v="0"/>
    <s v="静岡市清水区"/>
    <x v="4"/>
    <x v="2"/>
    <n v="701"/>
    <n v="11.16"/>
    <n v="276"/>
    <n v="7.49"/>
    <n v="425"/>
    <n v="16.489999999999998"/>
    <x v="0"/>
  </r>
  <r>
    <x v="0"/>
    <s v="静岡市清水区"/>
    <x v="4"/>
    <x v="3"/>
    <n v="7"/>
    <n v="0.11"/>
    <n v="0"/>
    <n v="0"/>
    <n v="7"/>
    <n v="0.27"/>
    <x v="0"/>
  </r>
  <r>
    <x v="0"/>
    <s v="静岡市清水区"/>
    <x v="4"/>
    <x v="4"/>
    <n v="40"/>
    <n v="0.64"/>
    <n v="7"/>
    <n v="0.19"/>
    <n v="33"/>
    <n v="1.28"/>
    <x v="0"/>
  </r>
  <r>
    <x v="0"/>
    <s v="静岡市清水区"/>
    <x v="4"/>
    <x v="5"/>
    <n v="117"/>
    <n v="1.86"/>
    <n v="18"/>
    <n v="0.49"/>
    <n v="98"/>
    <n v="3.8"/>
    <x v="1"/>
  </r>
  <r>
    <x v="0"/>
    <s v="静岡市清水区"/>
    <x v="4"/>
    <x v="6"/>
    <n v="1475"/>
    <n v="23.49"/>
    <n v="820"/>
    <n v="22.25"/>
    <n v="653"/>
    <n v="25.34"/>
    <x v="7"/>
  </r>
  <r>
    <x v="0"/>
    <s v="静岡市清水区"/>
    <x v="4"/>
    <x v="7"/>
    <n v="45"/>
    <n v="0.72"/>
    <n v="10"/>
    <n v="0.27"/>
    <n v="35"/>
    <n v="1.36"/>
    <x v="0"/>
  </r>
  <r>
    <x v="0"/>
    <s v="静岡市清水区"/>
    <x v="4"/>
    <x v="8"/>
    <n v="475"/>
    <n v="7.56"/>
    <n v="234"/>
    <n v="6.35"/>
    <n v="240"/>
    <n v="9.31"/>
    <x v="1"/>
  </r>
  <r>
    <x v="0"/>
    <s v="静岡市清水区"/>
    <x v="4"/>
    <x v="9"/>
    <n v="279"/>
    <n v="4.4400000000000004"/>
    <n v="162"/>
    <n v="4.4000000000000004"/>
    <n v="115"/>
    <n v="4.46"/>
    <x v="0"/>
  </r>
  <r>
    <x v="0"/>
    <s v="静岡市清水区"/>
    <x v="4"/>
    <x v="10"/>
    <n v="720"/>
    <n v="11.46"/>
    <n v="635"/>
    <n v="17.23"/>
    <n v="84"/>
    <n v="3.26"/>
    <x v="0"/>
  </r>
  <r>
    <x v="0"/>
    <s v="静岡市清水区"/>
    <x v="4"/>
    <x v="11"/>
    <n v="773"/>
    <n v="12.31"/>
    <n v="658"/>
    <n v="17.86"/>
    <n v="112"/>
    <n v="4.3499999999999996"/>
    <x v="0"/>
  </r>
  <r>
    <x v="0"/>
    <s v="静岡市清水区"/>
    <x v="4"/>
    <x v="12"/>
    <n v="224"/>
    <n v="3.57"/>
    <n v="198"/>
    <n v="5.37"/>
    <n v="23"/>
    <n v="0.89"/>
    <x v="7"/>
  </r>
  <r>
    <x v="0"/>
    <s v="静岡市清水区"/>
    <x v="4"/>
    <x v="13"/>
    <n v="271"/>
    <n v="4.32"/>
    <n v="184"/>
    <n v="4.99"/>
    <n v="86"/>
    <n v="3.34"/>
    <x v="0"/>
  </r>
  <r>
    <x v="0"/>
    <s v="静岡市清水区"/>
    <x v="4"/>
    <x v="14"/>
    <n v="216"/>
    <n v="3.44"/>
    <n v="108"/>
    <n v="2.93"/>
    <n v="104"/>
    <n v="4.04"/>
    <x v="7"/>
  </r>
  <r>
    <x v="0"/>
    <s v="浜松市"/>
    <x v="5"/>
    <x v="0"/>
    <n v="7"/>
    <n v="0.04"/>
    <n v="0"/>
    <n v="0"/>
    <n v="7"/>
    <n v="7.0000000000000007E-2"/>
    <x v="0"/>
  </r>
  <r>
    <x v="0"/>
    <s v="浜松市"/>
    <x v="5"/>
    <x v="1"/>
    <n v="2860"/>
    <n v="14.37"/>
    <n v="768"/>
    <n v="8.36"/>
    <n v="2091"/>
    <n v="19.62"/>
    <x v="1"/>
  </r>
  <r>
    <x v="0"/>
    <s v="浜松市"/>
    <x v="5"/>
    <x v="2"/>
    <n v="2501"/>
    <n v="12.56"/>
    <n v="755"/>
    <n v="8.2200000000000006"/>
    <n v="1738"/>
    <n v="16.309999999999999"/>
    <x v="15"/>
  </r>
  <r>
    <x v="0"/>
    <s v="浜松市"/>
    <x v="5"/>
    <x v="3"/>
    <n v="67"/>
    <n v="0.34"/>
    <n v="0"/>
    <n v="0"/>
    <n v="66"/>
    <n v="0.62"/>
    <x v="0"/>
  </r>
  <r>
    <x v="0"/>
    <s v="浜松市"/>
    <x v="5"/>
    <x v="4"/>
    <n v="210"/>
    <n v="1.05"/>
    <n v="13"/>
    <n v="0.14000000000000001"/>
    <n v="197"/>
    <n v="1.85"/>
    <x v="0"/>
  </r>
  <r>
    <x v="0"/>
    <s v="浜松市"/>
    <x v="5"/>
    <x v="5"/>
    <n v="178"/>
    <n v="0.89"/>
    <n v="32"/>
    <n v="0.35"/>
    <n v="143"/>
    <n v="1.34"/>
    <x v="12"/>
  </r>
  <r>
    <x v="0"/>
    <s v="浜松市"/>
    <x v="5"/>
    <x v="6"/>
    <n v="4382"/>
    <n v="22.01"/>
    <n v="1755"/>
    <n v="19.11"/>
    <n v="2623"/>
    <n v="24.62"/>
    <x v="5"/>
  </r>
  <r>
    <x v="0"/>
    <s v="浜松市"/>
    <x v="5"/>
    <x v="7"/>
    <n v="136"/>
    <n v="0.68"/>
    <n v="18"/>
    <n v="0.2"/>
    <n v="118"/>
    <n v="1.1100000000000001"/>
    <x v="0"/>
  </r>
  <r>
    <x v="0"/>
    <s v="浜松市"/>
    <x v="5"/>
    <x v="8"/>
    <n v="1933"/>
    <n v="9.7100000000000009"/>
    <n v="611"/>
    <n v="6.65"/>
    <n v="1321"/>
    <n v="12.4"/>
    <x v="1"/>
  </r>
  <r>
    <x v="0"/>
    <s v="浜松市"/>
    <x v="5"/>
    <x v="9"/>
    <n v="1207"/>
    <n v="6.06"/>
    <n v="634"/>
    <n v="6.9"/>
    <n v="567"/>
    <n v="5.32"/>
    <x v="0"/>
  </r>
  <r>
    <x v="0"/>
    <s v="浜松市"/>
    <x v="5"/>
    <x v="10"/>
    <n v="1913"/>
    <n v="9.61"/>
    <n v="1495"/>
    <n v="16.27"/>
    <n v="412"/>
    <n v="3.87"/>
    <x v="1"/>
  </r>
  <r>
    <x v="0"/>
    <s v="浜松市"/>
    <x v="5"/>
    <x v="11"/>
    <n v="2330"/>
    <n v="11.7"/>
    <n v="1831"/>
    <n v="19.93"/>
    <n v="495"/>
    <n v="4.6500000000000004"/>
    <x v="1"/>
  </r>
  <r>
    <x v="0"/>
    <s v="浜松市"/>
    <x v="5"/>
    <x v="12"/>
    <n v="734"/>
    <n v="3.69"/>
    <n v="545"/>
    <n v="5.93"/>
    <n v="173"/>
    <n v="1.62"/>
    <x v="12"/>
  </r>
  <r>
    <x v="0"/>
    <s v="浜松市"/>
    <x v="5"/>
    <x v="13"/>
    <n v="818"/>
    <n v="4.1100000000000003"/>
    <n v="515"/>
    <n v="5.61"/>
    <n v="295"/>
    <n v="2.77"/>
    <x v="0"/>
  </r>
  <r>
    <x v="0"/>
    <s v="浜松市"/>
    <x v="5"/>
    <x v="14"/>
    <n v="633"/>
    <n v="3.18"/>
    <n v="214"/>
    <n v="2.33"/>
    <n v="410"/>
    <n v="3.85"/>
    <x v="7"/>
  </r>
  <r>
    <x v="0"/>
    <s v="浜松市中区"/>
    <x v="6"/>
    <x v="0"/>
    <n v="0"/>
    <n v="0"/>
    <n v="0"/>
    <n v="0"/>
    <n v="0"/>
    <n v="0"/>
    <x v="0"/>
  </r>
  <r>
    <x v="0"/>
    <s v="浜松市中区"/>
    <x v="6"/>
    <x v="1"/>
    <n v="677"/>
    <n v="9.48"/>
    <n v="121"/>
    <n v="3.8"/>
    <n v="556"/>
    <n v="14.09"/>
    <x v="0"/>
  </r>
  <r>
    <x v="0"/>
    <s v="浜松市中区"/>
    <x v="6"/>
    <x v="2"/>
    <n v="545"/>
    <n v="7.63"/>
    <n v="133"/>
    <n v="4.18"/>
    <n v="412"/>
    <n v="10.44"/>
    <x v="0"/>
  </r>
  <r>
    <x v="0"/>
    <s v="浜松市中区"/>
    <x v="6"/>
    <x v="3"/>
    <n v="16"/>
    <n v="0.22"/>
    <n v="0"/>
    <n v="0"/>
    <n v="16"/>
    <n v="0.41"/>
    <x v="0"/>
  </r>
  <r>
    <x v="0"/>
    <s v="浜松市中区"/>
    <x v="6"/>
    <x v="4"/>
    <n v="108"/>
    <n v="1.51"/>
    <n v="6"/>
    <n v="0.19"/>
    <n v="102"/>
    <n v="2.58"/>
    <x v="0"/>
  </r>
  <r>
    <x v="0"/>
    <s v="浜松市中区"/>
    <x v="6"/>
    <x v="5"/>
    <n v="40"/>
    <n v="0.56000000000000005"/>
    <n v="8"/>
    <n v="0.25"/>
    <n v="32"/>
    <n v="0.81"/>
    <x v="0"/>
  </r>
  <r>
    <x v="0"/>
    <s v="浜松市中区"/>
    <x v="6"/>
    <x v="6"/>
    <n v="1568"/>
    <n v="21.96"/>
    <n v="564"/>
    <n v="17.73"/>
    <n v="1003"/>
    <n v="25.41"/>
    <x v="1"/>
  </r>
  <r>
    <x v="0"/>
    <s v="浜松市中区"/>
    <x v="6"/>
    <x v="7"/>
    <n v="66"/>
    <n v="0.92"/>
    <n v="5"/>
    <n v="0.16"/>
    <n v="61"/>
    <n v="1.55"/>
    <x v="0"/>
  </r>
  <r>
    <x v="0"/>
    <s v="浜松市中区"/>
    <x v="6"/>
    <x v="8"/>
    <n v="906"/>
    <n v="12.69"/>
    <n v="236"/>
    <n v="7.42"/>
    <n v="670"/>
    <n v="16.97"/>
    <x v="0"/>
  </r>
  <r>
    <x v="0"/>
    <s v="浜松市中区"/>
    <x v="6"/>
    <x v="9"/>
    <n v="566"/>
    <n v="7.93"/>
    <n v="294"/>
    <n v="9.24"/>
    <n v="270"/>
    <n v="6.84"/>
    <x v="0"/>
  </r>
  <r>
    <x v="0"/>
    <s v="浜松市中区"/>
    <x v="6"/>
    <x v="10"/>
    <n v="1025"/>
    <n v="14.36"/>
    <n v="789"/>
    <n v="24.8"/>
    <n v="236"/>
    <n v="5.98"/>
    <x v="0"/>
  </r>
  <r>
    <x v="0"/>
    <s v="浜松市中区"/>
    <x v="6"/>
    <x v="11"/>
    <n v="869"/>
    <n v="12.17"/>
    <n v="638"/>
    <n v="20.059999999999999"/>
    <n v="230"/>
    <n v="5.83"/>
    <x v="1"/>
  </r>
  <r>
    <x v="0"/>
    <s v="浜松市中区"/>
    <x v="6"/>
    <x v="12"/>
    <n v="257"/>
    <n v="3.6"/>
    <n v="167"/>
    <n v="5.25"/>
    <n v="89"/>
    <n v="2.25"/>
    <x v="0"/>
  </r>
  <r>
    <x v="0"/>
    <s v="浜松市中区"/>
    <x v="6"/>
    <x v="13"/>
    <n v="289"/>
    <n v="4.05"/>
    <n v="182"/>
    <n v="5.72"/>
    <n v="101"/>
    <n v="2.56"/>
    <x v="0"/>
  </r>
  <r>
    <x v="0"/>
    <s v="浜松市中区"/>
    <x v="6"/>
    <x v="14"/>
    <n v="208"/>
    <n v="2.91"/>
    <n v="38"/>
    <n v="1.19"/>
    <n v="169"/>
    <n v="4.28"/>
    <x v="1"/>
  </r>
  <r>
    <x v="0"/>
    <s v="浜松市東区"/>
    <x v="7"/>
    <x v="0"/>
    <n v="2"/>
    <n v="0.06"/>
    <n v="0"/>
    <n v="0"/>
    <n v="2"/>
    <n v="0.1"/>
    <x v="0"/>
  </r>
  <r>
    <x v="0"/>
    <s v="浜松市東区"/>
    <x v="7"/>
    <x v="1"/>
    <n v="519"/>
    <n v="15.51"/>
    <n v="109"/>
    <n v="7.88"/>
    <n v="410"/>
    <n v="20.9"/>
    <x v="0"/>
  </r>
  <r>
    <x v="0"/>
    <s v="浜松市東区"/>
    <x v="7"/>
    <x v="2"/>
    <n v="557"/>
    <n v="16.649999999999999"/>
    <n v="164"/>
    <n v="11.86"/>
    <n v="393"/>
    <n v="20.03"/>
    <x v="0"/>
  </r>
  <r>
    <x v="0"/>
    <s v="浜松市東区"/>
    <x v="7"/>
    <x v="3"/>
    <n v="7"/>
    <n v="0.21"/>
    <n v="0"/>
    <n v="0"/>
    <n v="6"/>
    <n v="0.31"/>
    <x v="0"/>
  </r>
  <r>
    <x v="0"/>
    <s v="浜松市東区"/>
    <x v="7"/>
    <x v="4"/>
    <n v="29"/>
    <n v="0.87"/>
    <n v="3"/>
    <n v="0.22"/>
    <n v="26"/>
    <n v="1.33"/>
    <x v="0"/>
  </r>
  <r>
    <x v="0"/>
    <s v="浜松市東区"/>
    <x v="7"/>
    <x v="5"/>
    <n v="47"/>
    <n v="1.4"/>
    <n v="6"/>
    <n v="0.43"/>
    <n v="41"/>
    <n v="2.09"/>
    <x v="0"/>
  </r>
  <r>
    <x v="0"/>
    <s v="浜松市東区"/>
    <x v="7"/>
    <x v="6"/>
    <n v="751"/>
    <n v="22.44"/>
    <n v="243"/>
    <n v="17.57"/>
    <n v="508"/>
    <n v="25.89"/>
    <x v="0"/>
  </r>
  <r>
    <x v="0"/>
    <s v="浜松市東区"/>
    <x v="7"/>
    <x v="7"/>
    <n v="18"/>
    <n v="0.54"/>
    <n v="3"/>
    <n v="0.22"/>
    <n v="15"/>
    <n v="0.76"/>
    <x v="0"/>
  </r>
  <r>
    <x v="0"/>
    <s v="浜松市東区"/>
    <x v="7"/>
    <x v="8"/>
    <n v="295"/>
    <n v="8.82"/>
    <n v="81"/>
    <n v="5.86"/>
    <n v="214"/>
    <n v="10.91"/>
    <x v="0"/>
  </r>
  <r>
    <x v="0"/>
    <s v="浜松市東区"/>
    <x v="7"/>
    <x v="9"/>
    <n v="191"/>
    <n v="5.71"/>
    <n v="95"/>
    <n v="6.87"/>
    <n v="96"/>
    <n v="4.8899999999999997"/>
    <x v="0"/>
  </r>
  <r>
    <x v="0"/>
    <s v="浜松市東区"/>
    <x v="7"/>
    <x v="10"/>
    <n v="219"/>
    <n v="6.55"/>
    <n v="179"/>
    <n v="12.94"/>
    <n v="40"/>
    <n v="2.04"/>
    <x v="0"/>
  </r>
  <r>
    <x v="0"/>
    <s v="浜松市東区"/>
    <x v="7"/>
    <x v="11"/>
    <n v="355"/>
    <n v="10.61"/>
    <n v="285"/>
    <n v="20.61"/>
    <n v="70"/>
    <n v="3.57"/>
    <x v="0"/>
  </r>
  <r>
    <x v="0"/>
    <s v="浜松市東区"/>
    <x v="7"/>
    <x v="12"/>
    <n v="101"/>
    <n v="3.02"/>
    <n v="82"/>
    <n v="5.93"/>
    <n v="19"/>
    <n v="0.97"/>
    <x v="0"/>
  </r>
  <r>
    <x v="0"/>
    <s v="浜松市東区"/>
    <x v="7"/>
    <x v="13"/>
    <n v="109"/>
    <n v="3.26"/>
    <n v="67"/>
    <n v="4.84"/>
    <n v="42"/>
    <n v="2.14"/>
    <x v="0"/>
  </r>
  <r>
    <x v="0"/>
    <s v="浜松市東区"/>
    <x v="7"/>
    <x v="14"/>
    <n v="146"/>
    <n v="4.3600000000000003"/>
    <n v="66"/>
    <n v="4.7699999999999996"/>
    <n v="80"/>
    <n v="4.08"/>
    <x v="0"/>
  </r>
  <r>
    <x v="0"/>
    <s v="浜松市西区"/>
    <x v="8"/>
    <x v="0"/>
    <n v="2"/>
    <n v="0.09"/>
    <n v="0"/>
    <n v="0"/>
    <n v="2"/>
    <n v="0.18"/>
    <x v="0"/>
  </r>
  <r>
    <x v="0"/>
    <s v="浜松市西区"/>
    <x v="8"/>
    <x v="1"/>
    <n v="375"/>
    <n v="17.34"/>
    <n v="113"/>
    <n v="10.63"/>
    <n v="262"/>
    <n v="23.91"/>
    <x v="0"/>
  </r>
  <r>
    <x v="0"/>
    <s v="浜松市西区"/>
    <x v="8"/>
    <x v="2"/>
    <n v="265"/>
    <n v="12.25"/>
    <n v="95"/>
    <n v="8.94"/>
    <n v="170"/>
    <n v="15.51"/>
    <x v="0"/>
  </r>
  <r>
    <x v="0"/>
    <s v="浜松市西区"/>
    <x v="8"/>
    <x v="3"/>
    <n v="6"/>
    <n v="0.28000000000000003"/>
    <n v="0"/>
    <n v="0"/>
    <n v="6"/>
    <n v="0.55000000000000004"/>
    <x v="0"/>
  </r>
  <r>
    <x v="0"/>
    <s v="浜松市西区"/>
    <x v="8"/>
    <x v="4"/>
    <n v="19"/>
    <n v="0.88"/>
    <n v="0"/>
    <n v="0"/>
    <n v="19"/>
    <n v="1.73"/>
    <x v="0"/>
  </r>
  <r>
    <x v="0"/>
    <s v="浜松市西区"/>
    <x v="8"/>
    <x v="5"/>
    <n v="20"/>
    <n v="0.92"/>
    <n v="6"/>
    <n v="0.56000000000000005"/>
    <n v="14"/>
    <n v="1.28"/>
    <x v="0"/>
  </r>
  <r>
    <x v="0"/>
    <s v="浜松市西区"/>
    <x v="8"/>
    <x v="6"/>
    <n v="495"/>
    <n v="22.88"/>
    <n v="223"/>
    <n v="20.98"/>
    <n v="272"/>
    <n v="24.82"/>
    <x v="0"/>
  </r>
  <r>
    <x v="0"/>
    <s v="浜松市西区"/>
    <x v="8"/>
    <x v="7"/>
    <n v="10"/>
    <n v="0.46"/>
    <n v="1"/>
    <n v="0.09"/>
    <n v="9"/>
    <n v="0.82"/>
    <x v="0"/>
  </r>
  <r>
    <x v="0"/>
    <s v="浜松市西区"/>
    <x v="8"/>
    <x v="8"/>
    <n v="184"/>
    <n v="8.51"/>
    <n v="65"/>
    <n v="6.11"/>
    <n v="118"/>
    <n v="10.77"/>
    <x v="1"/>
  </r>
  <r>
    <x v="0"/>
    <s v="浜松市西区"/>
    <x v="8"/>
    <x v="9"/>
    <n v="110"/>
    <n v="5.09"/>
    <n v="59"/>
    <n v="5.55"/>
    <n v="51"/>
    <n v="4.6500000000000004"/>
    <x v="0"/>
  </r>
  <r>
    <x v="0"/>
    <s v="浜松市西区"/>
    <x v="8"/>
    <x v="10"/>
    <n v="151"/>
    <n v="6.98"/>
    <n v="117"/>
    <n v="11.01"/>
    <n v="33"/>
    <n v="3.01"/>
    <x v="0"/>
  </r>
  <r>
    <x v="0"/>
    <s v="浜松市西区"/>
    <x v="8"/>
    <x v="11"/>
    <n v="271"/>
    <n v="12.53"/>
    <n v="212"/>
    <n v="19.940000000000001"/>
    <n v="59"/>
    <n v="5.38"/>
    <x v="0"/>
  </r>
  <r>
    <x v="0"/>
    <s v="浜松市西区"/>
    <x v="8"/>
    <x v="12"/>
    <n v="91"/>
    <n v="4.21"/>
    <n v="77"/>
    <n v="7.24"/>
    <n v="12"/>
    <n v="1.0900000000000001"/>
    <x v="1"/>
  </r>
  <r>
    <x v="0"/>
    <s v="浜松市西区"/>
    <x v="8"/>
    <x v="13"/>
    <n v="109"/>
    <n v="5.04"/>
    <n v="72"/>
    <n v="6.77"/>
    <n v="37"/>
    <n v="3.38"/>
    <x v="0"/>
  </r>
  <r>
    <x v="0"/>
    <s v="浜松市西区"/>
    <x v="8"/>
    <x v="14"/>
    <n v="55"/>
    <n v="2.54"/>
    <n v="23"/>
    <n v="2.16"/>
    <n v="32"/>
    <n v="2.92"/>
    <x v="0"/>
  </r>
  <r>
    <x v="0"/>
    <s v="浜松市南区"/>
    <x v="9"/>
    <x v="0"/>
    <n v="0"/>
    <n v="0"/>
    <n v="0"/>
    <n v="0"/>
    <n v="0"/>
    <n v="0"/>
    <x v="0"/>
  </r>
  <r>
    <x v="0"/>
    <s v="浜松市南区"/>
    <x v="9"/>
    <x v="1"/>
    <n v="370"/>
    <n v="16.93"/>
    <n v="81"/>
    <n v="8.94"/>
    <n v="289"/>
    <n v="22.65"/>
    <x v="0"/>
  </r>
  <r>
    <x v="0"/>
    <s v="浜松市南区"/>
    <x v="9"/>
    <x v="2"/>
    <n v="407"/>
    <n v="18.62"/>
    <n v="97"/>
    <n v="10.71"/>
    <n v="310"/>
    <n v="24.29"/>
    <x v="0"/>
  </r>
  <r>
    <x v="0"/>
    <s v="浜松市南区"/>
    <x v="9"/>
    <x v="3"/>
    <n v="18"/>
    <n v="0.82"/>
    <n v="0"/>
    <n v="0"/>
    <n v="18"/>
    <n v="1.41"/>
    <x v="0"/>
  </r>
  <r>
    <x v="0"/>
    <s v="浜松市南区"/>
    <x v="9"/>
    <x v="4"/>
    <n v="17"/>
    <n v="0.78"/>
    <n v="1"/>
    <n v="0.11"/>
    <n v="16"/>
    <n v="1.25"/>
    <x v="0"/>
  </r>
  <r>
    <x v="0"/>
    <s v="浜松市南区"/>
    <x v="9"/>
    <x v="5"/>
    <n v="21"/>
    <n v="0.96"/>
    <n v="2"/>
    <n v="0.22"/>
    <n v="19"/>
    <n v="1.49"/>
    <x v="0"/>
  </r>
  <r>
    <x v="0"/>
    <s v="浜松市南区"/>
    <x v="9"/>
    <x v="6"/>
    <n v="442"/>
    <n v="20.22"/>
    <n v="160"/>
    <n v="17.66"/>
    <n v="282"/>
    <n v="22.1"/>
    <x v="0"/>
  </r>
  <r>
    <x v="0"/>
    <s v="浜松市南区"/>
    <x v="9"/>
    <x v="7"/>
    <n v="17"/>
    <n v="0.78"/>
    <n v="2"/>
    <n v="0.22"/>
    <n v="15"/>
    <n v="1.18"/>
    <x v="0"/>
  </r>
  <r>
    <x v="0"/>
    <s v="浜松市南区"/>
    <x v="9"/>
    <x v="8"/>
    <n v="166"/>
    <n v="7.59"/>
    <n v="49"/>
    <n v="5.41"/>
    <n v="117"/>
    <n v="9.17"/>
    <x v="0"/>
  </r>
  <r>
    <x v="0"/>
    <s v="浜松市南区"/>
    <x v="9"/>
    <x v="9"/>
    <n v="121"/>
    <n v="5.54"/>
    <n v="68"/>
    <n v="7.51"/>
    <n v="52"/>
    <n v="4.08"/>
    <x v="0"/>
  </r>
  <r>
    <x v="0"/>
    <s v="浜松市南区"/>
    <x v="9"/>
    <x v="10"/>
    <n v="131"/>
    <n v="5.99"/>
    <n v="106"/>
    <n v="11.7"/>
    <n v="25"/>
    <n v="1.96"/>
    <x v="0"/>
  </r>
  <r>
    <x v="0"/>
    <s v="浜松市南区"/>
    <x v="9"/>
    <x v="11"/>
    <n v="240"/>
    <n v="10.98"/>
    <n v="196"/>
    <n v="21.63"/>
    <n v="44"/>
    <n v="3.45"/>
    <x v="0"/>
  </r>
  <r>
    <x v="0"/>
    <s v="浜松市南区"/>
    <x v="9"/>
    <x v="12"/>
    <n v="83"/>
    <n v="3.8"/>
    <n v="69"/>
    <n v="7.62"/>
    <n v="12"/>
    <n v="0.94"/>
    <x v="1"/>
  </r>
  <r>
    <x v="0"/>
    <s v="浜松市南区"/>
    <x v="9"/>
    <x v="13"/>
    <n v="73"/>
    <n v="3.34"/>
    <n v="46"/>
    <n v="5.08"/>
    <n v="27"/>
    <n v="2.12"/>
    <x v="0"/>
  </r>
  <r>
    <x v="0"/>
    <s v="浜松市南区"/>
    <x v="9"/>
    <x v="14"/>
    <n v="80"/>
    <n v="3.66"/>
    <n v="29"/>
    <n v="3.2"/>
    <n v="50"/>
    <n v="3.92"/>
    <x v="1"/>
  </r>
  <r>
    <x v="0"/>
    <s v="浜松市北区"/>
    <x v="10"/>
    <x v="0"/>
    <n v="0"/>
    <n v="0"/>
    <n v="0"/>
    <n v="0"/>
    <n v="0"/>
    <n v="0"/>
    <x v="0"/>
  </r>
  <r>
    <x v="0"/>
    <s v="浜松市北区"/>
    <x v="10"/>
    <x v="1"/>
    <n v="382"/>
    <n v="18.690000000000001"/>
    <n v="126"/>
    <n v="12.26"/>
    <n v="256"/>
    <n v="25.27"/>
    <x v="0"/>
  </r>
  <r>
    <x v="0"/>
    <s v="浜松市北区"/>
    <x v="10"/>
    <x v="2"/>
    <n v="264"/>
    <n v="12.92"/>
    <n v="78"/>
    <n v="7.59"/>
    <n v="186"/>
    <n v="18.36"/>
    <x v="0"/>
  </r>
  <r>
    <x v="0"/>
    <s v="浜松市北区"/>
    <x v="10"/>
    <x v="3"/>
    <n v="5"/>
    <n v="0.24"/>
    <n v="0"/>
    <n v="0"/>
    <n v="5"/>
    <n v="0.49"/>
    <x v="0"/>
  </r>
  <r>
    <x v="0"/>
    <s v="浜松市北区"/>
    <x v="10"/>
    <x v="4"/>
    <n v="21"/>
    <n v="1.03"/>
    <n v="1"/>
    <n v="0.1"/>
    <n v="20"/>
    <n v="1.97"/>
    <x v="0"/>
  </r>
  <r>
    <x v="0"/>
    <s v="浜松市北区"/>
    <x v="10"/>
    <x v="5"/>
    <n v="18"/>
    <n v="0.88"/>
    <n v="6"/>
    <n v="0.57999999999999996"/>
    <n v="11"/>
    <n v="1.0900000000000001"/>
    <x v="1"/>
  </r>
  <r>
    <x v="0"/>
    <s v="浜松市北区"/>
    <x v="10"/>
    <x v="6"/>
    <n v="454"/>
    <n v="22.21"/>
    <n v="222"/>
    <n v="21.6"/>
    <n v="232"/>
    <n v="22.9"/>
    <x v="0"/>
  </r>
  <r>
    <x v="0"/>
    <s v="浜松市北区"/>
    <x v="10"/>
    <x v="7"/>
    <n v="7"/>
    <n v="0.34"/>
    <n v="0"/>
    <n v="0"/>
    <n v="7"/>
    <n v="0.69"/>
    <x v="0"/>
  </r>
  <r>
    <x v="0"/>
    <s v="浜松市北区"/>
    <x v="10"/>
    <x v="8"/>
    <n v="134"/>
    <n v="6.56"/>
    <n v="48"/>
    <n v="4.67"/>
    <n v="86"/>
    <n v="8.49"/>
    <x v="0"/>
  </r>
  <r>
    <x v="0"/>
    <s v="浜松市北区"/>
    <x v="10"/>
    <x v="9"/>
    <n v="91"/>
    <n v="4.45"/>
    <n v="43"/>
    <n v="4.18"/>
    <n v="47"/>
    <n v="4.6399999999999997"/>
    <x v="0"/>
  </r>
  <r>
    <x v="0"/>
    <s v="浜松市北区"/>
    <x v="10"/>
    <x v="10"/>
    <n v="172"/>
    <n v="8.41"/>
    <n v="130"/>
    <n v="12.65"/>
    <n v="41"/>
    <n v="4.05"/>
    <x v="0"/>
  </r>
  <r>
    <x v="0"/>
    <s v="浜松市北区"/>
    <x v="10"/>
    <x v="11"/>
    <n v="263"/>
    <n v="12.87"/>
    <n v="225"/>
    <n v="21.89"/>
    <n v="38"/>
    <n v="3.75"/>
    <x v="0"/>
  </r>
  <r>
    <x v="0"/>
    <s v="浜松市北区"/>
    <x v="10"/>
    <x v="12"/>
    <n v="74"/>
    <n v="3.62"/>
    <n v="54"/>
    <n v="5.25"/>
    <n v="20"/>
    <n v="1.97"/>
    <x v="0"/>
  </r>
  <r>
    <x v="0"/>
    <s v="浜松市北区"/>
    <x v="10"/>
    <x v="13"/>
    <n v="94"/>
    <n v="4.5999999999999996"/>
    <n v="67"/>
    <n v="6.52"/>
    <n v="27"/>
    <n v="2.67"/>
    <x v="0"/>
  </r>
  <r>
    <x v="0"/>
    <s v="浜松市北区"/>
    <x v="10"/>
    <x v="14"/>
    <n v="65"/>
    <n v="3.18"/>
    <n v="28"/>
    <n v="2.72"/>
    <n v="37"/>
    <n v="3.65"/>
    <x v="0"/>
  </r>
  <r>
    <x v="0"/>
    <s v="浜松市浜北区"/>
    <x v="11"/>
    <x v="0"/>
    <n v="2"/>
    <n v="0.09"/>
    <n v="0"/>
    <n v="0"/>
    <n v="2"/>
    <n v="0.19"/>
    <x v="0"/>
  </r>
  <r>
    <x v="0"/>
    <s v="浜松市浜北区"/>
    <x v="11"/>
    <x v="1"/>
    <n v="395"/>
    <n v="17.920000000000002"/>
    <n v="148"/>
    <n v="12.99"/>
    <n v="246"/>
    <n v="23.21"/>
    <x v="1"/>
  </r>
  <r>
    <x v="0"/>
    <s v="浜松市浜北区"/>
    <x v="11"/>
    <x v="2"/>
    <n v="346"/>
    <n v="15.7"/>
    <n v="133"/>
    <n v="11.68"/>
    <n v="213"/>
    <n v="20.09"/>
    <x v="0"/>
  </r>
  <r>
    <x v="0"/>
    <s v="浜松市浜北区"/>
    <x v="11"/>
    <x v="3"/>
    <n v="13"/>
    <n v="0.59"/>
    <n v="0"/>
    <n v="0"/>
    <n v="13"/>
    <n v="1.23"/>
    <x v="0"/>
  </r>
  <r>
    <x v="0"/>
    <s v="浜松市浜北区"/>
    <x v="11"/>
    <x v="4"/>
    <n v="12"/>
    <n v="0.54"/>
    <n v="2"/>
    <n v="0.18"/>
    <n v="10"/>
    <n v="0.94"/>
    <x v="0"/>
  </r>
  <r>
    <x v="0"/>
    <s v="浜松市浜北区"/>
    <x v="11"/>
    <x v="5"/>
    <n v="19"/>
    <n v="0.86"/>
    <n v="0"/>
    <n v="0"/>
    <n v="19"/>
    <n v="1.79"/>
    <x v="0"/>
  </r>
  <r>
    <x v="0"/>
    <s v="浜松市浜北区"/>
    <x v="11"/>
    <x v="6"/>
    <n v="459"/>
    <n v="20.83"/>
    <n v="214"/>
    <n v="18.79"/>
    <n v="243"/>
    <n v="22.92"/>
    <x v="7"/>
  </r>
  <r>
    <x v="0"/>
    <s v="浜松市浜北区"/>
    <x v="11"/>
    <x v="7"/>
    <n v="16"/>
    <n v="0.73"/>
    <n v="7"/>
    <n v="0.61"/>
    <n v="9"/>
    <n v="0.85"/>
    <x v="0"/>
  </r>
  <r>
    <x v="0"/>
    <s v="浜松市浜北区"/>
    <x v="11"/>
    <x v="8"/>
    <n v="210"/>
    <n v="9.5299999999999994"/>
    <n v="112"/>
    <n v="9.83"/>
    <n v="98"/>
    <n v="9.25"/>
    <x v="0"/>
  </r>
  <r>
    <x v="0"/>
    <s v="浜松市浜北区"/>
    <x v="11"/>
    <x v="9"/>
    <n v="97"/>
    <n v="4.4000000000000004"/>
    <n v="58"/>
    <n v="5.09"/>
    <n v="39"/>
    <n v="3.68"/>
    <x v="0"/>
  </r>
  <r>
    <x v="0"/>
    <s v="浜松市浜北区"/>
    <x v="11"/>
    <x v="10"/>
    <n v="137"/>
    <n v="6.22"/>
    <n v="107"/>
    <n v="9.39"/>
    <n v="29"/>
    <n v="2.74"/>
    <x v="0"/>
  </r>
  <r>
    <x v="0"/>
    <s v="浜松市浜北区"/>
    <x v="11"/>
    <x v="11"/>
    <n v="233"/>
    <n v="10.57"/>
    <n v="189"/>
    <n v="16.59"/>
    <n v="44"/>
    <n v="4.1500000000000004"/>
    <x v="0"/>
  </r>
  <r>
    <x v="0"/>
    <s v="浜松市浜北区"/>
    <x v="11"/>
    <x v="12"/>
    <n v="103"/>
    <n v="4.67"/>
    <n v="82"/>
    <n v="7.2"/>
    <n v="20"/>
    <n v="1.89"/>
    <x v="1"/>
  </r>
  <r>
    <x v="0"/>
    <s v="浜松市浜北区"/>
    <x v="11"/>
    <x v="13"/>
    <n v="106"/>
    <n v="4.8099999999999996"/>
    <n v="63"/>
    <n v="5.53"/>
    <n v="43"/>
    <n v="4.0599999999999996"/>
    <x v="0"/>
  </r>
  <r>
    <x v="0"/>
    <s v="浜松市浜北区"/>
    <x v="11"/>
    <x v="14"/>
    <n v="56"/>
    <n v="2.54"/>
    <n v="24"/>
    <n v="2.11"/>
    <n v="32"/>
    <n v="3.02"/>
    <x v="0"/>
  </r>
  <r>
    <x v="0"/>
    <s v="浜松市天竜区"/>
    <x v="12"/>
    <x v="0"/>
    <n v="1"/>
    <n v="0.12"/>
    <n v="0"/>
    <n v="0"/>
    <n v="1"/>
    <n v="0.33"/>
    <x v="0"/>
  </r>
  <r>
    <x v="0"/>
    <s v="浜松市天竜区"/>
    <x v="12"/>
    <x v="1"/>
    <n v="142"/>
    <n v="17.190000000000001"/>
    <n v="70"/>
    <n v="14.4"/>
    <n v="72"/>
    <n v="23.84"/>
    <x v="0"/>
  </r>
  <r>
    <x v="0"/>
    <s v="浜松市天竜区"/>
    <x v="12"/>
    <x v="2"/>
    <n v="117"/>
    <n v="14.16"/>
    <n v="55"/>
    <n v="11.32"/>
    <n v="54"/>
    <n v="17.88"/>
    <x v="15"/>
  </r>
  <r>
    <x v="0"/>
    <s v="浜松市天竜区"/>
    <x v="12"/>
    <x v="3"/>
    <n v="2"/>
    <n v="0.24"/>
    <n v="0"/>
    <n v="0"/>
    <n v="2"/>
    <n v="0.66"/>
    <x v="0"/>
  </r>
  <r>
    <x v="0"/>
    <s v="浜松市天竜区"/>
    <x v="12"/>
    <x v="4"/>
    <n v="4"/>
    <n v="0.48"/>
    <n v="0"/>
    <n v="0"/>
    <n v="4"/>
    <n v="1.32"/>
    <x v="0"/>
  </r>
  <r>
    <x v="0"/>
    <s v="浜松市天竜区"/>
    <x v="12"/>
    <x v="5"/>
    <n v="13"/>
    <n v="1.57"/>
    <n v="4"/>
    <n v="0.82"/>
    <n v="7"/>
    <n v="2.3199999999999998"/>
    <x v="7"/>
  </r>
  <r>
    <x v="0"/>
    <s v="浜松市天竜区"/>
    <x v="12"/>
    <x v="6"/>
    <n v="213"/>
    <n v="25.79"/>
    <n v="129"/>
    <n v="26.54"/>
    <n v="83"/>
    <n v="27.48"/>
    <x v="1"/>
  </r>
  <r>
    <x v="0"/>
    <s v="浜松市天竜区"/>
    <x v="12"/>
    <x v="7"/>
    <n v="2"/>
    <n v="0.24"/>
    <n v="0"/>
    <n v="0"/>
    <n v="2"/>
    <n v="0.66"/>
    <x v="0"/>
  </r>
  <r>
    <x v="0"/>
    <s v="浜松市天竜区"/>
    <x v="12"/>
    <x v="8"/>
    <n v="38"/>
    <n v="4.5999999999999996"/>
    <n v="20"/>
    <n v="4.12"/>
    <n v="18"/>
    <n v="5.96"/>
    <x v="0"/>
  </r>
  <r>
    <x v="0"/>
    <s v="浜松市天竜区"/>
    <x v="12"/>
    <x v="9"/>
    <n v="31"/>
    <n v="3.75"/>
    <n v="17"/>
    <n v="3.5"/>
    <n v="12"/>
    <n v="3.97"/>
    <x v="0"/>
  </r>
  <r>
    <x v="0"/>
    <s v="浜松市天竜区"/>
    <x v="12"/>
    <x v="10"/>
    <n v="78"/>
    <n v="9.44"/>
    <n v="67"/>
    <n v="13.79"/>
    <n v="8"/>
    <n v="2.65"/>
    <x v="1"/>
  </r>
  <r>
    <x v="0"/>
    <s v="浜松市天竜区"/>
    <x v="12"/>
    <x v="11"/>
    <n v="99"/>
    <n v="11.99"/>
    <n v="86"/>
    <n v="17.7"/>
    <n v="10"/>
    <n v="3.31"/>
    <x v="0"/>
  </r>
  <r>
    <x v="0"/>
    <s v="浜松市天竜区"/>
    <x v="12"/>
    <x v="12"/>
    <n v="25"/>
    <n v="3.03"/>
    <n v="14"/>
    <n v="2.88"/>
    <n v="1"/>
    <n v="0.33"/>
    <x v="0"/>
  </r>
  <r>
    <x v="0"/>
    <s v="浜松市天竜区"/>
    <x v="12"/>
    <x v="13"/>
    <n v="38"/>
    <n v="4.5999999999999996"/>
    <n v="18"/>
    <n v="3.7"/>
    <n v="18"/>
    <n v="5.96"/>
    <x v="0"/>
  </r>
  <r>
    <x v="0"/>
    <s v="浜松市天竜区"/>
    <x v="12"/>
    <x v="14"/>
    <n v="23"/>
    <n v="2.78"/>
    <n v="6"/>
    <n v="1.23"/>
    <n v="10"/>
    <n v="3.31"/>
    <x v="0"/>
  </r>
  <r>
    <x v="0"/>
    <s v="沼津市"/>
    <x v="13"/>
    <x v="0"/>
    <n v="0"/>
    <n v="0"/>
    <n v="0"/>
    <n v="0"/>
    <n v="0"/>
    <n v="0"/>
    <x v="0"/>
  </r>
  <r>
    <x v="0"/>
    <s v="沼津市"/>
    <x v="13"/>
    <x v="1"/>
    <n v="694"/>
    <n v="12.75"/>
    <n v="148"/>
    <n v="5.87"/>
    <n v="546"/>
    <n v="18.89"/>
    <x v="0"/>
  </r>
  <r>
    <x v="0"/>
    <s v="沼津市"/>
    <x v="13"/>
    <x v="2"/>
    <n v="617"/>
    <n v="11.33"/>
    <n v="190"/>
    <n v="7.53"/>
    <n v="427"/>
    <n v="14.77"/>
    <x v="0"/>
  </r>
  <r>
    <x v="0"/>
    <s v="沼津市"/>
    <x v="13"/>
    <x v="3"/>
    <n v="3"/>
    <n v="0.06"/>
    <n v="1"/>
    <n v="0.04"/>
    <n v="1"/>
    <n v="0.03"/>
    <x v="0"/>
  </r>
  <r>
    <x v="0"/>
    <s v="沼津市"/>
    <x v="13"/>
    <x v="4"/>
    <n v="45"/>
    <n v="0.83"/>
    <n v="4"/>
    <n v="0.16"/>
    <n v="41"/>
    <n v="1.42"/>
    <x v="0"/>
  </r>
  <r>
    <x v="0"/>
    <s v="沼津市"/>
    <x v="13"/>
    <x v="5"/>
    <n v="44"/>
    <n v="0.81"/>
    <n v="7"/>
    <n v="0.28000000000000003"/>
    <n v="35"/>
    <n v="1.21"/>
    <x v="1"/>
  </r>
  <r>
    <x v="0"/>
    <s v="沼津市"/>
    <x v="13"/>
    <x v="6"/>
    <n v="1269"/>
    <n v="23.31"/>
    <n v="473"/>
    <n v="18.75"/>
    <n v="796"/>
    <n v="27.53"/>
    <x v="0"/>
  </r>
  <r>
    <x v="0"/>
    <s v="沼津市"/>
    <x v="13"/>
    <x v="7"/>
    <n v="57"/>
    <n v="1.05"/>
    <n v="8"/>
    <n v="0.32"/>
    <n v="49"/>
    <n v="1.69"/>
    <x v="0"/>
  </r>
  <r>
    <x v="0"/>
    <s v="沼津市"/>
    <x v="13"/>
    <x v="8"/>
    <n v="529"/>
    <n v="9.7200000000000006"/>
    <n v="167"/>
    <n v="6.62"/>
    <n v="362"/>
    <n v="12.52"/>
    <x v="0"/>
  </r>
  <r>
    <x v="0"/>
    <s v="沼津市"/>
    <x v="13"/>
    <x v="9"/>
    <n v="294"/>
    <n v="5.4"/>
    <n v="155"/>
    <n v="6.14"/>
    <n v="137"/>
    <n v="4.74"/>
    <x v="1"/>
  </r>
  <r>
    <x v="0"/>
    <s v="沼津市"/>
    <x v="13"/>
    <x v="10"/>
    <n v="685"/>
    <n v="12.58"/>
    <n v="575"/>
    <n v="22.79"/>
    <n v="109"/>
    <n v="3.77"/>
    <x v="0"/>
  </r>
  <r>
    <x v="0"/>
    <s v="沼津市"/>
    <x v="13"/>
    <x v="11"/>
    <n v="626"/>
    <n v="11.5"/>
    <n v="479"/>
    <n v="18.989999999999998"/>
    <n v="145"/>
    <n v="5.0199999999999996"/>
    <x v="0"/>
  </r>
  <r>
    <x v="0"/>
    <s v="沼津市"/>
    <x v="13"/>
    <x v="12"/>
    <n v="157"/>
    <n v="2.88"/>
    <n v="105"/>
    <n v="4.16"/>
    <n v="48"/>
    <n v="1.66"/>
    <x v="0"/>
  </r>
  <r>
    <x v="0"/>
    <s v="沼津市"/>
    <x v="13"/>
    <x v="13"/>
    <n v="239"/>
    <n v="4.3899999999999997"/>
    <n v="158"/>
    <n v="6.26"/>
    <n v="68"/>
    <n v="2.35"/>
    <x v="16"/>
  </r>
  <r>
    <x v="0"/>
    <s v="沼津市"/>
    <x v="13"/>
    <x v="14"/>
    <n v="186"/>
    <n v="3.42"/>
    <n v="53"/>
    <n v="2.1"/>
    <n v="127"/>
    <n v="4.3899999999999997"/>
    <x v="5"/>
  </r>
  <r>
    <x v="0"/>
    <s v="熱海市"/>
    <x v="14"/>
    <x v="0"/>
    <n v="0"/>
    <n v="0"/>
    <n v="0"/>
    <n v="0"/>
    <n v="0"/>
    <n v="0"/>
    <x v="0"/>
  </r>
  <r>
    <x v="0"/>
    <s v="熱海市"/>
    <x v="14"/>
    <x v="1"/>
    <n v="199"/>
    <n v="13.07"/>
    <n v="60"/>
    <n v="7.63"/>
    <n v="139"/>
    <n v="19.149999999999999"/>
    <x v="0"/>
  </r>
  <r>
    <x v="0"/>
    <s v="熱海市"/>
    <x v="14"/>
    <x v="2"/>
    <n v="58"/>
    <n v="3.81"/>
    <n v="22"/>
    <n v="2.8"/>
    <n v="36"/>
    <n v="4.96"/>
    <x v="0"/>
  </r>
  <r>
    <x v="0"/>
    <s v="熱海市"/>
    <x v="14"/>
    <x v="3"/>
    <n v="1"/>
    <n v="7.0000000000000007E-2"/>
    <n v="0"/>
    <n v="0"/>
    <n v="1"/>
    <n v="0.14000000000000001"/>
    <x v="0"/>
  </r>
  <r>
    <x v="0"/>
    <s v="熱海市"/>
    <x v="14"/>
    <x v="4"/>
    <n v="14"/>
    <n v="0.92"/>
    <n v="0"/>
    <n v="0"/>
    <n v="14"/>
    <n v="1.93"/>
    <x v="0"/>
  </r>
  <r>
    <x v="0"/>
    <s v="熱海市"/>
    <x v="14"/>
    <x v="5"/>
    <n v="8"/>
    <n v="0.53"/>
    <n v="2"/>
    <n v="0.25"/>
    <n v="3"/>
    <n v="0.41"/>
    <x v="12"/>
  </r>
  <r>
    <x v="0"/>
    <s v="熱海市"/>
    <x v="14"/>
    <x v="6"/>
    <n v="340"/>
    <n v="22.32"/>
    <n v="153"/>
    <n v="19.47"/>
    <n v="187"/>
    <n v="25.76"/>
    <x v="0"/>
  </r>
  <r>
    <x v="0"/>
    <s v="熱海市"/>
    <x v="14"/>
    <x v="7"/>
    <n v="7"/>
    <n v="0.46"/>
    <n v="2"/>
    <n v="0.25"/>
    <n v="5"/>
    <n v="0.69"/>
    <x v="0"/>
  </r>
  <r>
    <x v="0"/>
    <s v="熱海市"/>
    <x v="14"/>
    <x v="8"/>
    <n v="216"/>
    <n v="14.18"/>
    <n v="104"/>
    <n v="13.23"/>
    <n v="111"/>
    <n v="15.29"/>
    <x v="1"/>
  </r>
  <r>
    <x v="0"/>
    <s v="熱海市"/>
    <x v="14"/>
    <x v="9"/>
    <n v="55"/>
    <n v="3.61"/>
    <n v="26"/>
    <n v="3.31"/>
    <n v="29"/>
    <n v="3.99"/>
    <x v="0"/>
  </r>
  <r>
    <x v="0"/>
    <s v="熱海市"/>
    <x v="14"/>
    <x v="10"/>
    <n v="347"/>
    <n v="22.78"/>
    <n v="250"/>
    <n v="31.81"/>
    <n v="97"/>
    <n v="13.36"/>
    <x v="0"/>
  </r>
  <r>
    <x v="0"/>
    <s v="熱海市"/>
    <x v="14"/>
    <x v="11"/>
    <n v="166"/>
    <n v="10.9"/>
    <n v="118"/>
    <n v="15.01"/>
    <n v="47"/>
    <n v="6.47"/>
    <x v="1"/>
  </r>
  <r>
    <x v="0"/>
    <s v="熱海市"/>
    <x v="14"/>
    <x v="12"/>
    <n v="25"/>
    <n v="1.64"/>
    <n v="13"/>
    <n v="1.65"/>
    <n v="9"/>
    <n v="1.24"/>
    <x v="0"/>
  </r>
  <r>
    <x v="0"/>
    <s v="熱海市"/>
    <x v="14"/>
    <x v="13"/>
    <n v="49"/>
    <n v="3.22"/>
    <n v="30"/>
    <n v="3.82"/>
    <n v="18"/>
    <n v="2.48"/>
    <x v="0"/>
  </r>
  <r>
    <x v="0"/>
    <s v="熱海市"/>
    <x v="14"/>
    <x v="14"/>
    <n v="38"/>
    <n v="2.5"/>
    <n v="6"/>
    <n v="0.76"/>
    <n v="30"/>
    <n v="4.13"/>
    <x v="1"/>
  </r>
  <r>
    <x v="0"/>
    <s v="三島市"/>
    <x v="15"/>
    <x v="0"/>
    <n v="0"/>
    <n v="0"/>
    <n v="0"/>
    <n v="0"/>
    <n v="0"/>
    <n v="0"/>
    <x v="0"/>
  </r>
  <r>
    <x v="0"/>
    <s v="三島市"/>
    <x v="15"/>
    <x v="1"/>
    <n v="367"/>
    <n v="11.61"/>
    <n v="86"/>
    <n v="4.9800000000000004"/>
    <n v="281"/>
    <n v="20.13"/>
    <x v="0"/>
  </r>
  <r>
    <x v="0"/>
    <s v="三島市"/>
    <x v="15"/>
    <x v="2"/>
    <n v="194"/>
    <n v="6.14"/>
    <n v="68"/>
    <n v="3.94"/>
    <n v="126"/>
    <n v="9.0299999999999994"/>
    <x v="0"/>
  </r>
  <r>
    <x v="0"/>
    <s v="三島市"/>
    <x v="15"/>
    <x v="3"/>
    <n v="0"/>
    <n v="0"/>
    <n v="0"/>
    <n v="0"/>
    <n v="0"/>
    <n v="0"/>
    <x v="0"/>
  </r>
  <r>
    <x v="0"/>
    <s v="三島市"/>
    <x v="15"/>
    <x v="4"/>
    <n v="37"/>
    <n v="1.17"/>
    <n v="1"/>
    <n v="0.06"/>
    <n v="36"/>
    <n v="2.58"/>
    <x v="0"/>
  </r>
  <r>
    <x v="0"/>
    <s v="三島市"/>
    <x v="15"/>
    <x v="5"/>
    <n v="22"/>
    <n v="0.7"/>
    <n v="2"/>
    <n v="0.12"/>
    <n v="20"/>
    <n v="1.43"/>
    <x v="0"/>
  </r>
  <r>
    <x v="0"/>
    <s v="三島市"/>
    <x v="15"/>
    <x v="6"/>
    <n v="650"/>
    <n v="20.56"/>
    <n v="286"/>
    <n v="16.57"/>
    <n v="358"/>
    <n v="25.64"/>
    <x v="6"/>
  </r>
  <r>
    <x v="0"/>
    <s v="三島市"/>
    <x v="15"/>
    <x v="7"/>
    <n v="16"/>
    <n v="0.51"/>
    <n v="2"/>
    <n v="0.12"/>
    <n v="14"/>
    <n v="1"/>
    <x v="0"/>
  </r>
  <r>
    <x v="0"/>
    <s v="三島市"/>
    <x v="15"/>
    <x v="8"/>
    <n v="478"/>
    <n v="15.12"/>
    <n v="249"/>
    <n v="14.43"/>
    <n v="229"/>
    <n v="16.399999999999999"/>
    <x v="0"/>
  </r>
  <r>
    <x v="0"/>
    <s v="三島市"/>
    <x v="15"/>
    <x v="9"/>
    <n v="181"/>
    <n v="5.73"/>
    <n v="101"/>
    <n v="5.85"/>
    <n v="80"/>
    <n v="5.73"/>
    <x v="0"/>
  </r>
  <r>
    <x v="0"/>
    <s v="三島市"/>
    <x v="15"/>
    <x v="10"/>
    <n v="453"/>
    <n v="14.33"/>
    <n v="398"/>
    <n v="23.06"/>
    <n v="55"/>
    <n v="3.94"/>
    <x v="0"/>
  </r>
  <r>
    <x v="0"/>
    <s v="三島市"/>
    <x v="15"/>
    <x v="11"/>
    <n v="349"/>
    <n v="11.04"/>
    <n v="275"/>
    <n v="15.93"/>
    <n v="72"/>
    <n v="5.16"/>
    <x v="1"/>
  </r>
  <r>
    <x v="0"/>
    <s v="三島市"/>
    <x v="15"/>
    <x v="12"/>
    <n v="145"/>
    <n v="4.59"/>
    <n v="119"/>
    <n v="6.89"/>
    <n v="23"/>
    <n v="1.65"/>
    <x v="1"/>
  </r>
  <r>
    <x v="0"/>
    <s v="三島市"/>
    <x v="15"/>
    <x v="13"/>
    <n v="178"/>
    <n v="5.63"/>
    <n v="103"/>
    <n v="5.97"/>
    <n v="51"/>
    <n v="3.65"/>
    <x v="0"/>
  </r>
  <r>
    <x v="0"/>
    <s v="三島市"/>
    <x v="15"/>
    <x v="14"/>
    <n v="91"/>
    <n v="2.88"/>
    <n v="36"/>
    <n v="2.09"/>
    <n v="51"/>
    <n v="3.65"/>
    <x v="12"/>
  </r>
  <r>
    <x v="0"/>
    <s v="富士宮市"/>
    <x v="16"/>
    <x v="0"/>
    <n v="1"/>
    <n v="0.03"/>
    <n v="0"/>
    <n v="0"/>
    <n v="1"/>
    <n v="0.08"/>
    <x v="0"/>
  </r>
  <r>
    <x v="0"/>
    <s v="富士宮市"/>
    <x v="16"/>
    <x v="1"/>
    <n v="552"/>
    <n v="17.27"/>
    <n v="245"/>
    <n v="12.87"/>
    <n v="307"/>
    <n v="23.95"/>
    <x v="0"/>
  </r>
  <r>
    <x v="0"/>
    <s v="富士宮市"/>
    <x v="16"/>
    <x v="2"/>
    <n v="355"/>
    <n v="11.11"/>
    <n v="135"/>
    <n v="7.09"/>
    <n v="220"/>
    <n v="17.16"/>
    <x v="0"/>
  </r>
  <r>
    <x v="0"/>
    <s v="富士宮市"/>
    <x v="16"/>
    <x v="3"/>
    <n v="11"/>
    <n v="0.34"/>
    <n v="0"/>
    <n v="0"/>
    <n v="11"/>
    <n v="0.86"/>
    <x v="0"/>
  </r>
  <r>
    <x v="0"/>
    <s v="富士宮市"/>
    <x v="16"/>
    <x v="4"/>
    <n v="12"/>
    <n v="0.38"/>
    <n v="1"/>
    <n v="0.05"/>
    <n v="11"/>
    <n v="0.86"/>
    <x v="0"/>
  </r>
  <r>
    <x v="0"/>
    <s v="富士宮市"/>
    <x v="16"/>
    <x v="5"/>
    <n v="25"/>
    <n v="0.78"/>
    <n v="2"/>
    <n v="0.11"/>
    <n v="23"/>
    <n v="1.79"/>
    <x v="0"/>
  </r>
  <r>
    <x v="0"/>
    <s v="富士宮市"/>
    <x v="16"/>
    <x v="6"/>
    <n v="731"/>
    <n v="22.87"/>
    <n v="417"/>
    <n v="21.91"/>
    <n v="314"/>
    <n v="24.49"/>
    <x v="0"/>
  </r>
  <r>
    <x v="0"/>
    <s v="富士宮市"/>
    <x v="16"/>
    <x v="7"/>
    <n v="35"/>
    <n v="1.1000000000000001"/>
    <n v="8"/>
    <n v="0.42"/>
    <n v="27"/>
    <n v="2.11"/>
    <x v="0"/>
  </r>
  <r>
    <x v="0"/>
    <s v="富士宮市"/>
    <x v="16"/>
    <x v="8"/>
    <n v="164"/>
    <n v="5.13"/>
    <n v="62"/>
    <n v="3.26"/>
    <n v="101"/>
    <n v="7.88"/>
    <x v="0"/>
  </r>
  <r>
    <x v="0"/>
    <s v="富士宮市"/>
    <x v="16"/>
    <x v="9"/>
    <n v="131"/>
    <n v="4.0999999999999996"/>
    <n v="89"/>
    <n v="4.68"/>
    <n v="41"/>
    <n v="3.2"/>
    <x v="0"/>
  </r>
  <r>
    <x v="0"/>
    <s v="富士宮市"/>
    <x v="16"/>
    <x v="10"/>
    <n v="442"/>
    <n v="13.83"/>
    <n v="386"/>
    <n v="20.28"/>
    <n v="55"/>
    <n v="4.29"/>
    <x v="0"/>
  </r>
  <r>
    <x v="0"/>
    <s v="富士宮市"/>
    <x v="16"/>
    <x v="11"/>
    <n v="367"/>
    <n v="11.48"/>
    <n v="312"/>
    <n v="16.399999999999999"/>
    <n v="55"/>
    <n v="4.29"/>
    <x v="0"/>
  </r>
  <r>
    <x v="0"/>
    <s v="富士宮市"/>
    <x v="16"/>
    <x v="12"/>
    <n v="114"/>
    <n v="3.57"/>
    <n v="85"/>
    <n v="4.47"/>
    <n v="24"/>
    <n v="1.87"/>
    <x v="1"/>
  </r>
  <r>
    <x v="0"/>
    <s v="富士宮市"/>
    <x v="16"/>
    <x v="13"/>
    <n v="147"/>
    <n v="4.5999999999999996"/>
    <n v="89"/>
    <n v="4.68"/>
    <n v="58"/>
    <n v="4.5199999999999996"/>
    <x v="0"/>
  </r>
  <r>
    <x v="0"/>
    <s v="富士宮市"/>
    <x v="16"/>
    <x v="14"/>
    <n v="109"/>
    <n v="3.41"/>
    <n v="72"/>
    <n v="3.78"/>
    <n v="34"/>
    <n v="2.65"/>
    <x v="1"/>
  </r>
  <r>
    <x v="0"/>
    <s v="伊東市"/>
    <x v="17"/>
    <x v="0"/>
    <n v="0"/>
    <n v="0"/>
    <n v="0"/>
    <n v="0"/>
    <n v="0"/>
    <n v="0"/>
    <x v="0"/>
  </r>
  <r>
    <x v="0"/>
    <s v="伊東市"/>
    <x v="17"/>
    <x v="1"/>
    <n v="346"/>
    <n v="13.37"/>
    <n v="119"/>
    <n v="8.32"/>
    <n v="227"/>
    <n v="19.89"/>
    <x v="0"/>
  </r>
  <r>
    <x v="0"/>
    <s v="伊東市"/>
    <x v="17"/>
    <x v="2"/>
    <n v="115"/>
    <n v="4.4400000000000004"/>
    <n v="40"/>
    <n v="2.8"/>
    <n v="75"/>
    <n v="6.57"/>
    <x v="0"/>
  </r>
  <r>
    <x v="0"/>
    <s v="伊東市"/>
    <x v="17"/>
    <x v="3"/>
    <n v="6"/>
    <n v="0.23"/>
    <n v="0"/>
    <n v="0"/>
    <n v="6"/>
    <n v="0.53"/>
    <x v="0"/>
  </r>
  <r>
    <x v="0"/>
    <s v="伊東市"/>
    <x v="17"/>
    <x v="4"/>
    <n v="14"/>
    <n v="0.54"/>
    <n v="2"/>
    <n v="0.14000000000000001"/>
    <n v="12"/>
    <n v="1.05"/>
    <x v="0"/>
  </r>
  <r>
    <x v="0"/>
    <s v="伊東市"/>
    <x v="17"/>
    <x v="5"/>
    <n v="9"/>
    <n v="0.35"/>
    <n v="2"/>
    <n v="0.14000000000000001"/>
    <n v="7"/>
    <n v="0.61"/>
    <x v="0"/>
  </r>
  <r>
    <x v="0"/>
    <s v="伊東市"/>
    <x v="17"/>
    <x v="6"/>
    <n v="574"/>
    <n v="22.18"/>
    <n v="279"/>
    <n v="19.5"/>
    <n v="295"/>
    <n v="25.85"/>
    <x v="0"/>
  </r>
  <r>
    <x v="0"/>
    <s v="伊東市"/>
    <x v="17"/>
    <x v="7"/>
    <n v="18"/>
    <n v="0.7"/>
    <n v="5"/>
    <n v="0.35"/>
    <n v="12"/>
    <n v="1.05"/>
    <x v="1"/>
  </r>
  <r>
    <x v="0"/>
    <s v="伊東市"/>
    <x v="17"/>
    <x v="8"/>
    <n v="269"/>
    <n v="10.39"/>
    <n v="116"/>
    <n v="8.11"/>
    <n v="153"/>
    <n v="13.41"/>
    <x v="0"/>
  </r>
  <r>
    <x v="0"/>
    <s v="伊東市"/>
    <x v="17"/>
    <x v="9"/>
    <n v="92"/>
    <n v="3.55"/>
    <n v="47"/>
    <n v="3.28"/>
    <n v="45"/>
    <n v="3.94"/>
    <x v="0"/>
  </r>
  <r>
    <x v="0"/>
    <s v="伊東市"/>
    <x v="17"/>
    <x v="10"/>
    <n v="566"/>
    <n v="21.87"/>
    <n v="409"/>
    <n v="28.58"/>
    <n v="156"/>
    <n v="13.67"/>
    <x v="0"/>
  </r>
  <r>
    <x v="0"/>
    <s v="伊東市"/>
    <x v="17"/>
    <x v="11"/>
    <n v="305"/>
    <n v="11.79"/>
    <n v="248"/>
    <n v="17.329999999999998"/>
    <n v="56"/>
    <n v="4.91"/>
    <x v="1"/>
  </r>
  <r>
    <x v="0"/>
    <s v="伊東市"/>
    <x v="17"/>
    <x v="12"/>
    <n v="84"/>
    <n v="3.25"/>
    <n v="57"/>
    <n v="3.98"/>
    <n v="22"/>
    <n v="1.93"/>
    <x v="5"/>
  </r>
  <r>
    <x v="0"/>
    <s v="伊東市"/>
    <x v="17"/>
    <x v="13"/>
    <n v="120"/>
    <n v="4.6399999999999997"/>
    <n v="78"/>
    <n v="5.45"/>
    <n v="37"/>
    <n v="3.24"/>
    <x v="1"/>
  </r>
  <r>
    <x v="0"/>
    <s v="伊東市"/>
    <x v="17"/>
    <x v="14"/>
    <n v="70"/>
    <n v="2.7"/>
    <n v="29"/>
    <n v="2.0299999999999998"/>
    <n v="38"/>
    <n v="3.33"/>
    <x v="7"/>
  </r>
  <r>
    <x v="0"/>
    <s v="島田市"/>
    <x v="18"/>
    <x v="0"/>
    <n v="3"/>
    <n v="0.12"/>
    <n v="0"/>
    <n v="0"/>
    <n v="3"/>
    <n v="0.32"/>
    <x v="0"/>
  </r>
  <r>
    <x v="0"/>
    <s v="島田市"/>
    <x v="18"/>
    <x v="1"/>
    <n v="397"/>
    <n v="15.51"/>
    <n v="207"/>
    <n v="12.95"/>
    <n v="190"/>
    <n v="20.23"/>
    <x v="0"/>
  </r>
  <r>
    <x v="0"/>
    <s v="島田市"/>
    <x v="18"/>
    <x v="2"/>
    <n v="332"/>
    <n v="12.97"/>
    <n v="130"/>
    <n v="8.14"/>
    <n v="200"/>
    <n v="21.3"/>
    <x v="7"/>
  </r>
  <r>
    <x v="0"/>
    <s v="島田市"/>
    <x v="18"/>
    <x v="3"/>
    <n v="8"/>
    <n v="0.31"/>
    <n v="3"/>
    <n v="0.19"/>
    <n v="4"/>
    <n v="0.43"/>
    <x v="0"/>
  </r>
  <r>
    <x v="0"/>
    <s v="島田市"/>
    <x v="18"/>
    <x v="4"/>
    <n v="21"/>
    <n v="0.82"/>
    <n v="3"/>
    <n v="0.19"/>
    <n v="18"/>
    <n v="1.92"/>
    <x v="0"/>
  </r>
  <r>
    <x v="0"/>
    <s v="島田市"/>
    <x v="18"/>
    <x v="5"/>
    <n v="19"/>
    <n v="0.74"/>
    <n v="4"/>
    <n v="0.25"/>
    <n v="15"/>
    <n v="1.6"/>
    <x v="0"/>
  </r>
  <r>
    <x v="0"/>
    <s v="島田市"/>
    <x v="18"/>
    <x v="6"/>
    <n v="575"/>
    <n v="22.47"/>
    <n v="357"/>
    <n v="22.34"/>
    <n v="217"/>
    <n v="23.11"/>
    <x v="1"/>
  </r>
  <r>
    <x v="0"/>
    <s v="島田市"/>
    <x v="18"/>
    <x v="7"/>
    <n v="25"/>
    <n v="0.98"/>
    <n v="5"/>
    <n v="0.31"/>
    <n v="19"/>
    <n v="2.02"/>
    <x v="1"/>
  </r>
  <r>
    <x v="0"/>
    <s v="島田市"/>
    <x v="18"/>
    <x v="8"/>
    <n v="197"/>
    <n v="7.7"/>
    <n v="143"/>
    <n v="8.9499999999999993"/>
    <n v="54"/>
    <n v="5.75"/>
    <x v="0"/>
  </r>
  <r>
    <x v="0"/>
    <s v="島田市"/>
    <x v="18"/>
    <x v="9"/>
    <n v="121"/>
    <n v="4.7300000000000004"/>
    <n v="84"/>
    <n v="5.26"/>
    <n v="36"/>
    <n v="3.83"/>
    <x v="0"/>
  </r>
  <r>
    <x v="0"/>
    <s v="島田市"/>
    <x v="18"/>
    <x v="10"/>
    <n v="272"/>
    <n v="10.63"/>
    <n v="220"/>
    <n v="13.77"/>
    <n v="50"/>
    <n v="5.32"/>
    <x v="1"/>
  </r>
  <r>
    <x v="0"/>
    <s v="島田市"/>
    <x v="18"/>
    <x v="11"/>
    <n v="324"/>
    <n v="12.66"/>
    <n v="274"/>
    <n v="17.149999999999999"/>
    <n v="50"/>
    <n v="5.32"/>
    <x v="0"/>
  </r>
  <r>
    <x v="0"/>
    <s v="島田市"/>
    <x v="18"/>
    <x v="12"/>
    <n v="87"/>
    <n v="3.4"/>
    <n v="67"/>
    <n v="4.1900000000000004"/>
    <n v="16"/>
    <n v="1.7"/>
    <x v="0"/>
  </r>
  <r>
    <x v="0"/>
    <s v="島田市"/>
    <x v="18"/>
    <x v="13"/>
    <n v="103"/>
    <n v="4.03"/>
    <n v="62"/>
    <n v="3.88"/>
    <n v="36"/>
    <n v="3.83"/>
    <x v="0"/>
  </r>
  <r>
    <x v="0"/>
    <s v="島田市"/>
    <x v="18"/>
    <x v="14"/>
    <n v="75"/>
    <n v="2.93"/>
    <n v="39"/>
    <n v="2.44"/>
    <n v="31"/>
    <n v="3.3"/>
    <x v="0"/>
  </r>
  <r>
    <x v="0"/>
    <s v="富士市"/>
    <x v="19"/>
    <x v="0"/>
    <n v="1"/>
    <n v="0.01"/>
    <n v="0"/>
    <n v="0"/>
    <n v="1"/>
    <n v="0.03"/>
    <x v="0"/>
  </r>
  <r>
    <x v="0"/>
    <s v="富士市"/>
    <x v="19"/>
    <x v="1"/>
    <n v="1028"/>
    <n v="15.14"/>
    <n v="334"/>
    <n v="9.1300000000000008"/>
    <n v="694"/>
    <n v="22.39"/>
    <x v="0"/>
  </r>
  <r>
    <x v="0"/>
    <s v="富士市"/>
    <x v="19"/>
    <x v="2"/>
    <n v="763"/>
    <n v="11.24"/>
    <n v="247"/>
    <n v="6.75"/>
    <n v="515"/>
    <n v="16.61"/>
    <x v="1"/>
  </r>
  <r>
    <x v="0"/>
    <s v="富士市"/>
    <x v="19"/>
    <x v="3"/>
    <n v="6"/>
    <n v="0.09"/>
    <n v="0"/>
    <n v="0"/>
    <n v="6"/>
    <n v="0.19"/>
    <x v="0"/>
  </r>
  <r>
    <x v="0"/>
    <s v="富士市"/>
    <x v="19"/>
    <x v="4"/>
    <n v="41"/>
    <n v="0.6"/>
    <n v="1"/>
    <n v="0.03"/>
    <n v="40"/>
    <n v="1.29"/>
    <x v="0"/>
  </r>
  <r>
    <x v="0"/>
    <s v="富士市"/>
    <x v="19"/>
    <x v="5"/>
    <n v="96"/>
    <n v="1.41"/>
    <n v="6"/>
    <n v="0.16"/>
    <n v="90"/>
    <n v="2.9"/>
    <x v="0"/>
  </r>
  <r>
    <x v="0"/>
    <s v="富士市"/>
    <x v="19"/>
    <x v="6"/>
    <n v="1418"/>
    <n v="20.89"/>
    <n v="696"/>
    <n v="19.03"/>
    <n v="711"/>
    <n v="22.94"/>
    <x v="13"/>
  </r>
  <r>
    <x v="0"/>
    <s v="富士市"/>
    <x v="19"/>
    <x v="7"/>
    <n v="63"/>
    <n v="0.93"/>
    <n v="13"/>
    <n v="0.36"/>
    <n v="49"/>
    <n v="1.58"/>
    <x v="1"/>
  </r>
  <r>
    <x v="0"/>
    <s v="富士市"/>
    <x v="19"/>
    <x v="8"/>
    <n v="762"/>
    <n v="11.22"/>
    <n v="394"/>
    <n v="10.77"/>
    <n v="368"/>
    <n v="11.87"/>
    <x v="0"/>
  </r>
  <r>
    <x v="0"/>
    <s v="富士市"/>
    <x v="19"/>
    <x v="9"/>
    <n v="333"/>
    <n v="4.9000000000000004"/>
    <n v="205"/>
    <n v="5.6"/>
    <n v="125"/>
    <n v="4.03"/>
    <x v="0"/>
  </r>
  <r>
    <x v="0"/>
    <s v="富士市"/>
    <x v="19"/>
    <x v="10"/>
    <n v="705"/>
    <n v="10.38"/>
    <n v="599"/>
    <n v="16.38"/>
    <n v="105"/>
    <n v="3.39"/>
    <x v="1"/>
  </r>
  <r>
    <x v="0"/>
    <s v="富士市"/>
    <x v="19"/>
    <x v="11"/>
    <n v="759"/>
    <n v="11.18"/>
    <n v="607"/>
    <n v="16.59"/>
    <n v="152"/>
    <n v="4.9000000000000004"/>
    <x v="0"/>
  </r>
  <r>
    <x v="0"/>
    <s v="富士市"/>
    <x v="19"/>
    <x v="12"/>
    <n v="282"/>
    <n v="4.1500000000000004"/>
    <n v="223"/>
    <n v="6.1"/>
    <n v="57"/>
    <n v="1.84"/>
    <x v="0"/>
  </r>
  <r>
    <x v="0"/>
    <s v="富士市"/>
    <x v="19"/>
    <x v="13"/>
    <n v="269"/>
    <n v="3.96"/>
    <n v="192"/>
    <n v="5.25"/>
    <n v="66"/>
    <n v="2.13"/>
    <x v="1"/>
  </r>
  <r>
    <x v="0"/>
    <s v="富士市"/>
    <x v="19"/>
    <x v="14"/>
    <n v="263"/>
    <n v="3.87"/>
    <n v="141"/>
    <n v="3.85"/>
    <n v="121"/>
    <n v="3.9"/>
    <x v="0"/>
  </r>
  <r>
    <x v="0"/>
    <s v="磐田市"/>
    <x v="20"/>
    <x v="0"/>
    <n v="5"/>
    <n v="0.14000000000000001"/>
    <n v="0"/>
    <n v="0"/>
    <n v="5"/>
    <n v="0.31"/>
    <x v="0"/>
  </r>
  <r>
    <x v="0"/>
    <s v="磐田市"/>
    <x v="20"/>
    <x v="1"/>
    <n v="482"/>
    <n v="13.66"/>
    <n v="184"/>
    <n v="10.07"/>
    <n v="298"/>
    <n v="18.510000000000002"/>
    <x v="0"/>
  </r>
  <r>
    <x v="0"/>
    <s v="磐田市"/>
    <x v="20"/>
    <x v="2"/>
    <n v="535"/>
    <n v="15.16"/>
    <n v="205"/>
    <n v="11.21"/>
    <n v="330"/>
    <n v="20.5"/>
    <x v="0"/>
  </r>
  <r>
    <x v="0"/>
    <s v="磐田市"/>
    <x v="20"/>
    <x v="3"/>
    <n v="12"/>
    <n v="0.34"/>
    <n v="0"/>
    <n v="0"/>
    <n v="12"/>
    <n v="0.75"/>
    <x v="0"/>
  </r>
  <r>
    <x v="0"/>
    <s v="磐田市"/>
    <x v="20"/>
    <x v="4"/>
    <n v="19"/>
    <n v="0.54"/>
    <n v="1"/>
    <n v="0.05"/>
    <n v="18"/>
    <n v="1.1200000000000001"/>
    <x v="0"/>
  </r>
  <r>
    <x v="0"/>
    <s v="磐田市"/>
    <x v="20"/>
    <x v="5"/>
    <n v="29"/>
    <n v="0.82"/>
    <n v="10"/>
    <n v="0.55000000000000004"/>
    <n v="18"/>
    <n v="1.1200000000000001"/>
    <x v="1"/>
  </r>
  <r>
    <x v="0"/>
    <s v="磐田市"/>
    <x v="20"/>
    <x v="6"/>
    <n v="734"/>
    <n v="20.8"/>
    <n v="334"/>
    <n v="18.27"/>
    <n v="399"/>
    <n v="24.78"/>
    <x v="1"/>
  </r>
  <r>
    <x v="0"/>
    <s v="磐田市"/>
    <x v="20"/>
    <x v="7"/>
    <n v="20"/>
    <n v="0.56999999999999995"/>
    <n v="5"/>
    <n v="0.27"/>
    <n v="15"/>
    <n v="0.93"/>
    <x v="0"/>
  </r>
  <r>
    <x v="0"/>
    <s v="磐田市"/>
    <x v="20"/>
    <x v="8"/>
    <n v="319"/>
    <n v="9.0399999999999991"/>
    <n v="159"/>
    <n v="8.6999999999999993"/>
    <n v="160"/>
    <n v="9.94"/>
    <x v="0"/>
  </r>
  <r>
    <x v="0"/>
    <s v="磐田市"/>
    <x v="20"/>
    <x v="9"/>
    <n v="151"/>
    <n v="4.28"/>
    <n v="81"/>
    <n v="4.43"/>
    <n v="70"/>
    <n v="4.3499999999999996"/>
    <x v="0"/>
  </r>
  <r>
    <x v="0"/>
    <s v="磐田市"/>
    <x v="20"/>
    <x v="10"/>
    <n v="304"/>
    <n v="8.6199999999999992"/>
    <n v="249"/>
    <n v="13.62"/>
    <n v="52"/>
    <n v="3.23"/>
    <x v="0"/>
  </r>
  <r>
    <x v="0"/>
    <s v="磐田市"/>
    <x v="20"/>
    <x v="11"/>
    <n v="426"/>
    <n v="12.07"/>
    <n v="339"/>
    <n v="18.54"/>
    <n v="85"/>
    <n v="5.28"/>
    <x v="0"/>
  </r>
  <r>
    <x v="0"/>
    <s v="磐田市"/>
    <x v="20"/>
    <x v="12"/>
    <n v="136"/>
    <n v="3.85"/>
    <n v="104"/>
    <n v="5.69"/>
    <n v="29"/>
    <n v="1.8"/>
    <x v="0"/>
  </r>
  <r>
    <x v="0"/>
    <s v="磐田市"/>
    <x v="20"/>
    <x v="13"/>
    <n v="213"/>
    <n v="6.04"/>
    <n v="107"/>
    <n v="5.85"/>
    <n v="50"/>
    <n v="3.11"/>
    <x v="0"/>
  </r>
  <r>
    <x v="0"/>
    <s v="磐田市"/>
    <x v="20"/>
    <x v="14"/>
    <n v="143"/>
    <n v="4.05"/>
    <n v="50"/>
    <n v="2.74"/>
    <n v="69"/>
    <n v="4.29"/>
    <x v="1"/>
  </r>
  <r>
    <x v="0"/>
    <s v="焼津市"/>
    <x v="21"/>
    <x v="0"/>
    <n v="1"/>
    <n v="0.03"/>
    <n v="1"/>
    <n v="0.05"/>
    <n v="0"/>
    <n v="0"/>
    <x v="0"/>
  </r>
  <r>
    <x v="0"/>
    <s v="焼津市"/>
    <x v="21"/>
    <x v="1"/>
    <n v="500"/>
    <n v="13.77"/>
    <n v="203"/>
    <n v="9.9499999999999993"/>
    <n v="297"/>
    <n v="18.760000000000002"/>
    <x v="0"/>
  </r>
  <r>
    <x v="0"/>
    <s v="焼津市"/>
    <x v="21"/>
    <x v="2"/>
    <n v="529"/>
    <n v="14.57"/>
    <n v="187"/>
    <n v="9.16"/>
    <n v="342"/>
    <n v="21.6"/>
    <x v="0"/>
  </r>
  <r>
    <x v="0"/>
    <s v="焼津市"/>
    <x v="21"/>
    <x v="3"/>
    <n v="5"/>
    <n v="0.14000000000000001"/>
    <n v="1"/>
    <n v="0.05"/>
    <n v="4"/>
    <n v="0.25"/>
    <x v="0"/>
  </r>
  <r>
    <x v="0"/>
    <s v="焼津市"/>
    <x v="21"/>
    <x v="4"/>
    <n v="21"/>
    <n v="0.57999999999999996"/>
    <n v="3"/>
    <n v="0.15"/>
    <n v="18"/>
    <n v="1.1399999999999999"/>
    <x v="0"/>
  </r>
  <r>
    <x v="0"/>
    <s v="焼津市"/>
    <x v="21"/>
    <x v="5"/>
    <n v="59"/>
    <n v="1.62"/>
    <n v="5"/>
    <n v="0.24"/>
    <n v="54"/>
    <n v="3.41"/>
    <x v="0"/>
  </r>
  <r>
    <x v="0"/>
    <s v="焼津市"/>
    <x v="21"/>
    <x v="6"/>
    <n v="887"/>
    <n v="24.43"/>
    <n v="448"/>
    <n v="21.95"/>
    <n v="438"/>
    <n v="27.67"/>
    <x v="1"/>
  </r>
  <r>
    <x v="0"/>
    <s v="焼津市"/>
    <x v="21"/>
    <x v="7"/>
    <n v="24"/>
    <n v="0.66"/>
    <n v="10"/>
    <n v="0.49"/>
    <n v="14"/>
    <n v="0.88"/>
    <x v="0"/>
  </r>
  <r>
    <x v="0"/>
    <s v="焼津市"/>
    <x v="21"/>
    <x v="8"/>
    <n v="235"/>
    <n v="6.47"/>
    <n v="125"/>
    <n v="6.12"/>
    <n v="110"/>
    <n v="6.95"/>
    <x v="0"/>
  </r>
  <r>
    <x v="0"/>
    <s v="焼津市"/>
    <x v="21"/>
    <x v="9"/>
    <n v="135"/>
    <n v="3.72"/>
    <n v="93"/>
    <n v="4.5599999999999996"/>
    <n v="42"/>
    <n v="2.65"/>
    <x v="0"/>
  </r>
  <r>
    <x v="0"/>
    <s v="焼津市"/>
    <x v="21"/>
    <x v="10"/>
    <n v="362"/>
    <n v="9.9700000000000006"/>
    <n v="317"/>
    <n v="15.53"/>
    <n v="45"/>
    <n v="2.84"/>
    <x v="0"/>
  </r>
  <r>
    <x v="0"/>
    <s v="焼津市"/>
    <x v="21"/>
    <x v="11"/>
    <n v="442"/>
    <n v="12.17"/>
    <n v="365"/>
    <n v="17.88"/>
    <n v="77"/>
    <n v="4.8600000000000003"/>
    <x v="0"/>
  </r>
  <r>
    <x v="0"/>
    <s v="焼津市"/>
    <x v="21"/>
    <x v="12"/>
    <n v="163"/>
    <n v="4.49"/>
    <n v="136"/>
    <n v="6.66"/>
    <n v="26"/>
    <n v="1.64"/>
    <x v="1"/>
  </r>
  <r>
    <x v="0"/>
    <s v="焼津市"/>
    <x v="21"/>
    <x v="13"/>
    <n v="144"/>
    <n v="3.97"/>
    <n v="95"/>
    <n v="4.6500000000000004"/>
    <n v="49"/>
    <n v="3.1"/>
    <x v="0"/>
  </r>
  <r>
    <x v="0"/>
    <s v="焼津市"/>
    <x v="21"/>
    <x v="14"/>
    <n v="124"/>
    <n v="3.42"/>
    <n v="52"/>
    <n v="2.5499999999999998"/>
    <n v="67"/>
    <n v="4.2300000000000004"/>
    <x v="12"/>
  </r>
  <r>
    <x v="0"/>
    <s v="掛川市"/>
    <x v="22"/>
    <x v="0"/>
    <n v="0"/>
    <n v="0"/>
    <n v="0"/>
    <n v="0"/>
    <n v="0"/>
    <n v="0"/>
    <x v="0"/>
  </r>
  <r>
    <x v="0"/>
    <s v="掛川市"/>
    <x v="22"/>
    <x v="1"/>
    <n v="403"/>
    <n v="16.02"/>
    <n v="163"/>
    <n v="11.66"/>
    <n v="240"/>
    <n v="21.82"/>
    <x v="0"/>
  </r>
  <r>
    <x v="0"/>
    <s v="掛川市"/>
    <x v="22"/>
    <x v="2"/>
    <n v="280"/>
    <n v="11.13"/>
    <n v="94"/>
    <n v="6.72"/>
    <n v="186"/>
    <n v="16.91"/>
    <x v="0"/>
  </r>
  <r>
    <x v="0"/>
    <s v="掛川市"/>
    <x v="22"/>
    <x v="3"/>
    <n v="9"/>
    <n v="0.36"/>
    <n v="1"/>
    <n v="7.0000000000000007E-2"/>
    <n v="8"/>
    <n v="0.73"/>
    <x v="0"/>
  </r>
  <r>
    <x v="0"/>
    <s v="掛川市"/>
    <x v="22"/>
    <x v="4"/>
    <n v="15"/>
    <n v="0.6"/>
    <n v="3"/>
    <n v="0.21"/>
    <n v="12"/>
    <n v="1.0900000000000001"/>
    <x v="0"/>
  </r>
  <r>
    <x v="0"/>
    <s v="掛川市"/>
    <x v="22"/>
    <x v="5"/>
    <n v="16"/>
    <n v="0.64"/>
    <n v="4"/>
    <n v="0.28999999999999998"/>
    <n v="12"/>
    <n v="1.0900000000000001"/>
    <x v="0"/>
  </r>
  <r>
    <x v="0"/>
    <s v="掛川市"/>
    <x v="22"/>
    <x v="6"/>
    <n v="562"/>
    <n v="22.35"/>
    <n v="295"/>
    <n v="21.1"/>
    <n v="267"/>
    <n v="24.27"/>
    <x v="0"/>
  </r>
  <r>
    <x v="0"/>
    <s v="掛川市"/>
    <x v="22"/>
    <x v="7"/>
    <n v="9"/>
    <n v="0.36"/>
    <n v="1"/>
    <n v="7.0000000000000007E-2"/>
    <n v="8"/>
    <n v="0.73"/>
    <x v="0"/>
  </r>
  <r>
    <x v="0"/>
    <s v="掛川市"/>
    <x v="22"/>
    <x v="8"/>
    <n v="127"/>
    <n v="5.05"/>
    <n v="21"/>
    <n v="1.5"/>
    <n v="106"/>
    <n v="9.64"/>
    <x v="0"/>
  </r>
  <r>
    <x v="0"/>
    <s v="掛川市"/>
    <x v="22"/>
    <x v="9"/>
    <n v="137"/>
    <n v="5.45"/>
    <n v="76"/>
    <n v="5.44"/>
    <n v="61"/>
    <n v="5.55"/>
    <x v="0"/>
  </r>
  <r>
    <x v="0"/>
    <s v="掛川市"/>
    <x v="22"/>
    <x v="10"/>
    <n v="335"/>
    <n v="13.32"/>
    <n v="278"/>
    <n v="19.89"/>
    <n v="54"/>
    <n v="4.91"/>
    <x v="0"/>
  </r>
  <r>
    <x v="0"/>
    <s v="掛川市"/>
    <x v="22"/>
    <x v="11"/>
    <n v="343"/>
    <n v="13.64"/>
    <n v="280"/>
    <n v="20.03"/>
    <n v="63"/>
    <n v="5.73"/>
    <x v="0"/>
  </r>
  <r>
    <x v="0"/>
    <s v="掛川市"/>
    <x v="22"/>
    <x v="12"/>
    <n v="102"/>
    <n v="4.0599999999999996"/>
    <n v="80"/>
    <n v="5.72"/>
    <n v="15"/>
    <n v="1.36"/>
    <x v="5"/>
  </r>
  <r>
    <x v="0"/>
    <s v="掛川市"/>
    <x v="22"/>
    <x v="13"/>
    <n v="113"/>
    <n v="4.49"/>
    <n v="73"/>
    <n v="5.22"/>
    <n v="35"/>
    <n v="3.18"/>
    <x v="1"/>
  </r>
  <r>
    <x v="0"/>
    <s v="掛川市"/>
    <x v="22"/>
    <x v="14"/>
    <n v="64"/>
    <n v="2.54"/>
    <n v="29"/>
    <n v="2.0699999999999998"/>
    <n v="33"/>
    <n v="3"/>
    <x v="0"/>
  </r>
  <r>
    <x v="0"/>
    <s v="藤枝市"/>
    <x v="23"/>
    <x v="0"/>
    <n v="0"/>
    <n v="0"/>
    <n v="0"/>
    <n v="0"/>
    <n v="0"/>
    <n v="0"/>
    <x v="0"/>
  </r>
  <r>
    <x v="0"/>
    <s v="藤枝市"/>
    <x v="23"/>
    <x v="1"/>
    <n v="506"/>
    <n v="15.54"/>
    <n v="222"/>
    <n v="11.4"/>
    <n v="284"/>
    <n v="21.91"/>
    <x v="0"/>
  </r>
  <r>
    <x v="0"/>
    <s v="藤枝市"/>
    <x v="23"/>
    <x v="2"/>
    <n v="371"/>
    <n v="11.39"/>
    <n v="156"/>
    <n v="8.01"/>
    <n v="214"/>
    <n v="16.510000000000002"/>
    <x v="1"/>
  </r>
  <r>
    <x v="0"/>
    <s v="藤枝市"/>
    <x v="23"/>
    <x v="3"/>
    <n v="1"/>
    <n v="0.03"/>
    <n v="0"/>
    <n v="0"/>
    <n v="1"/>
    <n v="0.08"/>
    <x v="0"/>
  </r>
  <r>
    <x v="0"/>
    <s v="藤枝市"/>
    <x v="23"/>
    <x v="4"/>
    <n v="17"/>
    <n v="0.52"/>
    <n v="2"/>
    <n v="0.1"/>
    <n v="15"/>
    <n v="1.1599999999999999"/>
    <x v="0"/>
  </r>
  <r>
    <x v="0"/>
    <s v="藤枝市"/>
    <x v="23"/>
    <x v="5"/>
    <n v="25"/>
    <n v="0.77"/>
    <n v="5"/>
    <n v="0.26"/>
    <n v="20"/>
    <n v="1.54"/>
    <x v="0"/>
  </r>
  <r>
    <x v="0"/>
    <s v="藤枝市"/>
    <x v="23"/>
    <x v="6"/>
    <n v="752"/>
    <n v="23.09"/>
    <n v="430"/>
    <n v="22.09"/>
    <n v="321"/>
    <n v="24.77"/>
    <x v="1"/>
  </r>
  <r>
    <x v="0"/>
    <s v="藤枝市"/>
    <x v="23"/>
    <x v="7"/>
    <n v="27"/>
    <n v="0.83"/>
    <n v="8"/>
    <n v="0.41"/>
    <n v="18"/>
    <n v="1.39"/>
    <x v="1"/>
  </r>
  <r>
    <x v="0"/>
    <s v="藤枝市"/>
    <x v="23"/>
    <x v="8"/>
    <n v="260"/>
    <n v="7.98"/>
    <n v="139"/>
    <n v="7.14"/>
    <n v="120"/>
    <n v="9.26"/>
    <x v="1"/>
  </r>
  <r>
    <x v="0"/>
    <s v="藤枝市"/>
    <x v="23"/>
    <x v="9"/>
    <n v="154"/>
    <n v="4.7300000000000004"/>
    <n v="103"/>
    <n v="5.29"/>
    <n v="51"/>
    <n v="3.94"/>
    <x v="0"/>
  </r>
  <r>
    <x v="0"/>
    <s v="藤枝市"/>
    <x v="23"/>
    <x v="10"/>
    <n v="321"/>
    <n v="9.86"/>
    <n v="273"/>
    <n v="14.02"/>
    <n v="48"/>
    <n v="3.7"/>
    <x v="0"/>
  </r>
  <r>
    <x v="0"/>
    <s v="藤枝市"/>
    <x v="23"/>
    <x v="11"/>
    <n v="426"/>
    <n v="13.08"/>
    <n v="341"/>
    <n v="17.510000000000002"/>
    <n v="83"/>
    <n v="6.4"/>
    <x v="7"/>
  </r>
  <r>
    <x v="0"/>
    <s v="藤枝市"/>
    <x v="23"/>
    <x v="12"/>
    <n v="169"/>
    <n v="5.19"/>
    <n v="134"/>
    <n v="6.88"/>
    <n v="34"/>
    <n v="2.62"/>
    <x v="0"/>
  </r>
  <r>
    <x v="0"/>
    <s v="藤枝市"/>
    <x v="23"/>
    <x v="13"/>
    <n v="137"/>
    <n v="4.21"/>
    <n v="91"/>
    <n v="4.67"/>
    <n v="43"/>
    <n v="3.32"/>
    <x v="0"/>
  </r>
  <r>
    <x v="0"/>
    <s v="藤枝市"/>
    <x v="23"/>
    <x v="14"/>
    <n v="91"/>
    <n v="2.79"/>
    <n v="43"/>
    <n v="2.21"/>
    <n v="44"/>
    <n v="3.4"/>
    <x v="0"/>
  </r>
  <r>
    <x v="0"/>
    <s v="御殿場市"/>
    <x v="24"/>
    <x v="0"/>
    <n v="0"/>
    <n v="0"/>
    <n v="0"/>
    <n v="0"/>
    <n v="0"/>
    <n v="0"/>
    <x v="0"/>
  </r>
  <r>
    <x v="0"/>
    <s v="御殿場市"/>
    <x v="24"/>
    <x v="1"/>
    <n v="267"/>
    <n v="14.57"/>
    <n v="92"/>
    <n v="10.51"/>
    <n v="175"/>
    <n v="18.399999999999999"/>
    <x v="0"/>
  </r>
  <r>
    <x v="0"/>
    <s v="御殿場市"/>
    <x v="24"/>
    <x v="2"/>
    <n v="125"/>
    <n v="6.82"/>
    <n v="21"/>
    <n v="2.4"/>
    <n v="104"/>
    <n v="10.94"/>
    <x v="0"/>
  </r>
  <r>
    <x v="0"/>
    <s v="御殿場市"/>
    <x v="24"/>
    <x v="3"/>
    <n v="0"/>
    <n v="0"/>
    <n v="0"/>
    <n v="0"/>
    <n v="0"/>
    <n v="0"/>
    <x v="0"/>
  </r>
  <r>
    <x v="0"/>
    <s v="御殿場市"/>
    <x v="24"/>
    <x v="4"/>
    <n v="10"/>
    <n v="0.55000000000000004"/>
    <n v="1"/>
    <n v="0.11"/>
    <n v="9"/>
    <n v="0.95"/>
    <x v="0"/>
  </r>
  <r>
    <x v="0"/>
    <s v="御殿場市"/>
    <x v="24"/>
    <x v="5"/>
    <n v="18"/>
    <n v="0.98"/>
    <n v="2"/>
    <n v="0.23"/>
    <n v="16"/>
    <n v="1.68"/>
    <x v="0"/>
  </r>
  <r>
    <x v="0"/>
    <s v="御殿場市"/>
    <x v="24"/>
    <x v="6"/>
    <n v="408"/>
    <n v="22.27"/>
    <n v="152"/>
    <n v="17.37"/>
    <n v="256"/>
    <n v="26.92"/>
    <x v="0"/>
  </r>
  <r>
    <x v="0"/>
    <s v="御殿場市"/>
    <x v="24"/>
    <x v="7"/>
    <n v="11"/>
    <n v="0.6"/>
    <n v="0"/>
    <n v="0"/>
    <n v="11"/>
    <n v="1.1599999999999999"/>
    <x v="0"/>
  </r>
  <r>
    <x v="0"/>
    <s v="御殿場市"/>
    <x v="24"/>
    <x v="8"/>
    <n v="206"/>
    <n v="11.24"/>
    <n v="66"/>
    <n v="7.54"/>
    <n v="140"/>
    <n v="14.72"/>
    <x v="0"/>
  </r>
  <r>
    <x v="0"/>
    <s v="御殿場市"/>
    <x v="24"/>
    <x v="9"/>
    <n v="64"/>
    <n v="3.49"/>
    <n v="31"/>
    <n v="3.54"/>
    <n v="32"/>
    <n v="3.36"/>
    <x v="0"/>
  </r>
  <r>
    <x v="0"/>
    <s v="御殿場市"/>
    <x v="24"/>
    <x v="10"/>
    <n v="254"/>
    <n v="13.86"/>
    <n v="190"/>
    <n v="21.71"/>
    <n v="64"/>
    <n v="6.73"/>
    <x v="0"/>
  </r>
  <r>
    <x v="0"/>
    <s v="御殿場市"/>
    <x v="24"/>
    <x v="11"/>
    <n v="244"/>
    <n v="13.32"/>
    <n v="193"/>
    <n v="22.06"/>
    <n v="50"/>
    <n v="5.26"/>
    <x v="1"/>
  </r>
  <r>
    <x v="0"/>
    <s v="御殿場市"/>
    <x v="24"/>
    <x v="12"/>
    <n v="66"/>
    <n v="3.6"/>
    <n v="53"/>
    <n v="6.06"/>
    <n v="12"/>
    <n v="1.26"/>
    <x v="1"/>
  </r>
  <r>
    <x v="0"/>
    <s v="御殿場市"/>
    <x v="24"/>
    <x v="13"/>
    <n v="77"/>
    <n v="4.2"/>
    <n v="49"/>
    <n v="5.6"/>
    <n v="26"/>
    <n v="2.73"/>
    <x v="1"/>
  </r>
  <r>
    <x v="0"/>
    <s v="御殿場市"/>
    <x v="24"/>
    <x v="14"/>
    <n v="82"/>
    <n v="4.4800000000000004"/>
    <n v="25"/>
    <n v="2.86"/>
    <n v="56"/>
    <n v="5.89"/>
    <x v="0"/>
  </r>
  <r>
    <x v="0"/>
    <s v="袋井市"/>
    <x v="25"/>
    <x v="0"/>
    <n v="1"/>
    <n v="0.05"/>
    <n v="0"/>
    <n v="0"/>
    <n v="1"/>
    <n v="0.13"/>
    <x v="0"/>
  </r>
  <r>
    <x v="0"/>
    <s v="袋井市"/>
    <x v="25"/>
    <x v="1"/>
    <n v="297"/>
    <n v="15.91"/>
    <n v="143"/>
    <n v="13.13"/>
    <n v="154"/>
    <n v="20.32"/>
    <x v="0"/>
  </r>
  <r>
    <x v="0"/>
    <s v="袋井市"/>
    <x v="25"/>
    <x v="2"/>
    <n v="182"/>
    <n v="9.75"/>
    <n v="72"/>
    <n v="6.61"/>
    <n v="110"/>
    <n v="14.51"/>
    <x v="0"/>
  </r>
  <r>
    <x v="0"/>
    <s v="袋井市"/>
    <x v="25"/>
    <x v="3"/>
    <n v="8"/>
    <n v="0.43"/>
    <n v="0"/>
    <n v="0"/>
    <n v="8"/>
    <n v="1.06"/>
    <x v="0"/>
  </r>
  <r>
    <x v="0"/>
    <s v="袋井市"/>
    <x v="25"/>
    <x v="4"/>
    <n v="10"/>
    <n v="0.54"/>
    <n v="1"/>
    <n v="0.09"/>
    <n v="9"/>
    <n v="1.19"/>
    <x v="0"/>
  </r>
  <r>
    <x v="0"/>
    <s v="袋井市"/>
    <x v="25"/>
    <x v="5"/>
    <n v="37"/>
    <n v="1.98"/>
    <n v="3"/>
    <n v="0.28000000000000003"/>
    <n v="33"/>
    <n v="4.3499999999999996"/>
    <x v="1"/>
  </r>
  <r>
    <x v="0"/>
    <s v="袋井市"/>
    <x v="25"/>
    <x v="6"/>
    <n v="367"/>
    <n v="19.66"/>
    <n v="183"/>
    <n v="16.8"/>
    <n v="183"/>
    <n v="24.14"/>
    <x v="1"/>
  </r>
  <r>
    <x v="0"/>
    <s v="袋井市"/>
    <x v="25"/>
    <x v="7"/>
    <n v="9"/>
    <n v="0.48"/>
    <n v="1"/>
    <n v="0.09"/>
    <n v="8"/>
    <n v="1.06"/>
    <x v="0"/>
  </r>
  <r>
    <x v="0"/>
    <s v="袋井市"/>
    <x v="25"/>
    <x v="8"/>
    <n v="222"/>
    <n v="11.89"/>
    <n v="159"/>
    <n v="14.6"/>
    <n v="63"/>
    <n v="8.31"/>
    <x v="0"/>
  </r>
  <r>
    <x v="0"/>
    <s v="袋井市"/>
    <x v="25"/>
    <x v="9"/>
    <n v="90"/>
    <n v="4.82"/>
    <n v="56"/>
    <n v="5.14"/>
    <n v="34"/>
    <n v="4.49"/>
    <x v="0"/>
  </r>
  <r>
    <x v="0"/>
    <s v="袋井市"/>
    <x v="25"/>
    <x v="10"/>
    <n v="188"/>
    <n v="10.07"/>
    <n v="155"/>
    <n v="14.23"/>
    <n v="32"/>
    <n v="4.22"/>
    <x v="0"/>
  </r>
  <r>
    <x v="0"/>
    <s v="袋井市"/>
    <x v="25"/>
    <x v="11"/>
    <n v="237"/>
    <n v="12.69"/>
    <n v="190"/>
    <n v="17.45"/>
    <n v="45"/>
    <n v="5.94"/>
    <x v="7"/>
  </r>
  <r>
    <x v="0"/>
    <s v="袋井市"/>
    <x v="25"/>
    <x v="12"/>
    <n v="66"/>
    <n v="3.54"/>
    <n v="51"/>
    <n v="4.68"/>
    <n v="15"/>
    <n v="1.98"/>
    <x v="0"/>
  </r>
  <r>
    <x v="0"/>
    <s v="袋井市"/>
    <x v="25"/>
    <x v="13"/>
    <n v="75"/>
    <n v="4.0199999999999996"/>
    <n v="40"/>
    <n v="3.67"/>
    <n v="34"/>
    <n v="4.49"/>
    <x v="0"/>
  </r>
  <r>
    <x v="0"/>
    <s v="袋井市"/>
    <x v="25"/>
    <x v="14"/>
    <n v="78"/>
    <n v="4.18"/>
    <n v="35"/>
    <n v="3.21"/>
    <n v="29"/>
    <n v="3.83"/>
    <x v="0"/>
  </r>
  <r>
    <x v="0"/>
    <s v="下田市"/>
    <x v="26"/>
    <x v="0"/>
    <n v="0"/>
    <n v="0"/>
    <n v="0"/>
    <n v="0"/>
    <n v="0"/>
    <n v="0"/>
    <x v="0"/>
  </r>
  <r>
    <x v="0"/>
    <s v="下田市"/>
    <x v="26"/>
    <x v="1"/>
    <n v="112"/>
    <n v="9.86"/>
    <n v="51"/>
    <n v="6.42"/>
    <n v="61"/>
    <n v="18.71"/>
    <x v="0"/>
  </r>
  <r>
    <x v="0"/>
    <s v="下田市"/>
    <x v="26"/>
    <x v="2"/>
    <n v="34"/>
    <n v="2.99"/>
    <n v="19"/>
    <n v="2.39"/>
    <n v="15"/>
    <n v="4.5999999999999996"/>
    <x v="0"/>
  </r>
  <r>
    <x v="0"/>
    <s v="下田市"/>
    <x v="26"/>
    <x v="3"/>
    <n v="0"/>
    <n v="0"/>
    <n v="0"/>
    <n v="0"/>
    <n v="0"/>
    <n v="0"/>
    <x v="0"/>
  </r>
  <r>
    <x v="0"/>
    <s v="下田市"/>
    <x v="26"/>
    <x v="4"/>
    <n v="5"/>
    <n v="0.44"/>
    <n v="0"/>
    <n v="0"/>
    <n v="5"/>
    <n v="1.53"/>
    <x v="0"/>
  </r>
  <r>
    <x v="0"/>
    <s v="下田市"/>
    <x v="26"/>
    <x v="5"/>
    <n v="6"/>
    <n v="0.53"/>
    <n v="3"/>
    <n v="0.38"/>
    <n v="3"/>
    <n v="0.92"/>
    <x v="0"/>
  </r>
  <r>
    <x v="0"/>
    <s v="下田市"/>
    <x v="26"/>
    <x v="6"/>
    <n v="292"/>
    <n v="25.7"/>
    <n v="176"/>
    <n v="22.17"/>
    <n v="116"/>
    <n v="35.58"/>
    <x v="0"/>
  </r>
  <r>
    <x v="0"/>
    <s v="下田市"/>
    <x v="26"/>
    <x v="7"/>
    <n v="6"/>
    <n v="0.53"/>
    <n v="1"/>
    <n v="0.13"/>
    <n v="5"/>
    <n v="1.53"/>
    <x v="0"/>
  </r>
  <r>
    <x v="0"/>
    <s v="下田市"/>
    <x v="26"/>
    <x v="8"/>
    <n v="112"/>
    <n v="9.86"/>
    <n v="75"/>
    <n v="9.4499999999999993"/>
    <n v="36"/>
    <n v="11.04"/>
    <x v="1"/>
  </r>
  <r>
    <x v="0"/>
    <s v="下田市"/>
    <x v="26"/>
    <x v="9"/>
    <n v="42"/>
    <n v="3.7"/>
    <n v="33"/>
    <n v="4.16"/>
    <n v="7"/>
    <n v="2.15"/>
    <x v="0"/>
  </r>
  <r>
    <x v="0"/>
    <s v="下田市"/>
    <x v="26"/>
    <x v="10"/>
    <n v="309"/>
    <n v="27.2"/>
    <n v="269"/>
    <n v="33.880000000000003"/>
    <n v="39"/>
    <n v="11.96"/>
    <x v="0"/>
  </r>
  <r>
    <x v="0"/>
    <s v="下田市"/>
    <x v="26"/>
    <x v="11"/>
    <n v="127"/>
    <n v="11.18"/>
    <n v="109"/>
    <n v="13.73"/>
    <n v="16"/>
    <n v="4.91"/>
    <x v="0"/>
  </r>
  <r>
    <x v="0"/>
    <s v="下田市"/>
    <x v="26"/>
    <x v="12"/>
    <n v="33"/>
    <n v="2.9"/>
    <n v="26"/>
    <n v="3.27"/>
    <n v="5"/>
    <n v="1.53"/>
    <x v="0"/>
  </r>
  <r>
    <x v="0"/>
    <s v="下田市"/>
    <x v="26"/>
    <x v="13"/>
    <n v="32"/>
    <n v="2.82"/>
    <n v="22"/>
    <n v="2.77"/>
    <n v="5"/>
    <n v="1.53"/>
    <x v="0"/>
  </r>
  <r>
    <x v="0"/>
    <s v="下田市"/>
    <x v="26"/>
    <x v="14"/>
    <n v="26"/>
    <n v="2.29"/>
    <n v="10"/>
    <n v="1.26"/>
    <n v="13"/>
    <n v="3.99"/>
    <x v="0"/>
  </r>
  <r>
    <x v="0"/>
    <s v="裾野市"/>
    <x v="27"/>
    <x v="0"/>
    <n v="0"/>
    <n v="0"/>
    <n v="0"/>
    <n v="0"/>
    <n v="0"/>
    <n v="0"/>
    <x v="0"/>
  </r>
  <r>
    <x v="0"/>
    <s v="裾野市"/>
    <x v="27"/>
    <x v="1"/>
    <n v="190"/>
    <n v="18.010000000000002"/>
    <n v="78"/>
    <n v="14.23"/>
    <n v="112"/>
    <n v="22.54"/>
    <x v="0"/>
  </r>
  <r>
    <x v="0"/>
    <s v="裾野市"/>
    <x v="27"/>
    <x v="2"/>
    <n v="103"/>
    <n v="9.76"/>
    <n v="28"/>
    <n v="5.1100000000000003"/>
    <n v="75"/>
    <n v="15.09"/>
    <x v="0"/>
  </r>
  <r>
    <x v="0"/>
    <s v="裾野市"/>
    <x v="27"/>
    <x v="3"/>
    <n v="1"/>
    <n v="0.09"/>
    <n v="0"/>
    <n v="0"/>
    <n v="0"/>
    <n v="0"/>
    <x v="0"/>
  </r>
  <r>
    <x v="0"/>
    <s v="裾野市"/>
    <x v="27"/>
    <x v="4"/>
    <n v="8"/>
    <n v="0.76"/>
    <n v="2"/>
    <n v="0.36"/>
    <n v="6"/>
    <n v="1.21"/>
    <x v="0"/>
  </r>
  <r>
    <x v="0"/>
    <s v="裾野市"/>
    <x v="27"/>
    <x v="5"/>
    <n v="11"/>
    <n v="1.04"/>
    <n v="1"/>
    <n v="0.18"/>
    <n v="10"/>
    <n v="2.0099999999999998"/>
    <x v="0"/>
  </r>
  <r>
    <x v="0"/>
    <s v="裾野市"/>
    <x v="27"/>
    <x v="6"/>
    <n v="177"/>
    <n v="16.78"/>
    <n v="78"/>
    <n v="14.23"/>
    <n v="99"/>
    <n v="19.920000000000002"/>
    <x v="0"/>
  </r>
  <r>
    <x v="0"/>
    <s v="裾野市"/>
    <x v="27"/>
    <x v="7"/>
    <n v="4"/>
    <n v="0.38"/>
    <n v="1"/>
    <n v="0.18"/>
    <n v="3"/>
    <n v="0.6"/>
    <x v="0"/>
  </r>
  <r>
    <x v="0"/>
    <s v="裾野市"/>
    <x v="27"/>
    <x v="8"/>
    <n v="136"/>
    <n v="12.89"/>
    <n v="74"/>
    <n v="13.5"/>
    <n v="62"/>
    <n v="12.47"/>
    <x v="0"/>
  </r>
  <r>
    <x v="0"/>
    <s v="裾野市"/>
    <x v="27"/>
    <x v="9"/>
    <n v="57"/>
    <n v="5.4"/>
    <n v="32"/>
    <n v="5.84"/>
    <n v="25"/>
    <n v="5.03"/>
    <x v="0"/>
  </r>
  <r>
    <x v="0"/>
    <s v="裾野市"/>
    <x v="27"/>
    <x v="10"/>
    <n v="106"/>
    <n v="10.050000000000001"/>
    <n v="83"/>
    <n v="15.15"/>
    <n v="23"/>
    <n v="4.63"/>
    <x v="0"/>
  </r>
  <r>
    <x v="0"/>
    <s v="裾野市"/>
    <x v="27"/>
    <x v="11"/>
    <n v="123"/>
    <n v="11.66"/>
    <n v="101"/>
    <n v="18.43"/>
    <n v="22"/>
    <n v="4.43"/>
    <x v="0"/>
  </r>
  <r>
    <x v="0"/>
    <s v="裾野市"/>
    <x v="27"/>
    <x v="12"/>
    <n v="48"/>
    <n v="4.55"/>
    <n v="30"/>
    <n v="5.47"/>
    <n v="16"/>
    <n v="3.22"/>
    <x v="0"/>
  </r>
  <r>
    <x v="0"/>
    <s v="裾野市"/>
    <x v="27"/>
    <x v="13"/>
    <n v="51"/>
    <n v="4.83"/>
    <n v="25"/>
    <n v="4.5599999999999996"/>
    <n v="21"/>
    <n v="4.2300000000000004"/>
    <x v="5"/>
  </r>
  <r>
    <x v="0"/>
    <s v="裾野市"/>
    <x v="27"/>
    <x v="14"/>
    <n v="40"/>
    <n v="3.79"/>
    <n v="15"/>
    <n v="2.74"/>
    <n v="23"/>
    <n v="4.63"/>
    <x v="0"/>
  </r>
  <r>
    <x v="0"/>
    <s v="湖西市"/>
    <x v="28"/>
    <x v="0"/>
    <n v="0"/>
    <n v="0"/>
    <n v="0"/>
    <n v="0"/>
    <n v="0"/>
    <n v="0"/>
    <x v="0"/>
  </r>
  <r>
    <x v="0"/>
    <s v="湖西市"/>
    <x v="28"/>
    <x v="1"/>
    <n v="156"/>
    <n v="11.92"/>
    <n v="51"/>
    <n v="7.05"/>
    <n v="105"/>
    <n v="18.13"/>
    <x v="0"/>
  </r>
  <r>
    <x v="0"/>
    <s v="湖西市"/>
    <x v="28"/>
    <x v="2"/>
    <n v="209"/>
    <n v="15.97"/>
    <n v="71"/>
    <n v="9.82"/>
    <n v="138"/>
    <n v="23.83"/>
    <x v="0"/>
  </r>
  <r>
    <x v="0"/>
    <s v="湖西市"/>
    <x v="28"/>
    <x v="3"/>
    <n v="7"/>
    <n v="0.53"/>
    <n v="1"/>
    <n v="0.14000000000000001"/>
    <n v="5"/>
    <n v="0.86"/>
    <x v="0"/>
  </r>
  <r>
    <x v="0"/>
    <s v="湖西市"/>
    <x v="28"/>
    <x v="4"/>
    <n v="11"/>
    <n v="0.84"/>
    <n v="1"/>
    <n v="0.14000000000000001"/>
    <n v="10"/>
    <n v="1.73"/>
    <x v="0"/>
  </r>
  <r>
    <x v="0"/>
    <s v="湖西市"/>
    <x v="28"/>
    <x v="5"/>
    <n v="19"/>
    <n v="1.45"/>
    <n v="3"/>
    <n v="0.41"/>
    <n v="16"/>
    <n v="2.76"/>
    <x v="0"/>
  </r>
  <r>
    <x v="0"/>
    <s v="湖西市"/>
    <x v="28"/>
    <x v="6"/>
    <n v="268"/>
    <n v="20.47"/>
    <n v="140"/>
    <n v="19.36"/>
    <n v="128"/>
    <n v="22.11"/>
    <x v="0"/>
  </r>
  <r>
    <x v="0"/>
    <s v="湖西市"/>
    <x v="28"/>
    <x v="7"/>
    <n v="10"/>
    <n v="0.76"/>
    <n v="1"/>
    <n v="0.14000000000000001"/>
    <n v="9"/>
    <n v="1.55"/>
    <x v="0"/>
  </r>
  <r>
    <x v="0"/>
    <s v="湖西市"/>
    <x v="28"/>
    <x v="8"/>
    <n v="153"/>
    <n v="11.69"/>
    <n v="112"/>
    <n v="15.49"/>
    <n v="41"/>
    <n v="7.08"/>
    <x v="0"/>
  </r>
  <r>
    <x v="0"/>
    <s v="湖西市"/>
    <x v="28"/>
    <x v="9"/>
    <n v="51"/>
    <n v="3.9"/>
    <n v="33"/>
    <n v="4.5599999999999996"/>
    <n v="18"/>
    <n v="3.11"/>
    <x v="0"/>
  </r>
  <r>
    <x v="0"/>
    <s v="湖西市"/>
    <x v="28"/>
    <x v="10"/>
    <n v="128"/>
    <n v="9.7799999999999994"/>
    <n v="92"/>
    <n v="12.72"/>
    <n v="36"/>
    <n v="6.22"/>
    <x v="0"/>
  </r>
  <r>
    <x v="0"/>
    <s v="湖西市"/>
    <x v="28"/>
    <x v="11"/>
    <n v="153"/>
    <n v="11.69"/>
    <n v="127"/>
    <n v="17.57"/>
    <n v="26"/>
    <n v="4.49"/>
    <x v="0"/>
  </r>
  <r>
    <x v="0"/>
    <s v="湖西市"/>
    <x v="28"/>
    <x v="12"/>
    <n v="60"/>
    <n v="4.58"/>
    <n v="48"/>
    <n v="6.64"/>
    <n v="11"/>
    <n v="1.9"/>
    <x v="0"/>
  </r>
  <r>
    <x v="0"/>
    <s v="湖西市"/>
    <x v="28"/>
    <x v="13"/>
    <n v="49"/>
    <n v="3.74"/>
    <n v="31"/>
    <n v="4.29"/>
    <n v="17"/>
    <n v="2.94"/>
    <x v="0"/>
  </r>
  <r>
    <x v="0"/>
    <s v="湖西市"/>
    <x v="28"/>
    <x v="14"/>
    <n v="35"/>
    <n v="2.67"/>
    <n v="12"/>
    <n v="1.66"/>
    <n v="19"/>
    <n v="3.28"/>
    <x v="0"/>
  </r>
  <r>
    <x v="0"/>
    <s v="伊豆市"/>
    <x v="29"/>
    <x v="0"/>
    <n v="1"/>
    <n v="0.11"/>
    <n v="0"/>
    <n v="0"/>
    <n v="1"/>
    <n v="0.28999999999999998"/>
    <x v="0"/>
  </r>
  <r>
    <x v="0"/>
    <s v="伊豆市"/>
    <x v="29"/>
    <x v="1"/>
    <n v="170"/>
    <n v="18.46"/>
    <n v="80"/>
    <n v="14.16"/>
    <n v="90"/>
    <n v="26.24"/>
    <x v="0"/>
  </r>
  <r>
    <x v="0"/>
    <s v="伊豆市"/>
    <x v="29"/>
    <x v="2"/>
    <n v="87"/>
    <n v="9.4499999999999993"/>
    <n v="38"/>
    <n v="6.73"/>
    <n v="48"/>
    <n v="13.99"/>
    <x v="0"/>
  </r>
  <r>
    <x v="0"/>
    <s v="伊豆市"/>
    <x v="29"/>
    <x v="3"/>
    <n v="3"/>
    <n v="0.33"/>
    <n v="0"/>
    <n v="0"/>
    <n v="3"/>
    <n v="0.87"/>
    <x v="0"/>
  </r>
  <r>
    <x v="0"/>
    <s v="伊豆市"/>
    <x v="29"/>
    <x v="4"/>
    <n v="1"/>
    <n v="0.11"/>
    <n v="0"/>
    <n v="0"/>
    <n v="1"/>
    <n v="0.28999999999999998"/>
    <x v="0"/>
  </r>
  <r>
    <x v="0"/>
    <s v="伊豆市"/>
    <x v="29"/>
    <x v="5"/>
    <n v="14"/>
    <n v="1.52"/>
    <n v="3"/>
    <n v="0.53"/>
    <n v="8"/>
    <n v="2.33"/>
    <x v="12"/>
  </r>
  <r>
    <x v="0"/>
    <s v="伊豆市"/>
    <x v="29"/>
    <x v="6"/>
    <n v="193"/>
    <n v="20.96"/>
    <n v="104"/>
    <n v="18.41"/>
    <n v="89"/>
    <n v="25.95"/>
    <x v="0"/>
  </r>
  <r>
    <x v="0"/>
    <s v="伊豆市"/>
    <x v="29"/>
    <x v="7"/>
    <n v="3"/>
    <n v="0.33"/>
    <n v="1"/>
    <n v="0.18"/>
    <n v="2"/>
    <n v="0.57999999999999996"/>
    <x v="0"/>
  </r>
  <r>
    <x v="0"/>
    <s v="伊豆市"/>
    <x v="29"/>
    <x v="8"/>
    <n v="94"/>
    <n v="10.210000000000001"/>
    <n v="74"/>
    <n v="13.1"/>
    <n v="20"/>
    <n v="5.83"/>
    <x v="0"/>
  </r>
  <r>
    <x v="0"/>
    <s v="伊豆市"/>
    <x v="29"/>
    <x v="9"/>
    <n v="29"/>
    <n v="3.15"/>
    <n v="15"/>
    <n v="2.65"/>
    <n v="13"/>
    <n v="3.79"/>
    <x v="0"/>
  </r>
  <r>
    <x v="0"/>
    <s v="伊豆市"/>
    <x v="29"/>
    <x v="10"/>
    <n v="154"/>
    <n v="16.72"/>
    <n v="124"/>
    <n v="21.95"/>
    <n v="27"/>
    <n v="7.87"/>
    <x v="1"/>
  </r>
  <r>
    <x v="0"/>
    <s v="伊豆市"/>
    <x v="29"/>
    <x v="11"/>
    <n v="100"/>
    <n v="10.86"/>
    <n v="84"/>
    <n v="14.87"/>
    <n v="13"/>
    <n v="3.79"/>
    <x v="7"/>
  </r>
  <r>
    <x v="0"/>
    <s v="伊豆市"/>
    <x v="29"/>
    <x v="12"/>
    <n v="21"/>
    <n v="2.2799999999999998"/>
    <n v="15"/>
    <n v="2.65"/>
    <n v="4"/>
    <n v="1.17"/>
    <x v="0"/>
  </r>
  <r>
    <x v="0"/>
    <s v="伊豆市"/>
    <x v="29"/>
    <x v="13"/>
    <n v="25"/>
    <n v="2.71"/>
    <n v="16"/>
    <n v="2.83"/>
    <n v="9"/>
    <n v="2.62"/>
    <x v="0"/>
  </r>
  <r>
    <x v="0"/>
    <s v="伊豆市"/>
    <x v="29"/>
    <x v="14"/>
    <n v="26"/>
    <n v="2.82"/>
    <n v="11"/>
    <n v="1.95"/>
    <n v="15"/>
    <n v="4.37"/>
    <x v="0"/>
  </r>
  <r>
    <x v="0"/>
    <s v="御前崎市"/>
    <x v="30"/>
    <x v="0"/>
    <n v="0"/>
    <n v="0"/>
    <n v="0"/>
    <n v="0"/>
    <n v="0"/>
    <n v="0"/>
    <x v="0"/>
  </r>
  <r>
    <x v="0"/>
    <s v="御前崎市"/>
    <x v="30"/>
    <x v="1"/>
    <n v="195"/>
    <n v="21.33"/>
    <n v="91"/>
    <n v="18.38"/>
    <n v="104"/>
    <n v="25.55"/>
    <x v="0"/>
  </r>
  <r>
    <x v="0"/>
    <s v="御前崎市"/>
    <x v="30"/>
    <x v="2"/>
    <n v="124"/>
    <n v="13.57"/>
    <n v="43"/>
    <n v="8.69"/>
    <n v="81"/>
    <n v="19.899999999999999"/>
    <x v="0"/>
  </r>
  <r>
    <x v="0"/>
    <s v="御前崎市"/>
    <x v="30"/>
    <x v="3"/>
    <n v="5"/>
    <n v="0.55000000000000004"/>
    <n v="0"/>
    <n v="0"/>
    <n v="5"/>
    <n v="1.23"/>
    <x v="0"/>
  </r>
  <r>
    <x v="0"/>
    <s v="御前崎市"/>
    <x v="30"/>
    <x v="4"/>
    <n v="2"/>
    <n v="0.22"/>
    <n v="0"/>
    <n v="0"/>
    <n v="2"/>
    <n v="0.49"/>
    <x v="0"/>
  </r>
  <r>
    <x v="0"/>
    <s v="御前崎市"/>
    <x v="30"/>
    <x v="5"/>
    <n v="15"/>
    <n v="1.64"/>
    <n v="1"/>
    <n v="0.2"/>
    <n v="14"/>
    <n v="3.44"/>
    <x v="0"/>
  </r>
  <r>
    <x v="0"/>
    <s v="御前崎市"/>
    <x v="30"/>
    <x v="6"/>
    <n v="167"/>
    <n v="18.27"/>
    <n v="87"/>
    <n v="17.579999999999998"/>
    <n v="80"/>
    <n v="19.66"/>
    <x v="0"/>
  </r>
  <r>
    <x v="0"/>
    <s v="御前崎市"/>
    <x v="30"/>
    <x v="7"/>
    <n v="2"/>
    <n v="0.22"/>
    <n v="0"/>
    <n v="0"/>
    <n v="2"/>
    <n v="0.49"/>
    <x v="0"/>
  </r>
  <r>
    <x v="0"/>
    <s v="御前崎市"/>
    <x v="30"/>
    <x v="8"/>
    <n v="20"/>
    <n v="2.19"/>
    <n v="2"/>
    <n v="0.4"/>
    <n v="18"/>
    <n v="4.42"/>
    <x v="0"/>
  </r>
  <r>
    <x v="0"/>
    <s v="御前崎市"/>
    <x v="30"/>
    <x v="9"/>
    <n v="34"/>
    <n v="3.72"/>
    <n v="19"/>
    <n v="3.84"/>
    <n v="14"/>
    <n v="3.44"/>
    <x v="0"/>
  </r>
  <r>
    <x v="0"/>
    <s v="御前崎市"/>
    <x v="30"/>
    <x v="10"/>
    <n v="123"/>
    <n v="13.46"/>
    <n v="99"/>
    <n v="20"/>
    <n v="22"/>
    <n v="5.41"/>
    <x v="0"/>
  </r>
  <r>
    <x v="0"/>
    <s v="御前崎市"/>
    <x v="30"/>
    <x v="11"/>
    <n v="129"/>
    <n v="14.11"/>
    <n v="105"/>
    <n v="21.21"/>
    <n v="24"/>
    <n v="5.9"/>
    <x v="0"/>
  </r>
  <r>
    <x v="0"/>
    <s v="御前崎市"/>
    <x v="30"/>
    <x v="12"/>
    <n v="33"/>
    <n v="3.61"/>
    <n v="19"/>
    <n v="3.84"/>
    <n v="5"/>
    <n v="1.23"/>
    <x v="0"/>
  </r>
  <r>
    <x v="0"/>
    <s v="御前崎市"/>
    <x v="30"/>
    <x v="13"/>
    <n v="41"/>
    <n v="4.49"/>
    <n v="23"/>
    <n v="4.6500000000000004"/>
    <n v="18"/>
    <n v="4.42"/>
    <x v="0"/>
  </r>
  <r>
    <x v="0"/>
    <s v="御前崎市"/>
    <x v="30"/>
    <x v="14"/>
    <n v="24"/>
    <n v="2.63"/>
    <n v="6"/>
    <n v="1.21"/>
    <n v="18"/>
    <n v="4.42"/>
    <x v="0"/>
  </r>
  <r>
    <x v="0"/>
    <s v="菊川市"/>
    <x v="31"/>
    <x v="0"/>
    <n v="0"/>
    <n v="0"/>
    <n v="0"/>
    <n v="0"/>
    <n v="0"/>
    <n v="0"/>
    <x v="0"/>
  </r>
  <r>
    <x v="0"/>
    <s v="菊川市"/>
    <x v="31"/>
    <x v="1"/>
    <n v="155"/>
    <n v="15.69"/>
    <n v="81"/>
    <n v="13.82"/>
    <n v="74"/>
    <n v="19.53"/>
    <x v="0"/>
  </r>
  <r>
    <x v="0"/>
    <s v="菊川市"/>
    <x v="31"/>
    <x v="2"/>
    <n v="124"/>
    <n v="12.55"/>
    <n v="53"/>
    <n v="9.0399999999999991"/>
    <n v="71"/>
    <n v="18.73"/>
    <x v="0"/>
  </r>
  <r>
    <x v="0"/>
    <s v="菊川市"/>
    <x v="31"/>
    <x v="3"/>
    <n v="2"/>
    <n v="0.2"/>
    <n v="0"/>
    <n v="0"/>
    <n v="2"/>
    <n v="0.53"/>
    <x v="0"/>
  </r>
  <r>
    <x v="0"/>
    <s v="菊川市"/>
    <x v="31"/>
    <x v="4"/>
    <n v="2"/>
    <n v="0.2"/>
    <n v="1"/>
    <n v="0.17"/>
    <n v="1"/>
    <n v="0.26"/>
    <x v="0"/>
  </r>
  <r>
    <x v="0"/>
    <s v="菊川市"/>
    <x v="31"/>
    <x v="5"/>
    <n v="4"/>
    <n v="0.4"/>
    <n v="0"/>
    <n v="0"/>
    <n v="4"/>
    <n v="1.06"/>
    <x v="0"/>
  </r>
  <r>
    <x v="0"/>
    <s v="菊川市"/>
    <x v="31"/>
    <x v="6"/>
    <n v="221"/>
    <n v="22.37"/>
    <n v="124"/>
    <n v="21.16"/>
    <n v="96"/>
    <n v="25.33"/>
    <x v="1"/>
  </r>
  <r>
    <x v="0"/>
    <s v="菊川市"/>
    <x v="31"/>
    <x v="7"/>
    <n v="4"/>
    <n v="0.4"/>
    <n v="1"/>
    <n v="0.17"/>
    <n v="3"/>
    <n v="0.79"/>
    <x v="0"/>
  </r>
  <r>
    <x v="0"/>
    <s v="菊川市"/>
    <x v="31"/>
    <x v="8"/>
    <n v="54"/>
    <n v="5.47"/>
    <n v="20"/>
    <n v="3.41"/>
    <n v="33"/>
    <n v="8.7100000000000009"/>
    <x v="0"/>
  </r>
  <r>
    <x v="0"/>
    <s v="菊川市"/>
    <x v="31"/>
    <x v="9"/>
    <n v="41"/>
    <n v="4.1500000000000004"/>
    <n v="30"/>
    <n v="5.12"/>
    <n v="10"/>
    <n v="2.64"/>
    <x v="0"/>
  </r>
  <r>
    <x v="0"/>
    <s v="菊川市"/>
    <x v="31"/>
    <x v="10"/>
    <n v="106"/>
    <n v="10.73"/>
    <n v="90"/>
    <n v="15.36"/>
    <n v="15"/>
    <n v="3.96"/>
    <x v="0"/>
  </r>
  <r>
    <x v="0"/>
    <s v="菊川市"/>
    <x v="31"/>
    <x v="11"/>
    <n v="140"/>
    <n v="14.17"/>
    <n v="115"/>
    <n v="19.62"/>
    <n v="23"/>
    <n v="6.07"/>
    <x v="0"/>
  </r>
  <r>
    <x v="0"/>
    <s v="菊川市"/>
    <x v="31"/>
    <x v="12"/>
    <n v="41"/>
    <n v="4.1500000000000004"/>
    <n v="33"/>
    <n v="5.63"/>
    <n v="8"/>
    <n v="2.11"/>
    <x v="0"/>
  </r>
  <r>
    <x v="0"/>
    <s v="菊川市"/>
    <x v="31"/>
    <x v="13"/>
    <n v="44"/>
    <n v="4.45"/>
    <n v="19"/>
    <n v="3.24"/>
    <n v="22"/>
    <n v="5.8"/>
    <x v="0"/>
  </r>
  <r>
    <x v="0"/>
    <s v="菊川市"/>
    <x v="31"/>
    <x v="14"/>
    <n v="50"/>
    <n v="5.0599999999999996"/>
    <n v="19"/>
    <n v="3.24"/>
    <n v="17"/>
    <n v="4.49"/>
    <x v="0"/>
  </r>
  <r>
    <x v="0"/>
    <s v="伊豆の国市"/>
    <x v="32"/>
    <x v="0"/>
    <n v="1"/>
    <n v="7.0000000000000007E-2"/>
    <n v="1"/>
    <n v="0.11"/>
    <n v="0"/>
    <n v="0"/>
    <x v="0"/>
  </r>
  <r>
    <x v="0"/>
    <s v="伊豆の国市"/>
    <x v="32"/>
    <x v="1"/>
    <n v="200"/>
    <n v="14.28"/>
    <n v="91"/>
    <n v="10.199999999999999"/>
    <n v="109"/>
    <n v="22.24"/>
    <x v="0"/>
  </r>
  <r>
    <x v="0"/>
    <s v="伊豆の国市"/>
    <x v="32"/>
    <x v="2"/>
    <n v="104"/>
    <n v="7.42"/>
    <n v="38"/>
    <n v="4.26"/>
    <n v="66"/>
    <n v="13.47"/>
    <x v="0"/>
  </r>
  <r>
    <x v="0"/>
    <s v="伊豆の国市"/>
    <x v="32"/>
    <x v="3"/>
    <n v="0"/>
    <n v="0"/>
    <n v="0"/>
    <n v="0"/>
    <n v="0"/>
    <n v="0"/>
    <x v="0"/>
  </r>
  <r>
    <x v="0"/>
    <s v="伊豆の国市"/>
    <x v="32"/>
    <x v="4"/>
    <n v="9"/>
    <n v="0.64"/>
    <n v="0"/>
    <n v="0"/>
    <n v="9"/>
    <n v="1.84"/>
    <x v="0"/>
  </r>
  <r>
    <x v="0"/>
    <s v="伊豆の国市"/>
    <x v="32"/>
    <x v="5"/>
    <n v="9"/>
    <n v="0.64"/>
    <n v="1"/>
    <n v="0.11"/>
    <n v="8"/>
    <n v="1.63"/>
    <x v="0"/>
  </r>
  <r>
    <x v="0"/>
    <s v="伊豆の国市"/>
    <x v="32"/>
    <x v="6"/>
    <n v="269"/>
    <n v="19.2"/>
    <n v="125"/>
    <n v="14.01"/>
    <n v="144"/>
    <n v="29.39"/>
    <x v="0"/>
  </r>
  <r>
    <x v="0"/>
    <s v="伊豆の国市"/>
    <x v="32"/>
    <x v="7"/>
    <n v="5"/>
    <n v="0.36"/>
    <n v="2"/>
    <n v="0.22"/>
    <n v="3"/>
    <n v="0.61"/>
    <x v="0"/>
  </r>
  <r>
    <x v="0"/>
    <s v="伊豆の国市"/>
    <x v="32"/>
    <x v="8"/>
    <n v="224"/>
    <n v="15.99"/>
    <n v="189"/>
    <n v="21.19"/>
    <n v="35"/>
    <n v="7.14"/>
    <x v="0"/>
  </r>
  <r>
    <x v="0"/>
    <s v="伊豆の国市"/>
    <x v="32"/>
    <x v="9"/>
    <n v="51"/>
    <n v="3.64"/>
    <n v="25"/>
    <n v="2.8"/>
    <n v="25"/>
    <n v="5.0999999999999996"/>
    <x v="0"/>
  </r>
  <r>
    <x v="0"/>
    <s v="伊豆の国市"/>
    <x v="32"/>
    <x v="10"/>
    <n v="192"/>
    <n v="13.7"/>
    <n v="156"/>
    <n v="17.489999999999998"/>
    <n v="32"/>
    <n v="6.53"/>
    <x v="0"/>
  </r>
  <r>
    <x v="0"/>
    <s v="伊豆の国市"/>
    <x v="32"/>
    <x v="11"/>
    <n v="174"/>
    <n v="12.42"/>
    <n v="150"/>
    <n v="16.82"/>
    <n v="22"/>
    <n v="4.49"/>
    <x v="0"/>
  </r>
  <r>
    <x v="0"/>
    <s v="伊豆の国市"/>
    <x v="32"/>
    <x v="12"/>
    <n v="48"/>
    <n v="3.43"/>
    <n v="40"/>
    <n v="4.4800000000000004"/>
    <n v="5"/>
    <n v="1.02"/>
    <x v="1"/>
  </r>
  <r>
    <x v="0"/>
    <s v="伊豆の国市"/>
    <x v="32"/>
    <x v="13"/>
    <n v="67"/>
    <n v="4.78"/>
    <n v="50"/>
    <n v="5.61"/>
    <n v="13"/>
    <n v="2.65"/>
    <x v="0"/>
  </r>
  <r>
    <x v="0"/>
    <s v="伊豆の国市"/>
    <x v="32"/>
    <x v="14"/>
    <n v="48"/>
    <n v="3.43"/>
    <n v="24"/>
    <n v="2.69"/>
    <n v="19"/>
    <n v="3.88"/>
    <x v="1"/>
  </r>
  <r>
    <x v="0"/>
    <s v="牧之原市"/>
    <x v="33"/>
    <x v="0"/>
    <n v="1"/>
    <n v="7.0000000000000007E-2"/>
    <n v="0"/>
    <n v="0"/>
    <n v="1"/>
    <n v="0.18"/>
    <x v="0"/>
  </r>
  <r>
    <x v="0"/>
    <s v="牧之原市"/>
    <x v="33"/>
    <x v="1"/>
    <n v="254"/>
    <n v="17.75"/>
    <n v="138"/>
    <n v="16.27"/>
    <n v="116"/>
    <n v="20.420000000000002"/>
    <x v="0"/>
  </r>
  <r>
    <x v="0"/>
    <s v="牧之原市"/>
    <x v="33"/>
    <x v="2"/>
    <n v="271"/>
    <n v="18.940000000000001"/>
    <n v="144"/>
    <n v="16.98"/>
    <n v="127"/>
    <n v="22.36"/>
    <x v="0"/>
  </r>
  <r>
    <x v="0"/>
    <s v="牧之原市"/>
    <x v="33"/>
    <x v="3"/>
    <n v="1"/>
    <n v="7.0000000000000007E-2"/>
    <n v="0"/>
    <n v="0"/>
    <n v="1"/>
    <n v="0.18"/>
    <x v="0"/>
  </r>
  <r>
    <x v="0"/>
    <s v="牧之原市"/>
    <x v="33"/>
    <x v="4"/>
    <n v="5"/>
    <n v="0.35"/>
    <n v="0"/>
    <n v="0"/>
    <n v="5"/>
    <n v="0.88"/>
    <x v="0"/>
  </r>
  <r>
    <x v="0"/>
    <s v="牧之原市"/>
    <x v="33"/>
    <x v="5"/>
    <n v="18"/>
    <n v="1.26"/>
    <n v="0"/>
    <n v="0"/>
    <n v="18"/>
    <n v="3.17"/>
    <x v="0"/>
  </r>
  <r>
    <x v="0"/>
    <s v="牧之原市"/>
    <x v="33"/>
    <x v="6"/>
    <n v="348"/>
    <n v="24.32"/>
    <n v="201"/>
    <n v="23.7"/>
    <n v="147"/>
    <n v="25.88"/>
    <x v="0"/>
  </r>
  <r>
    <x v="0"/>
    <s v="牧之原市"/>
    <x v="33"/>
    <x v="7"/>
    <n v="13"/>
    <n v="0.91"/>
    <n v="3"/>
    <n v="0.35"/>
    <n v="10"/>
    <n v="1.76"/>
    <x v="0"/>
  </r>
  <r>
    <x v="0"/>
    <s v="牧之原市"/>
    <x v="33"/>
    <x v="8"/>
    <n v="71"/>
    <n v="4.96"/>
    <n v="35"/>
    <n v="4.13"/>
    <n v="36"/>
    <n v="6.34"/>
    <x v="0"/>
  </r>
  <r>
    <x v="0"/>
    <s v="牧之原市"/>
    <x v="33"/>
    <x v="9"/>
    <n v="38"/>
    <n v="2.66"/>
    <n v="24"/>
    <n v="2.83"/>
    <n v="13"/>
    <n v="2.29"/>
    <x v="0"/>
  </r>
  <r>
    <x v="0"/>
    <s v="牧之原市"/>
    <x v="33"/>
    <x v="10"/>
    <n v="126"/>
    <n v="8.81"/>
    <n v="95"/>
    <n v="11.2"/>
    <n v="30"/>
    <n v="5.28"/>
    <x v="0"/>
  </r>
  <r>
    <x v="0"/>
    <s v="牧之原市"/>
    <x v="33"/>
    <x v="11"/>
    <n v="146"/>
    <n v="10.199999999999999"/>
    <n v="124"/>
    <n v="14.62"/>
    <n v="21"/>
    <n v="3.7"/>
    <x v="1"/>
  </r>
  <r>
    <x v="0"/>
    <s v="牧之原市"/>
    <x v="33"/>
    <x v="12"/>
    <n v="52"/>
    <n v="3.63"/>
    <n v="35"/>
    <n v="4.13"/>
    <n v="13"/>
    <n v="2.29"/>
    <x v="0"/>
  </r>
  <r>
    <x v="0"/>
    <s v="牧之原市"/>
    <x v="33"/>
    <x v="13"/>
    <n v="50"/>
    <n v="3.49"/>
    <n v="28"/>
    <n v="3.3"/>
    <n v="16"/>
    <n v="2.82"/>
    <x v="0"/>
  </r>
  <r>
    <x v="0"/>
    <s v="牧之原市"/>
    <x v="33"/>
    <x v="14"/>
    <n v="37"/>
    <n v="2.59"/>
    <n v="21"/>
    <n v="2.48"/>
    <n v="14"/>
    <n v="2.46"/>
    <x v="7"/>
  </r>
  <r>
    <x v="0"/>
    <s v="賀茂郡東伊豆町"/>
    <x v="34"/>
    <x v="0"/>
    <n v="0"/>
    <n v="0"/>
    <n v="0"/>
    <n v="0"/>
    <n v="0"/>
    <n v="0"/>
    <x v="0"/>
  </r>
  <r>
    <x v="0"/>
    <s v="賀茂郡東伊豆町"/>
    <x v="34"/>
    <x v="1"/>
    <n v="85"/>
    <n v="17.63"/>
    <n v="49"/>
    <n v="16.07"/>
    <n v="36"/>
    <n v="20.81"/>
    <x v="0"/>
  </r>
  <r>
    <x v="0"/>
    <s v="賀茂郡東伊豆町"/>
    <x v="34"/>
    <x v="2"/>
    <n v="16"/>
    <n v="3.32"/>
    <n v="8"/>
    <n v="2.62"/>
    <n v="8"/>
    <n v="4.62"/>
    <x v="0"/>
  </r>
  <r>
    <x v="0"/>
    <s v="賀茂郡東伊豆町"/>
    <x v="34"/>
    <x v="3"/>
    <n v="2"/>
    <n v="0.41"/>
    <n v="0"/>
    <n v="0"/>
    <n v="2"/>
    <n v="1.1599999999999999"/>
    <x v="0"/>
  </r>
  <r>
    <x v="0"/>
    <s v="賀茂郡東伊豆町"/>
    <x v="34"/>
    <x v="4"/>
    <n v="0"/>
    <n v="0"/>
    <n v="0"/>
    <n v="0"/>
    <n v="0"/>
    <n v="0"/>
    <x v="0"/>
  </r>
  <r>
    <x v="0"/>
    <s v="賀茂郡東伊豆町"/>
    <x v="34"/>
    <x v="5"/>
    <n v="3"/>
    <n v="0.62"/>
    <n v="1"/>
    <n v="0.33"/>
    <n v="2"/>
    <n v="1.1599999999999999"/>
    <x v="0"/>
  </r>
  <r>
    <x v="0"/>
    <s v="賀茂郡東伊豆町"/>
    <x v="34"/>
    <x v="6"/>
    <n v="115"/>
    <n v="23.86"/>
    <n v="65"/>
    <n v="21.31"/>
    <n v="50"/>
    <n v="28.9"/>
    <x v="0"/>
  </r>
  <r>
    <x v="0"/>
    <s v="賀茂郡東伊豆町"/>
    <x v="34"/>
    <x v="7"/>
    <n v="0"/>
    <n v="0"/>
    <n v="0"/>
    <n v="0"/>
    <n v="0"/>
    <n v="0"/>
    <x v="0"/>
  </r>
  <r>
    <x v="0"/>
    <s v="賀茂郡東伊豆町"/>
    <x v="34"/>
    <x v="8"/>
    <n v="63"/>
    <n v="13.07"/>
    <n v="35"/>
    <n v="11.48"/>
    <n v="28"/>
    <n v="16.18"/>
    <x v="0"/>
  </r>
  <r>
    <x v="0"/>
    <s v="賀茂郡東伊豆町"/>
    <x v="34"/>
    <x v="9"/>
    <n v="12"/>
    <n v="2.4900000000000002"/>
    <n v="9"/>
    <n v="2.95"/>
    <n v="3"/>
    <n v="1.73"/>
    <x v="0"/>
  </r>
  <r>
    <x v="0"/>
    <s v="賀茂郡東伊豆町"/>
    <x v="34"/>
    <x v="10"/>
    <n v="87"/>
    <n v="18.05"/>
    <n v="69"/>
    <n v="22.62"/>
    <n v="18"/>
    <n v="10.4"/>
    <x v="0"/>
  </r>
  <r>
    <x v="0"/>
    <s v="賀茂郡東伊豆町"/>
    <x v="34"/>
    <x v="11"/>
    <n v="63"/>
    <n v="13.07"/>
    <n v="48"/>
    <n v="15.74"/>
    <n v="12"/>
    <n v="6.94"/>
    <x v="12"/>
  </r>
  <r>
    <x v="0"/>
    <s v="賀茂郡東伊豆町"/>
    <x v="34"/>
    <x v="12"/>
    <n v="7"/>
    <n v="1.45"/>
    <n v="6"/>
    <n v="1.97"/>
    <n v="1"/>
    <n v="0.57999999999999996"/>
    <x v="0"/>
  </r>
  <r>
    <x v="0"/>
    <s v="賀茂郡東伊豆町"/>
    <x v="34"/>
    <x v="13"/>
    <n v="10"/>
    <n v="2.0699999999999998"/>
    <n v="7"/>
    <n v="2.2999999999999998"/>
    <n v="3"/>
    <n v="1.73"/>
    <x v="0"/>
  </r>
  <r>
    <x v="0"/>
    <s v="賀茂郡東伊豆町"/>
    <x v="34"/>
    <x v="14"/>
    <n v="19"/>
    <n v="3.94"/>
    <n v="8"/>
    <n v="2.62"/>
    <n v="10"/>
    <n v="5.78"/>
    <x v="1"/>
  </r>
  <r>
    <x v="0"/>
    <s v="賀茂郡河津町"/>
    <x v="35"/>
    <x v="0"/>
    <n v="0"/>
    <n v="0"/>
    <n v="0"/>
    <n v="0"/>
    <n v="0"/>
    <n v="0"/>
    <x v="0"/>
  </r>
  <r>
    <x v="0"/>
    <s v="賀茂郡河津町"/>
    <x v="35"/>
    <x v="1"/>
    <n v="55"/>
    <n v="17.46"/>
    <n v="35"/>
    <n v="15.84"/>
    <n v="20"/>
    <n v="21.74"/>
    <x v="0"/>
  </r>
  <r>
    <x v="0"/>
    <s v="賀茂郡河津町"/>
    <x v="35"/>
    <x v="2"/>
    <n v="14"/>
    <n v="4.4400000000000004"/>
    <n v="5"/>
    <n v="2.2599999999999998"/>
    <n v="9"/>
    <n v="9.7799999999999994"/>
    <x v="0"/>
  </r>
  <r>
    <x v="0"/>
    <s v="賀茂郡河津町"/>
    <x v="35"/>
    <x v="3"/>
    <n v="3"/>
    <n v="0.95"/>
    <n v="0"/>
    <n v="0"/>
    <n v="3"/>
    <n v="3.26"/>
    <x v="0"/>
  </r>
  <r>
    <x v="0"/>
    <s v="賀茂郡河津町"/>
    <x v="35"/>
    <x v="4"/>
    <n v="2"/>
    <n v="0.63"/>
    <n v="0"/>
    <n v="0"/>
    <n v="2"/>
    <n v="2.17"/>
    <x v="0"/>
  </r>
  <r>
    <x v="0"/>
    <s v="賀茂郡河津町"/>
    <x v="35"/>
    <x v="5"/>
    <n v="1"/>
    <n v="0.32"/>
    <n v="0"/>
    <n v="0"/>
    <n v="1"/>
    <n v="1.0900000000000001"/>
    <x v="0"/>
  </r>
  <r>
    <x v="0"/>
    <s v="賀茂郡河津町"/>
    <x v="35"/>
    <x v="6"/>
    <n v="77"/>
    <n v="24.44"/>
    <n v="49"/>
    <n v="22.17"/>
    <n v="28"/>
    <n v="30.43"/>
    <x v="0"/>
  </r>
  <r>
    <x v="0"/>
    <s v="賀茂郡河津町"/>
    <x v="35"/>
    <x v="7"/>
    <n v="1"/>
    <n v="0.32"/>
    <n v="1"/>
    <n v="0.45"/>
    <n v="0"/>
    <n v="0"/>
    <x v="0"/>
  </r>
  <r>
    <x v="0"/>
    <s v="賀茂郡河津町"/>
    <x v="35"/>
    <x v="8"/>
    <n v="10"/>
    <n v="3.17"/>
    <n v="7"/>
    <n v="3.17"/>
    <n v="3"/>
    <n v="3.26"/>
    <x v="0"/>
  </r>
  <r>
    <x v="0"/>
    <s v="賀茂郡河津町"/>
    <x v="35"/>
    <x v="9"/>
    <n v="8"/>
    <n v="2.54"/>
    <n v="6"/>
    <n v="2.71"/>
    <n v="2"/>
    <n v="2.17"/>
    <x v="0"/>
  </r>
  <r>
    <x v="0"/>
    <s v="賀茂郡河津町"/>
    <x v="35"/>
    <x v="10"/>
    <n v="80"/>
    <n v="25.4"/>
    <n v="67"/>
    <n v="30.32"/>
    <n v="12"/>
    <n v="13.04"/>
    <x v="0"/>
  </r>
  <r>
    <x v="0"/>
    <s v="賀茂郡河津町"/>
    <x v="35"/>
    <x v="11"/>
    <n v="31"/>
    <n v="9.84"/>
    <n v="28"/>
    <n v="12.67"/>
    <n v="3"/>
    <n v="3.26"/>
    <x v="0"/>
  </r>
  <r>
    <x v="0"/>
    <s v="賀茂郡河津町"/>
    <x v="35"/>
    <x v="12"/>
    <n v="11"/>
    <n v="3.49"/>
    <n v="8"/>
    <n v="3.62"/>
    <n v="3"/>
    <n v="3.26"/>
    <x v="0"/>
  </r>
  <r>
    <x v="0"/>
    <s v="賀茂郡河津町"/>
    <x v="35"/>
    <x v="13"/>
    <n v="10"/>
    <n v="3.17"/>
    <n v="8"/>
    <n v="3.62"/>
    <n v="1"/>
    <n v="1.0900000000000001"/>
    <x v="0"/>
  </r>
  <r>
    <x v="0"/>
    <s v="賀茂郡河津町"/>
    <x v="35"/>
    <x v="14"/>
    <n v="12"/>
    <n v="3.81"/>
    <n v="7"/>
    <n v="3.17"/>
    <n v="5"/>
    <n v="5.43"/>
    <x v="0"/>
  </r>
  <r>
    <x v="0"/>
    <s v="賀茂郡南伊豆町"/>
    <x v="36"/>
    <x v="0"/>
    <n v="0"/>
    <n v="0"/>
    <n v="0"/>
    <n v="0"/>
    <n v="0"/>
    <n v="0"/>
    <x v="0"/>
  </r>
  <r>
    <x v="0"/>
    <s v="賀茂郡南伊豆町"/>
    <x v="36"/>
    <x v="1"/>
    <n v="53"/>
    <n v="14.32"/>
    <n v="31"/>
    <n v="10.99"/>
    <n v="22"/>
    <n v="25.88"/>
    <x v="0"/>
  </r>
  <r>
    <x v="0"/>
    <s v="賀茂郡南伊豆町"/>
    <x v="36"/>
    <x v="2"/>
    <n v="17"/>
    <n v="4.59"/>
    <n v="7"/>
    <n v="2.48"/>
    <n v="10"/>
    <n v="11.76"/>
    <x v="0"/>
  </r>
  <r>
    <x v="0"/>
    <s v="賀茂郡南伊豆町"/>
    <x v="36"/>
    <x v="3"/>
    <n v="1"/>
    <n v="0.27"/>
    <n v="0"/>
    <n v="0"/>
    <n v="1"/>
    <n v="1.18"/>
    <x v="0"/>
  </r>
  <r>
    <x v="0"/>
    <s v="賀茂郡南伊豆町"/>
    <x v="36"/>
    <x v="4"/>
    <n v="0"/>
    <n v="0"/>
    <n v="0"/>
    <n v="0"/>
    <n v="0"/>
    <n v="0"/>
    <x v="0"/>
  </r>
  <r>
    <x v="0"/>
    <s v="賀茂郡南伊豆町"/>
    <x v="36"/>
    <x v="5"/>
    <n v="4"/>
    <n v="1.08"/>
    <n v="3"/>
    <n v="1.06"/>
    <n v="1"/>
    <n v="1.18"/>
    <x v="0"/>
  </r>
  <r>
    <x v="0"/>
    <s v="賀茂郡南伊豆町"/>
    <x v="36"/>
    <x v="6"/>
    <n v="73"/>
    <n v="19.73"/>
    <n v="53"/>
    <n v="18.79"/>
    <n v="20"/>
    <n v="23.53"/>
    <x v="0"/>
  </r>
  <r>
    <x v="0"/>
    <s v="賀茂郡南伊豆町"/>
    <x v="36"/>
    <x v="7"/>
    <n v="0"/>
    <n v="0"/>
    <n v="0"/>
    <n v="0"/>
    <n v="0"/>
    <n v="0"/>
    <x v="0"/>
  </r>
  <r>
    <x v="0"/>
    <s v="賀茂郡南伊豆町"/>
    <x v="36"/>
    <x v="8"/>
    <n v="18"/>
    <n v="4.8600000000000003"/>
    <n v="12"/>
    <n v="4.26"/>
    <n v="6"/>
    <n v="7.06"/>
    <x v="0"/>
  </r>
  <r>
    <x v="0"/>
    <s v="賀茂郡南伊豆町"/>
    <x v="36"/>
    <x v="9"/>
    <n v="8"/>
    <n v="2.16"/>
    <n v="7"/>
    <n v="2.48"/>
    <n v="1"/>
    <n v="1.18"/>
    <x v="0"/>
  </r>
  <r>
    <x v="0"/>
    <s v="賀茂郡南伊豆町"/>
    <x v="36"/>
    <x v="10"/>
    <n v="119"/>
    <n v="32.159999999999997"/>
    <n v="110"/>
    <n v="39.01"/>
    <n v="9"/>
    <n v="10.59"/>
    <x v="0"/>
  </r>
  <r>
    <x v="0"/>
    <s v="賀茂郡南伊豆町"/>
    <x v="36"/>
    <x v="11"/>
    <n v="46"/>
    <n v="12.43"/>
    <n v="43"/>
    <n v="15.25"/>
    <n v="3"/>
    <n v="3.53"/>
    <x v="0"/>
  </r>
  <r>
    <x v="0"/>
    <s v="賀茂郡南伊豆町"/>
    <x v="36"/>
    <x v="12"/>
    <n v="5"/>
    <n v="1.35"/>
    <n v="4"/>
    <n v="1.42"/>
    <n v="1"/>
    <n v="1.18"/>
    <x v="0"/>
  </r>
  <r>
    <x v="0"/>
    <s v="賀茂郡南伊豆町"/>
    <x v="36"/>
    <x v="13"/>
    <n v="12"/>
    <n v="3.24"/>
    <n v="7"/>
    <n v="2.48"/>
    <n v="3"/>
    <n v="3.53"/>
    <x v="0"/>
  </r>
  <r>
    <x v="0"/>
    <s v="賀茂郡南伊豆町"/>
    <x v="36"/>
    <x v="14"/>
    <n v="14"/>
    <n v="3.78"/>
    <n v="5"/>
    <n v="1.77"/>
    <n v="8"/>
    <n v="9.41"/>
    <x v="1"/>
  </r>
  <r>
    <x v="0"/>
    <s v="賀茂郡松崎町"/>
    <x v="37"/>
    <x v="0"/>
    <n v="0"/>
    <n v="0"/>
    <n v="0"/>
    <n v="0"/>
    <n v="0"/>
    <n v="0"/>
    <x v="0"/>
  </r>
  <r>
    <x v="0"/>
    <s v="賀茂郡松崎町"/>
    <x v="37"/>
    <x v="1"/>
    <n v="33"/>
    <n v="10.029999999999999"/>
    <n v="20"/>
    <n v="8.3699999999999992"/>
    <n v="13"/>
    <n v="14.94"/>
    <x v="0"/>
  </r>
  <r>
    <x v="0"/>
    <s v="賀茂郡松崎町"/>
    <x v="37"/>
    <x v="2"/>
    <n v="22"/>
    <n v="6.69"/>
    <n v="13"/>
    <n v="5.44"/>
    <n v="9"/>
    <n v="10.34"/>
    <x v="0"/>
  </r>
  <r>
    <x v="0"/>
    <s v="賀茂郡松崎町"/>
    <x v="37"/>
    <x v="3"/>
    <n v="1"/>
    <n v="0.3"/>
    <n v="0"/>
    <n v="0"/>
    <n v="1"/>
    <n v="1.1499999999999999"/>
    <x v="0"/>
  </r>
  <r>
    <x v="0"/>
    <s v="賀茂郡松崎町"/>
    <x v="37"/>
    <x v="4"/>
    <n v="4"/>
    <n v="1.22"/>
    <n v="1"/>
    <n v="0.42"/>
    <n v="3"/>
    <n v="3.45"/>
    <x v="0"/>
  </r>
  <r>
    <x v="0"/>
    <s v="賀茂郡松崎町"/>
    <x v="37"/>
    <x v="5"/>
    <n v="2"/>
    <n v="0.61"/>
    <n v="0"/>
    <n v="0"/>
    <n v="1"/>
    <n v="1.1499999999999999"/>
    <x v="1"/>
  </r>
  <r>
    <x v="0"/>
    <s v="賀茂郡松崎町"/>
    <x v="37"/>
    <x v="6"/>
    <n v="86"/>
    <n v="26.14"/>
    <n v="52"/>
    <n v="21.76"/>
    <n v="34"/>
    <n v="39.08"/>
    <x v="0"/>
  </r>
  <r>
    <x v="0"/>
    <s v="賀茂郡松崎町"/>
    <x v="37"/>
    <x v="7"/>
    <n v="2"/>
    <n v="0.61"/>
    <n v="1"/>
    <n v="0.42"/>
    <n v="1"/>
    <n v="1.1499999999999999"/>
    <x v="0"/>
  </r>
  <r>
    <x v="0"/>
    <s v="賀茂郡松崎町"/>
    <x v="37"/>
    <x v="8"/>
    <n v="8"/>
    <n v="2.4300000000000002"/>
    <n v="3"/>
    <n v="1.26"/>
    <n v="5"/>
    <n v="5.75"/>
    <x v="0"/>
  </r>
  <r>
    <x v="0"/>
    <s v="賀茂郡松崎町"/>
    <x v="37"/>
    <x v="9"/>
    <n v="8"/>
    <n v="2.4300000000000002"/>
    <n v="7"/>
    <n v="2.93"/>
    <n v="1"/>
    <n v="1.1499999999999999"/>
    <x v="0"/>
  </r>
  <r>
    <x v="0"/>
    <s v="賀茂郡松崎町"/>
    <x v="37"/>
    <x v="10"/>
    <n v="88"/>
    <n v="26.75"/>
    <n v="84"/>
    <n v="35.15"/>
    <n v="4"/>
    <n v="4.5999999999999996"/>
    <x v="0"/>
  </r>
  <r>
    <x v="0"/>
    <s v="賀茂郡松崎町"/>
    <x v="37"/>
    <x v="11"/>
    <n v="42"/>
    <n v="12.77"/>
    <n v="34"/>
    <n v="14.23"/>
    <n v="8"/>
    <n v="9.1999999999999993"/>
    <x v="0"/>
  </r>
  <r>
    <x v="0"/>
    <s v="賀茂郡松崎町"/>
    <x v="37"/>
    <x v="12"/>
    <n v="17"/>
    <n v="5.17"/>
    <n v="13"/>
    <n v="5.44"/>
    <n v="4"/>
    <n v="4.5999999999999996"/>
    <x v="0"/>
  </r>
  <r>
    <x v="0"/>
    <s v="賀茂郡松崎町"/>
    <x v="37"/>
    <x v="13"/>
    <n v="8"/>
    <n v="2.4300000000000002"/>
    <n v="6"/>
    <n v="2.5099999999999998"/>
    <n v="2"/>
    <n v="2.2999999999999998"/>
    <x v="0"/>
  </r>
  <r>
    <x v="0"/>
    <s v="賀茂郡松崎町"/>
    <x v="37"/>
    <x v="14"/>
    <n v="8"/>
    <n v="2.4300000000000002"/>
    <n v="5"/>
    <n v="2.09"/>
    <n v="1"/>
    <n v="1.1499999999999999"/>
    <x v="1"/>
  </r>
  <r>
    <x v="0"/>
    <s v="賀茂郡西伊豆町"/>
    <x v="38"/>
    <x v="0"/>
    <n v="0"/>
    <n v="0"/>
    <n v="0"/>
    <n v="0"/>
    <n v="0"/>
    <n v="0"/>
    <x v="0"/>
  </r>
  <r>
    <x v="0"/>
    <s v="賀茂郡西伊豆町"/>
    <x v="38"/>
    <x v="1"/>
    <n v="46"/>
    <n v="13.41"/>
    <n v="23"/>
    <n v="9.9600000000000009"/>
    <n v="23"/>
    <n v="21.7"/>
    <x v="0"/>
  </r>
  <r>
    <x v="0"/>
    <s v="賀茂郡西伊豆町"/>
    <x v="38"/>
    <x v="2"/>
    <n v="28"/>
    <n v="8.16"/>
    <n v="12"/>
    <n v="5.19"/>
    <n v="16"/>
    <n v="15.09"/>
    <x v="0"/>
  </r>
  <r>
    <x v="0"/>
    <s v="賀茂郡西伊豆町"/>
    <x v="38"/>
    <x v="3"/>
    <n v="0"/>
    <n v="0"/>
    <n v="0"/>
    <n v="0"/>
    <n v="0"/>
    <n v="0"/>
    <x v="0"/>
  </r>
  <r>
    <x v="0"/>
    <s v="賀茂郡西伊豆町"/>
    <x v="38"/>
    <x v="4"/>
    <n v="1"/>
    <n v="0.28999999999999998"/>
    <n v="0"/>
    <n v="0"/>
    <n v="1"/>
    <n v="0.94"/>
    <x v="0"/>
  </r>
  <r>
    <x v="0"/>
    <s v="賀茂郡西伊豆町"/>
    <x v="38"/>
    <x v="5"/>
    <n v="3"/>
    <n v="0.87"/>
    <n v="1"/>
    <n v="0.43"/>
    <n v="1"/>
    <n v="0.94"/>
    <x v="1"/>
  </r>
  <r>
    <x v="0"/>
    <s v="賀茂郡西伊豆町"/>
    <x v="38"/>
    <x v="6"/>
    <n v="85"/>
    <n v="24.78"/>
    <n v="57"/>
    <n v="24.68"/>
    <n v="28"/>
    <n v="26.42"/>
    <x v="0"/>
  </r>
  <r>
    <x v="0"/>
    <s v="賀茂郡西伊豆町"/>
    <x v="38"/>
    <x v="7"/>
    <n v="1"/>
    <n v="0.28999999999999998"/>
    <n v="0"/>
    <n v="0"/>
    <n v="1"/>
    <n v="0.94"/>
    <x v="0"/>
  </r>
  <r>
    <x v="0"/>
    <s v="賀茂郡西伊豆町"/>
    <x v="38"/>
    <x v="8"/>
    <n v="21"/>
    <n v="6.12"/>
    <n v="14"/>
    <n v="6.06"/>
    <n v="7"/>
    <n v="6.6"/>
    <x v="0"/>
  </r>
  <r>
    <x v="0"/>
    <s v="賀茂郡西伊豆町"/>
    <x v="38"/>
    <x v="9"/>
    <n v="4"/>
    <n v="1.17"/>
    <n v="4"/>
    <n v="1.73"/>
    <n v="0"/>
    <n v="0"/>
    <x v="0"/>
  </r>
  <r>
    <x v="0"/>
    <s v="賀茂郡西伊豆町"/>
    <x v="38"/>
    <x v="10"/>
    <n v="70"/>
    <n v="20.41"/>
    <n v="60"/>
    <n v="25.97"/>
    <n v="10"/>
    <n v="9.43"/>
    <x v="0"/>
  </r>
  <r>
    <x v="0"/>
    <s v="賀茂郡西伊豆町"/>
    <x v="38"/>
    <x v="11"/>
    <n v="49"/>
    <n v="14.29"/>
    <n v="41"/>
    <n v="17.75"/>
    <n v="4"/>
    <n v="3.77"/>
    <x v="0"/>
  </r>
  <r>
    <x v="0"/>
    <s v="賀茂郡西伊豆町"/>
    <x v="38"/>
    <x v="12"/>
    <n v="13"/>
    <n v="3.79"/>
    <n v="9"/>
    <n v="3.9"/>
    <n v="4"/>
    <n v="3.77"/>
    <x v="0"/>
  </r>
  <r>
    <x v="0"/>
    <s v="賀茂郡西伊豆町"/>
    <x v="38"/>
    <x v="13"/>
    <n v="9"/>
    <n v="2.62"/>
    <n v="5"/>
    <n v="2.16"/>
    <n v="4"/>
    <n v="3.77"/>
    <x v="0"/>
  </r>
  <r>
    <x v="0"/>
    <s v="賀茂郡西伊豆町"/>
    <x v="38"/>
    <x v="14"/>
    <n v="13"/>
    <n v="3.79"/>
    <n v="5"/>
    <n v="2.16"/>
    <n v="7"/>
    <n v="6.6"/>
    <x v="0"/>
  </r>
  <r>
    <x v="0"/>
    <s v="田方郡函南町"/>
    <x v="39"/>
    <x v="0"/>
    <n v="0"/>
    <n v="0"/>
    <n v="0"/>
    <n v="0"/>
    <n v="0"/>
    <n v="0"/>
    <x v="0"/>
  </r>
  <r>
    <x v="0"/>
    <s v="田方郡函南町"/>
    <x v="39"/>
    <x v="1"/>
    <n v="167"/>
    <n v="20.98"/>
    <n v="66"/>
    <n v="15.1"/>
    <n v="101"/>
    <n v="29.36"/>
    <x v="0"/>
  </r>
  <r>
    <x v="0"/>
    <s v="田方郡函南町"/>
    <x v="39"/>
    <x v="2"/>
    <n v="71"/>
    <n v="8.92"/>
    <n v="28"/>
    <n v="6.41"/>
    <n v="43"/>
    <n v="12.5"/>
    <x v="0"/>
  </r>
  <r>
    <x v="0"/>
    <s v="田方郡函南町"/>
    <x v="39"/>
    <x v="3"/>
    <n v="2"/>
    <n v="0.25"/>
    <n v="0"/>
    <n v="0"/>
    <n v="2"/>
    <n v="0.57999999999999996"/>
    <x v="0"/>
  </r>
  <r>
    <x v="0"/>
    <s v="田方郡函南町"/>
    <x v="39"/>
    <x v="4"/>
    <n v="2"/>
    <n v="0.25"/>
    <n v="0"/>
    <n v="0"/>
    <n v="2"/>
    <n v="0.57999999999999996"/>
    <x v="0"/>
  </r>
  <r>
    <x v="0"/>
    <s v="田方郡函南町"/>
    <x v="39"/>
    <x v="5"/>
    <n v="6"/>
    <n v="0.75"/>
    <n v="1"/>
    <n v="0.23"/>
    <n v="4"/>
    <n v="1.1599999999999999"/>
    <x v="1"/>
  </r>
  <r>
    <x v="0"/>
    <s v="田方郡函南町"/>
    <x v="39"/>
    <x v="6"/>
    <n v="137"/>
    <n v="17.21"/>
    <n v="64"/>
    <n v="14.65"/>
    <n v="73"/>
    <n v="21.22"/>
    <x v="0"/>
  </r>
  <r>
    <x v="0"/>
    <s v="田方郡函南町"/>
    <x v="39"/>
    <x v="7"/>
    <n v="4"/>
    <n v="0.5"/>
    <n v="1"/>
    <n v="0.23"/>
    <n v="3"/>
    <n v="0.87"/>
    <x v="0"/>
  </r>
  <r>
    <x v="0"/>
    <s v="田方郡函南町"/>
    <x v="39"/>
    <x v="8"/>
    <n v="88"/>
    <n v="11.06"/>
    <n v="57"/>
    <n v="13.04"/>
    <n v="31"/>
    <n v="9.01"/>
    <x v="0"/>
  </r>
  <r>
    <x v="0"/>
    <s v="田方郡函南町"/>
    <x v="39"/>
    <x v="9"/>
    <n v="34"/>
    <n v="4.2699999999999996"/>
    <n v="14"/>
    <n v="3.2"/>
    <n v="19"/>
    <n v="5.52"/>
    <x v="0"/>
  </r>
  <r>
    <x v="0"/>
    <s v="田方郡函南町"/>
    <x v="39"/>
    <x v="10"/>
    <n v="82"/>
    <n v="10.3"/>
    <n v="72"/>
    <n v="16.48"/>
    <n v="10"/>
    <n v="2.91"/>
    <x v="0"/>
  </r>
  <r>
    <x v="0"/>
    <s v="田方郡函南町"/>
    <x v="39"/>
    <x v="11"/>
    <n v="95"/>
    <n v="11.93"/>
    <n v="76"/>
    <n v="17.39"/>
    <n v="19"/>
    <n v="5.52"/>
    <x v="0"/>
  </r>
  <r>
    <x v="0"/>
    <s v="田方郡函南町"/>
    <x v="39"/>
    <x v="12"/>
    <n v="37"/>
    <n v="4.6500000000000004"/>
    <n v="26"/>
    <n v="5.95"/>
    <n v="10"/>
    <n v="2.91"/>
    <x v="0"/>
  </r>
  <r>
    <x v="0"/>
    <s v="田方郡函南町"/>
    <x v="39"/>
    <x v="13"/>
    <n v="39"/>
    <n v="4.9000000000000004"/>
    <n v="19"/>
    <n v="4.3499999999999996"/>
    <n v="10"/>
    <n v="2.91"/>
    <x v="0"/>
  </r>
  <r>
    <x v="0"/>
    <s v="田方郡函南町"/>
    <x v="39"/>
    <x v="14"/>
    <n v="32"/>
    <n v="4.0199999999999996"/>
    <n v="13"/>
    <n v="2.97"/>
    <n v="17"/>
    <n v="4.9400000000000004"/>
    <x v="0"/>
  </r>
  <r>
    <x v="0"/>
    <s v="駿東郡清水町"/>
    <x v="40"/>
    <x v="0"/>
    <n v="0"/>
    <n v="0"/>
    <n v="0"/>
    <n v="0"/>
    <n v="0"/>
    <n v="0"/>
    <x v="0"/>
  </r>
  <r>
    <x v="0"/>
    <s v="駿東郡清水町"/>
    <x v="40"/>
    <x v="1"/>
    <n v="123"/>
    <n v="14.63"/>
    <n v="39"/>
    <n v="9.75"/>
    <n v="84"/>
    <n v="19.18"/>
    <x v="0"/>
  </r>
  <r>
    <x v="0"/>
    <s v="駿東郡清水町"/>
    <x v="40"/>
    <x v="2"/>
    <n v="99"/>
    <n v="11.77"/>
    <n v="29"/>
    <n v="7.25"/>
    <n v="70"/>
    <n v="15.98"/>
    <x v="0"/>
  </r>
  <r>
    <x v="0"/>
    <s v="駿東郡清水町"/>
    <x v="40"/>
    <x v="3"/>
    <n v="1"/>
    <n v="0.12"/>
    <n v="0"/>
    <n v="0"/>
    <n v="0"/>
    <n v="0"/>
    <x v="0"/>
  </r>
  <r>
    <x v="0"/>
    <s v="駿東郡清水町"/>
    <x v="40"/>
    <x v="4"/>
    <n v="7"/>
    <n v="0.83"/>
    <n v="2"/>
    <n v="0.5"/>
    <n v="5"/>
    <n v="1.1399999999999999"/>
    <x v="0"/>
  </r>
  <r>
    <x v="0"/>
    <s v="駿東郡清水町"/>
    <x v="40"/>
    <x v="5"/>
    <n v="9"/>
    <n v="1.07"/>
    <n v="2"/>
    <n v="0.5"/>
    <n v="7"/>
    <n v="1.6"/>
    <x v="0"/>
  </r>
  <r>
    <x v="0"/>
    <s v="駿東郡清水町"/>
    <x v="40"/>
    <x v="6"/>
    <n v="199"/>
    <n v="23.66"/>
    <n v="79"/>
    <n v="19.75"/>
    <n v="119"/>
    <n v="27.17"/>
    <x v="1"/>
  </r>
  <r>
    <x v="0"/>
    <s v="駿東郡清水町"/>
    <x v="40"/>
    <x v="7"/>
    <n v="3"/>
    <n v="0.36"/>
    <n v="0"/>
    <n v="0"/>
    <n v="3"/>
    <n v="0.68"/>
    <x v="0"/>
  </r>
  <r>
    <x v="0"/>
    <s v="駿東郡清水町"/>
    <x v="40"/>
    <x v="8"/>
    <n v="67"/>
    <n v="7.97"/>
    <n v="17"/>
    <n v="4.25"/>
    <n v="50"/>
    <n v="11.42"/>
    <x v="0"/>
  </r>
  <r>
    <x v="0"/>
    <s v="駿東郡清水町"/>
    <x v="40"/>
    <x v="9"/>
    <n v="40"/>
    <n v="4.76"/>
    <n v="16"/>
    <n v="4"/>
    <n v="24"/>
    <n v="5.48"/>
    <x v="0"/>
  </r>
  <r>
    <x v="0"/>
    <s v="駿東郡清水町"/>
    <x v="40"/>
    <x v="10"/>
    <n v="72"/>
    <n v="8.56"/>
    <n v="61"/>
    <n v="15.25"/>
    <n v="11"/>
    <n v="2.5099999999999998"/>
    <x v="0"/>
  </r>
  <r>
    <x v="0"/>
    <s v="駿東郡清水町"/>
    <x v="40"/>
    <x v="11"/>
    <n v="110"/>
    <n v="13.08"/>
    <n v="88"/>
    <n v="22"/>
    <n v="22"/>
    <n v="5.0199999999999996"/>
    <x v="0"/>
  </r>
  <r>
    <x v="0"/>
    <s v="駿東郡清水町"/>
    <x v="40"/>
    <x v="12"/>
    <n v="33"/>
    <n v="3.92"/>
    <n v="21"/>
    <n v="5.25"/>
    <n v="12"/>
    <n v="2.74"/>
    <x v="0"/>
  </r>
  <r>
    <x v="0"/>
    <s v="駿東郡清水町"/>
    <x v="40"/>
    <x v="13"/>
    <n v="50"/>
    <n v="5.95"/>
    <n v="35"/>
    <n v="8.75"/>
    <n v="14"/>
    <n v="3.2"/>
    <x v="0"/>
  </r>
  <r>
    <x v="0"/>
    <s v="駿東郡清水町"/>
    <x v="40"/>
    <x v="14"/>
    <n v="28"/>
    <n v="3.33"/>
    <n v="11"/>
    <n v="2.75"/>
    <n v="17"/>
    <n v="3.88"/>
    <x v="0"/>
  </r>
  <r>
    <x v="0"/>
    <s v="駿東郡長泉町"/>
    <x v="41"/>
    <x v="0"/>
    <n v="0"/>
    <n v="0"/>
    <n v="0"/>
    <n v="0"/>
    <n v="0"/>
    <n v="0"/>
    <x v="0"/>
  </r>
  <r>
    <x v="0"/>
    <s v="駿東郡長泉町"/>
    <x v="41"/>
    <x v="1"/>
    <n v="119"/>
    <n v="14.49"/>
    <n v="31"/>
    <n v="8.4"/>
    <n v="88"/>
    <n v="19.64"/>
    <x v="0"/>
  </r>
  <r>
    <x v="0"/>
    <s v="駿東郡長泉町"/>
    <x v="41"/>
    <x v="2"/>
    <n v="93"/>
    <n v="11.33"/>
    <n v="19"/>
    <n v="5.15"/>
    <n v="74"/>
    <n v="16.52"/>
    <x v="0"/>
  </r>
  <r>
    <x v="0"/>
    <s v="駿東郡長泉町"/>
    <x v="41"/>
    <x v="3"/>
    <n v="1"/>
    <n v="0.12"/>
    <n v="0"/>
    <n v="0"/>
    <n v="1"/>
    <n v="0.22"/>
    <x v="0"/>
  </r>
  <r>
    <x v="0"/>
    <s v="駿東郡長泉町"/>
    <x v="41"/>
    <x v="4"/>
    <n v="4"/>
    <n v="0.49"/>
    <n v="1"/>
    <n v="0.27"/>
    <n v="3"/>
    <n v="0.67"/>
    <x v="0"/>
  </r>
  <r>
    <x v="0"/>
    <s v="駿東郡長泉町"/>
    <x v="41"/>
    <x v="5"/>
    <n v="9"/>
    <n v="1.1000000000000001"/>
    <n v="2"/>
    <n v="0.54"/>
    <n v="7"/>
    <n v="1.56"/>
    <x v="0"/>
  </r>
  <r>
    <x v="0"/>
    <s v="駿東郡長泉町"/>
    <x v="41"/>
    <x v="6"/>
    <n v="156"/>
    <n v="19"/>
    <n v="57"/>
    <n v="15.45"/>
    <n v="99"/>
    <n v="22.1"/>
    <x v="0"/>
  </r>
  <r>
    <x v="0"/>
    <s v="駿東郡長泉町"/>
    <x v="41"/>
    <x v="7"/>
    <n v="4"/>
    <n v="0.49"/>
    <n v="1"/>
    <n v="0.27"/>
    <n v="3"/>
    <n v="0.67"/>
    <x v="0"/>
  </r>
  <r>
    <x v="0"/>
    <s v="駿東郡長泉町"/>
    <x v="41"/>
    <x v="8"/>
    <n v="133"/>
    <n v="16.2"/>
    <n v="60"/>
    <n v="16.260000000000002"/>
    <n v="73"/>
    <n v="16.29"/>
    <x v="0"/>
  </r>
  <r>
    <x v="0"/>
    <s v="駿東郡長泉町"/>
    <x v="41"/>
    <x v="9"/>
    <n v="38"/>
    <n v="4.63"/>
    <n v="22"/>
    <n v="5.96"/>
    <n v="16"/>
    <n v="3.57"/>
    <x v="0"/>
  </r>
  <r>
    <x v="0"/>
    <s v="駿東郡長泉町"/>
    <x v="41"/>
    <x v="10"/>
    <n v="51"/>
    <n v="6.21"/>
    <n v="36"/>
    <n v="9.76"/>
    <n v="14"/>
    <n v="3.13"/>
    <x v="0"/>
  </r>
  <r>
    <x v="0"/>
    <s v="駿東郡長泉町"/>
    <x v="41"/>
    <x v="11"/>
    <n v="88"/>
    <n v="10.72"/>
    <n v="69"/>
    <n v="18.7"/>
    <n v="19"/>
    <n v="4.24"/>
    <x v="0"/>
  </r>
  <r>
    <x v="0"/>
    <s v="駿東郡長泉町"/>
    <x v="41"/>
    <x v="12"/>
    <n v="48"/>
    <n v="5.85"/>
    <n v="33"/>
    <n v="8.94"/>
    <n v="13"/>
    <n v="2.9"/>
    <x v="0"/>
  </r>
  <r>
    <x v="0"/>
    <s v="駿東郡長泉町"/>
    <x v="41"/>
    <x v="13"/>
    <n v="34"/>
    <n v="4.1399999999999997"/>
    <n v="24"/>
    <n v="6.5"/>
    <n v="9"/>
    <n v="2.0099999999999998"/>
    <x v="0"/>
  </r>
  <r>
    <x v="0"/>
    <s v="駿東郡長泉町"/>
    <x v="41"/>
    <x v="14"/>
    <n v="43"/>
    <n v="5.24"/>
    <n v="14"/>
    <n v="3.79"/>
    <n v="29"/>
    <n v="6.47"/>
    <x v="0"/>
  </r>
  <r>
    <x v="0"/>
    <s v="駿東郡小山町"/>
    <x v="42"/>
    <x v="0"/>
    <n v="0"/>
    <n v="0"/>
    <n v="0"/>
    <n v="0"/>
    <n v="0"/>
    <n v="0"/>
    <x v="0"/>
  </r>
  <r>
    <x v="0"/>
    <s v="駿東郡小山町"/>
    <x v="42"/>
    <x v="1"/>
    <n v="50"/>
    <n v="13.26"/>
    <n v="15"/>
    <n v="7.89"/>
    <n v="35"/>
    <n v="19.66"/>
    <x v="0"/>
  </r>
  <r>
    <x v="0"/>
    <s v="駿東郡小山町"/>
    <x v="42"/>
    <x v="2"/>
    <n v="36"/>
    <n v="9.5500000000000007"/>
    <n v="8"/>
    <n v="4.21"/>
    <n v="28"/>
    <n v="15.73"/>
    <x v="0"/>
  </r>
  <r>
    <x v="0"/>
    <s v="駿東郡小山町"/>
    <x v="42"/>
    <x v="3"/>
    <n v="2"/>
    <n v="0.53"/>
    <n v="0"/>
    <n v="0"/>
    <n v="0"/>
    <n v="0"/>
    <x v="0"/>
  </r>
  <r>
    <x v="0"/>
    <s v="駿東郡小山町"/>
    <x v="42"/>
    <x v="4"/>
    <n v="3"/>
    <n v="0.8"/>
    <n v="0"/>
    <n v="0"/>
    <n v="3"/>
    <n v="1.69"/>
    <x v="0"/>
  </r>
  <r>
    <x v="0"/>
    <s v="駿東郡小山町"/>
    <x v="42"/>
    <x v="5"/>
    <n v="5"/>
    <n v="1.33"/>
    <n v="0"/>
    <n v="0"/>
    <n v="5"/>
    <n v="2.81"/>
    <x v="0"/>
  </r>
  <r>
    <x v="0"/>
    <s v="駿東郡小山町"/>
    <x v="42"/>
    <x v="6"/>
    <n v="96"/>
    <n v="25.46"/>
    <n v="50"/>
    <n v="26.32"/>
    <n v="46"/>
    <n v="25.84"/>
    <x v="0"/>
  </r>
  <r>
    <x v="0"/>
    <s v="駿東郡小山町"/>
    <x v="42"/>
    <x v="7"/>
    <n v="0"/>
    <n v="0"/>
    <n v="0"/>
    <n v="0"/>
    <n v="0"/>
    <n v="0"/>
    <x v="0"/>
  </r>
  <r>
    <x v="0"/>
    <s v="駿東郡小山町"/>
    <x v="42"/>
    <x v="8"/>
    <n v="28"/>
    <n v="7.43"/>
    <n v="15"/>
    <n v="7.89"/>
    <n v="11"/>
    <n v="6.18"/>
    <x v="0"/>
  </r>
  <r>
    <x v="0"/>
    <s v="駿東郡小山町"/>
    <x v="42"/>
    <x v="9"/>
    <n v="18"/>
    <n v="4.7699999999999996"/>
    <n v="7"/>
    <n v="3.68"/>
    <n v="9"/>
    <n v="5.0599999999999996"/>
    <x v="0"/>
  </r>
  <r>
    <x v="0"/>
    <s v="駿東郡小山町"/>
    <x v="42"/>
    <x v="10"/>
    <n v="59"/>
    <n v="15.65"/>
    <n v="40"/>
    <n v="21.05"/>
    <n v="19"/>
    <n v="10.67"/>
    <x v="0"/>
  </r>
  <r>
    <x v="0"/>
    <s v="駿東郡小山町"/>
    <x v="42"/>
    <x v="11"/>
    <n v="41"/>
    <n v="10.88"/>
    <n v="32"/>
    <n v="16.84"/>
    <n v="8"/>
    <n v="4.49"/>
    <x v="0"/>
  </r>
  <r>
    <x v="0"/>
    <s v="駿東郡小山町"/>
    <x v="42"/>
    <x v="12"/>
    <n v="13"/>
    <n v="3.45"/>
    <n v="12"/>
    <n v="6.32"/>
    <n v="1"/>
    <n v="0.56000000000000005"/>
    <x v="0"/>
  </r>
  <r>
    <x v="0"/>
    <s v="駿東郡小山町"/>
    <x v="42"/>
    <x v="13"/>
    <n v="8"/>
    <n v="2.12"/>
    <n v="3"/>
    <n v="1.58"/>
    <n v="3"/>
    <n v="1.69"/>
    <x v="7"/>
  </r>
  <r>
    <x v="0"/>
    <s v="駿東郡小山町"/>
    <x v="42"/>
    <x v="14"/>
    <n v="18"/>
    <n v="4.7699999999999996"/>
    <n v="8"/>
    <n v="4.21"/>
    <n v="10"/>
    <n v="5.62"/>
    <x v="0"/>
  </r>
  <r>
    <x v="0"/>
    <s v="榛原郡吉田町"/>
    <x v="43"/>
    <x v="0"/>
    <n v="0"/>
    <n v="0"/>
    <n v="0"/>
    <n v="0"/>
    <n v="0"/>
    <n v="0"/>
    <x v="0"/>
  </r>
  <r>
    <x v="0"/>
    <s v="榛原郡吉田町"/>
    <x v="43"/>
    <x v="1"/>
    <n v="120"/>
    <n v="15.89"/>
    <n v="46"/>
    <n v="12.17"/>
    <n v="74"/>
    <n v="20.96"/>
    <x v="0"/>
  </r>
  <r>
    <x v="0"/>
    <s v="榛原郡吉田町"/>
    <x v="43"/>
    <x v="2"/>
    <n v="152"/>
    <n v="20.13"/>
    <n v="59"/>
    <n v="15.61"/>
    <n v="93"/>
    <n v="26.35"/>
    <x v="0"/>
  </r>
  <r>
    <x v="0"/>
    <s v="榛原郡吉田町"/>
    <x v="43"/>
    <x v="3"/>
    <n v="3"/>
    <n v="0.4"/>
    <n v="1"/>
    <n v="0.26"/>
    <n v="1"/>
    <n v="0.28000000000000003"/>
    <x v="1"/>
  </r>
  <r>
    <x v="0"/>
    <s v="榛原郡吉田町"/>
    <x v="43"/>
    <x v="4"/>
    <n v="4"/>
    <n v="0.53"/>
    <n v="0"/>
    <n v="0"/>
    <n v="4"/>
    <n v="1.1299999999999999"/>
    <x v="0"/>
  </r>
  <r>
    <x v="0"/>
    <s v="榛原郡吉田町"/>
    <x v="43"/>
    <x v="5"/>
    <n v="14"/>
    <n v="1.85"/>
    <n v="1"/>
    <n v="0.26"/>
    <n v="13"/>
    <n v="3.68"/>
    <x v="0"/>
  </r>
  <r>
    <x v="0"/>
    <s v="榛原郡吉田町"/>
    <x v="43"/>
    <x v="6"/>
    <n v="164"/>
    <n v="21.72"/>
    <n v="83"/>
    <n v="21.96"/>
    <n v="80"/>
    <n v="22.66"/>
    <x v="0"/>
  </r>
  <r>
    <x v="0"/>
    <s v="榛原郡吉田町"/>
    <x v="43"/>
    <x v="7"/>
    <n v="5"/>
    <n v="0.66"/>
    <n v="1"/>
    <n v="0.26"/>
    <n v="4"/>
    <n v="1.1299999999999999"/>
    <x v="0"/>
  </r>
  <r>
    <x v="0"/>
    <s v="榛原郡吉田町"/>
    <x v="43"/>
    <x v="8"/>
    <n v="39"/>
    <n v="5.17"/>
    <n v="12"/>
    <n v="3.17"/>
    <n v="27"/>
    <n v="7.65"/>
    <x v="0"/>
  </r>
  <r>
    <x v="0"/>
    <s v="榛原郡吉田町"/>
    <x v="43"/>
    <x v="9"/>
    <n v="26"/>
    <n v="3.44"/>
    <n v="13"/>
    <n v="3.44"/>
    <n v="12"/>
    <n v="3.4"/>
    <x v="0"/>
  </r>
  <r>
    <x v="0"/>
    <s v="榛原郡吉田町"/>
    <x v="43"/>
    <x v="10"/>
    <n v="59"/>
    <n v="7.81"/>
    <n v="50"/>
    <n v="13.23"/>
    <n v="9"/>
    <n v="2.5499999999999998"/>
    <x v="0"/>
  </r>
  <r>
    <x v="0"/>
    <s v="榛原郡吉田町"/>
    <x v="43"/>
    <x v="11"/>
    <n v="91"/>
    <n v="12.05"/>
    <n v="72"/>
    <n v="19.05"/>
    <n v="18"/>
    <n v="5.0999999999999996"/>
    <x v="0"/>
  </r>
  <r>
    <x v="0"/>
    <s v="榛原郡吉田町"/>
    <x v="43"/>
    <x v="12"/>
    <n v="23"/>
    <n v="3.05"/>
    <n v="15"/>
    <n v="3.97"/>
    <n v="5"/>
    <n v="1.42"/>
    <x v="0"/>
  </r>
  <r>
    <x v="0"/>
    <s v="榛原郡吉田町"/>
    <x v="43"/>
    <x v="13"/>
    <n v="38"/>
    <n v="5.03"/>
    <n v="17"/>
    <n v="4.5"/>
    <n v="4"/>
    <n v="1.1299999999999999"/>
    <x v="0"/>
  </r>
  <r>
    <x v="0"/>
    <s v="榛原郡吉田町"/>
    <x v="43"/>
    <x v="14"/>
    <n v="17"/>
    <n v="2.25"/>
    <n v="8"/>
    <n v="2.12"/>
    <n v="9"/>
    <n v="2.5499999999999998"/>
    <x v="0"/>
  </r>
  <r>
    <x v="0"/>
    <s v="榛原郡川根本町"/>
    <x v="44"/>
    <x v="0"/>
    <n v="1"/>
    <n v="0.34"/>
    <n v="0"/>
    <n v="0"/>
    <n v="1"/>
    <n v="1.28"/>
    <x v="0"/>
  </r>
  <r>
    <x v="0"/>
    <s v="榛原郡川根本町"/>
    <x v="44"/>
    <x v="1"/>
    <n v="46"/>
    <n v="15.59"/>
    <n v="22"/>
    <n v="10.58"/>
    <n v="24"/>
    <n v="30.77"/>
    <x v="0"/>
  </r>
  <r>
    <x v="0"/>
    <s v="榛原郡川根本町"/>
    <x v="44"/>
    <x v="2"/>
    <n v="38"/>
    <n v="12.88"/>
    <n v="23"/>
    <n v="11.06"/>
    <n v="12"/>
    <n v="15.38"/>
    <x v="12"/>
  </r>
  <r>
    <x v="0"/>
    <s v="榛原郡川根本町"/>
    <x v="44"/>
    <x v="3"/>
    <n v="3"/>
    <n v="1.02"/>
    <n v="0"/>
    <n v="0"/>
    <n v="3"/>
    <n v="3.85"/>
    <x v="0"/>
  </r>
  <r>
    <x v="0"/>
    <s v="榛原郡川根本町"/>
    <x v="44"/>
    <x v="4"/>
    <n v="2"/>
    <n v="0.68"/>
    <n v="0"/>
    <n v="0"/>
    <n v="2"/>
    <n v="2.56"/>
    <x v="0"/>
  </r>
  <r>
    <x v="0"/>
    <s v="榛原郡川根本町"/>
    <x v="44"/>
    <x v="5"/>
    <n v="1"/>
    <n v="0.34"/>
    <n v="0"/>
    <n v="0"/>
    <n v="0"/>
    <n v="0"/>
    <x v="1"/>
  </r>
  <r>
    <x v="0"/>
    <s v="榛原郡川根本町"/>
    <x v="44"/>
    <x v="6"/>
    <n v="90"/>
    <n v="30.51"/>
    <n v="70"/>
    <n v="33.65"/>
    <n v="18"/>
    <n v="23.08"/>
    <x v="7"/>
  </r>
  <r>
    <x v="0"/>
    <s v="榛原郡川根本町"/>
    <x v="44"/>
    <x v="7"/>
    <n v="0"/>
    <n v="0"/>
    <n v="0"/>
    <n v="0"/>
    <n v="0"/>
    <n v="0"/>
    <x v="0"/>
  </r>
  <r>
    <x v="0"/>
    <s v="榛原郡川根本町"/>
    <x v="44"/>
    <x v="8"/>
    <n v="3"/>
    <n v="1.02"/>
    <n v="1"/>
    <n v="0.48"/>
    <n v="2"/>
    <n v="2.56"/>
    <x v="0"/>
  </r>
  <r>
    <x v="0"/>
    <s v="榛原郡川根本町"/>
    <x v="44"/>
    <x v="9"/>
    <n v="4"/>
    <n v="1.36"/>
    <n v="3"/>
    <n v="1.44"/>
    <n v="1"/>
    <n v="1.28"/>
    <x v="0"/>
  </r>
  <r>
    <x v="0"/>
    <s v="榛原郡川根本町"/>
    <x v="44"/>
    <x v="10"/>
    <n v="50"/>
    <n v="16.95"/>
    <n v="45"/>
    <n v="21.63"/>
    <n v="5"/>
    <n v="6.41"/>
    <x v="0"/>
  </r>
  <r>
    <x v="0"/>
    <s v="榛原郡川根本町"/>
    <x v="44"/>
    <x v="11"/>
    <n v="28"/>
    <n v="9.49"/>
    <n v="28"/>
    <n v="13.46"/>
    <n v="0"/>
    <n v="0"/>
    <x v="0"/>
  </r>
  <r>
    <x v="0"/>
    <s v="榛原郡川根本町"/>
    <x v="44"/>
    <x v="12"/>
    <n v="5"/>
    <n v="1.69"/>
    <n v="4"/>
    <n v="1.92"/>
    <n v="0"/>
    <n v="0"/>
    <x v="0"/>
  </r>
  <r>
    <x v="0"/>
    <s v="榛原郡川根本町"/>
    <x v="44"/>
    <x v="13"/>
    <n v="15"/>
    <n v="5.08"/>
    <n v="8"/>
    <n v="3.85"/>
    <n v="5"/>
    <n v="6.41"/>
    <x v="0"/>
  </r>
  <r>
    <x v="0"/>
    <s v="榛原郡川根本町"/>
    <x v="44"/>
    <x v="14"/>
    <n v="9"/>
    <n v="3.05"/>
    <n v="4"/>
    <n v="1.92"/>
    <n v="5"/>
    <n v="6.41"/>
    <x v="0"/>
  </r>
  <r>
    <x v="0"/>
    <s v="周智郡森町"/>
    <x v="45"/>
    <x v="0"/>
    <n v="0"/>
    <n v="0"/>
    <n v="0"/>
    <n v="0"/>
    <n v="0"/>
    <n v="0"/>
    <x v="0"/>
  </r>
  <r>
    <x v="0"/>
    <s v="周智郡森町"/>
    <x v="45"/>
    <x v="1"/>
    <n v="105"/>
    <n v="22.25"/>
    <n v="52"/>
    <n v="17.63"/>
    <n v="53"/>
    <n v="31.36"/>
    <x v="0"/>
  </r>
  <r>
    <x v="0"/>
    <s v="周智郡森町"/>
    <x v="45"/>
    <x v="2"/>
    <n v="62"/>
    <n v="13.14"/>
    <n v="27"/>
    <n v="9.15"/>
    <n v="35"/>
    <n v="20.71"/>
    <x v="0"/>
  </r>
  <r>
    <x v="0"/>
    <s v="周智郡森町"/>
    <x v="45"/>
    <x v="3"/>
    <n v="0"/>
    <n v="0"/>
    <n v="0"/>
    <n v="0"/>
    <n v="0"/>
    <n v="0"/>
    <x v="0"/>
  </r>
  <r>
    <x v="0"/>
    <s v="周智郡森町"/>
    <x v="45"/>
    <x v="4"/>
    <n v="3"/>
    <n v="0.64"/>
    <n v="1"/>
    <n v="0.34"/>
    <n v="2"/>
    <n v="1.18"/>
    <x v="0"/>
  </r>
  <r>
    <x v="0"/>
    <s v="周智郡森町"/>
    <x v="45"/>
    <x v="5"/>
    <n v="4"/>
    <n v="0.85"/>
    <n v="1"/>
    <n v="0.34"/>
    <n v="3"/>
    <n v="1.78"/>
    <x v="0"/>
  </r>
  <r>
    <x v="0"/>
    <s v="周智郡森町"/>
    <x v="45"/>
    <x v="6"/>
    <n v="122"/>
    <n v="25.85"/>
    <n v="76"/>
    <n v="25.76"/>
    <n v="45"/>
    <n v="26.63"/>
    <x v="1"/>
  </r>
  <r>
    <x v="0"/>
    <s v="周智郡森町"/>
    <x v="45"/>
    <x v="7"/>
    <n v="3"/>
    <n v="0.64"/>
    <n v="0"/>
    <n v="0"/>
    <n v="3"/>
    <n v="1.78"/>
    <x v="0"/>
  </r>
  <r>
    <x v="0"/>
    <s v="周智郡森町"/>
    <x v="45"/>
    <x v="8"/>
    <n v="15"/>
    <n v="3.18"/>
    <n v="6"/>
    <n v="2.0299999999999998"/>
    <n v="8"/>
    <n v="4.7300000000000004"/>
    <x v="0"/>
  </r>
  <r>
    <x v="0"/>
    <s v="周智郡森町"/>
    <x v="45"/>
    <x v="9"/>
    <n v="21"/>
    <n v="4.45"/>
    <n v="14"/>
    <n v="4.75"/>
    <n v="7"/>
    <n v="4.1399999999999997"/>
    <x v="0"/>
  </r>
  <r>
    <x v="0"/>
    <s v="周智郡森町"/>
    <x v="45"/>
    <x v="10"/>
    <n v="27"/>
    <n v="5.72"/>
    <n v="25"/>
    <n v="8.4700000000000006"/>
    <n v="2"/>
    <n v="1.18"/>
    <x v="0"/>
  </r>
  <r>
    <x v="0"/>
    <s v="周智郡森町"/>
    <x v="45"/>
    <x v="11"/>
    <n v="54"/>
    <n v="11.44"/>
    <n v="49"/>
    <n v="16.61"/>
    <n v="4"/>
    <n v="2.37"/>
    <x v="0"/>
  </r>
  <r>
    <x v="0"/>
    <s v="周智郡森町"/>
    <x v="45"/>
    <x v="12"/>
    <n v="19"/>
    <n v="4.03"/>
    <n v="18"/>
    <n v="6.1"/>
    <n v="0"/>
    <n v="0"/>
    <x v="0"/>
  </r>
  <r>
    <x v="0"/>
    <s v="周智郡森町"/>
    <x v="45"/>
    <x v="13"/>
    <n v="23"/>
    <n v="4.87"/>
    <n v="18"/>
    <n v="6.1"/>
    <n v="3"/>
    <n v="1.78"/>
    <x v="7"/>
  </r>
  <r>
    <x v="0"/>
    <s v="周智郡森町"/>
    <x v="45"/>
    <x v="14"/>
    <n v="14"/>
    <n v="2.97"/>
    <n v="8"/>
    <n v="2.71"/>
    <n v="4"/>
    <n v="2.37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49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2"/>
  </r>
  <r>
    <x v="0"/>
    <x v="0"/>
    <x v="0"/>
    <x v="3"/>
    <x v="3"/>
    <x v="3"/>
    <x v="3"/>
    <x v="3"/>
    <x v="3"/>
    <x v="3"/>
    <x v="3"/>
    <x v="3"/>
    <x v="3"/>
    <x v="3"/>
  </r>
  <r>
    <x v="0"/>
    <x v="0"/>
    <x v="0"/>
    <x v="4"/>
    <x v="4"/>
    <x v="4"/>
    <x v="4"/>
    <x v="4"/>
    <x v="4"/>
    <x v="4"/>
    <x v="4"/>
    <x v="4"/>
    <x v="4"/>
    <x v="4"/>
  </r>
  <r>
    <x v="0"/>
    <x v="0"/>
    <x v="0"/>
    <x v="5"/>
    <x v="5"/>
    <x v="5"/>
    <x v="5"/>
    <x v="5"/>
    <x v="5"/>
    <x v="5"/>
    <x v="5"/>
    <x v="5"/>
    <x v="5"/>
    <x v="4"/>
  </r>
  <r>
    <x v="0"/>
    <x v="0"/>
    <x v="0"/>
    <x v="6"/>
    <x v="6"/>
    <x v="6"/>
    <x v="6"/>
    <x v="6"/>
    <x v="6"/>
    <x v="6"/>
    <x v="6"/>
    <x v="6"/>
    <x v="6"/>
    <x v="5"/>
  </r>
  <r>
    <x v="0"/>
    <x v="0"/>
    <x v="0"/>
    <x v="7"/>
    <x v="7"/>
    <x v="7"/>
    <x v="7"/>
    <x v="7"/>
    <x v="7"/>
    <x v="7"/>
    <x v="7"/>
    <x v="7"/>
    <x v="7"/>
    <x v="6"/>
  </r>
  <r>
    <x v="0"/>
    <x v="0"/>
    <x v="0"/>
    <x v="8"/>
    <x v="8"/>
    <x v="8"/>
    <x v="8"/>
    <x v="8"/>
    <x v="8"/>
    <x v="8"/>
    <x v="8"/>
    <x v="8"/>
    <x v="5"/>
    <x v="7"/>
  </r>
  <r>
    <x v="0"/>
    <x v="0"/>
    <x v="0"/>
    <x v="9"/>
    <x v="9"/>
    <x v="9"/>
    <x v="9"/>
    <x v="9"/>
    <x v="9"/>
    <x v="9"/>
    <x v="9"/>
    <x v="9"/>
    <x v="8"/>
    <x v="4"/>
  </r>
  <r>
    <x v="0"/>
    <x v="0"/>
    <x v="0"/>
    <x v="10"/>
    <x v="10"/>
    <x v="10"/>
    <x v="10"/>
    <x v="10"/>
    <x v="10"/>
    <x v="10"/>
    <x v="10"/>
    <x v="10"/>
    <x v="9"/>
    <x v="7"/>
  </r>
  <r>
    <x v="0"/>
    <x v="0"/>
    <x v="0"/>
    <x v="11"/>
    <x v="11"/>
    <x v="11"/>
    <x v="11"/>
    <x v="11"/>
    <x v="11"/>
    <x v="11"/>
    <x v="11"/>
    <x v="11"/>
    <x v="10"/>
    <x v="7"/>
  </r>
  <r>
    <x v="0"/>
    <x v="0"/>
    <x v="0"/>
    <x v="12"/>
    <x v="12"/>
    <x v="12"/>
    <x v="12"/>
    <x v="12"/>
    <x v="12"/>
    <x v="12"/>
    <x v="12"/>
    <x v="12"/>
    <x v="11"/>
    <x v="4"/>
  </r>
  <r>
    <x v="0"/>
    <x v="0"/>
    <x v="0"/>
    <x v="13"/>
    <x v="13"/>
    <x v="13"/>
    <x v="13"/>
    <x v="13"/>
    <x v="13"/>
    <x v="13"/>
    <x v="13"/>
    <x v="13"/>
    <x v="12"/>
    <x v="4"/>
  </r>
  <r>
    <x v="0"/>
    <x v="0"/>
    <x v="0"/>
    <x v="14"/>
    <x v="14"/>
    <x v="14"/>
    <x v="14"/>
    <x v="14"/>
    <x v="14"/>
    <x v="14"/>
    <x v="14"/>
    <x v="14"/>
    <x v="13"/>
    <x v="4"/>
  </r>
  <r>
    <x v="0"/>
    <x v="0"/>
    <x v="0"/>
    <x v="15"/>
    <x v="15"/>
    <x v="15"/>
    <x v="15"/>
    <x v="15"/>
    <x v="15"/>
    <x v="15"/>
    <x v="15"/>
    <x v="15"/>
    <x v="14"/>
    <x v="4"/>
  </r>
  <r>
    <x v="0"/>
    <x v="0"/>
    <x v="0"/>
    <x v="16"/>
    <x v="16"/>
    <x v="16"/>
    <x v="16"/>
    <x v="16"/>
    <x v="15"/>
    <x v="16"/>
    <x v="16"/>
    <x v="16"/>
    <x v="15"/>
    <x v="8"/>
  </r>
  <r>
    <x v="0"/>
    <x v="0"/>
    <x v="0"/>
    <x v="17"/>
    <x v="17"/>
    <x v="17"/>
    <x v="17"/>
    <x v="17"/>
    <x v="15"/>
    <x v="17"/>
    <x v="17"/>
    <x v="17"/>
    <x v="16"/>
    <x v="4"/>
  </r>
  <r>
    <x v="0"/>
    <x v="0"/>
    <x v="0"/>
    <x v="18"/>
    <x v="18"/>
    <x v="18"/>
    <x v="18"/>
    <x v="18"/>
    <x v="16"/>
    <x v="18"/>
    <x v="18"/>
    <x v="18"/>
    <x v="17"/>
    <x v="4"/>
  </r>
  <r>
    <x v="0"/>
    <x v="0"/>
    <x v="0"/>
    <x v="19"/>
    <x v="19"/>
    <x v="19"/>
    <x v="19"/>
    <x v="19"/>
    <x v="17"/>
    <x v="19"/>
    <x v="19"/>
    <x v="19"/>
    <x v="18"/>
    <x v="4"/>
  </r>
  <r>
    <x v="0"/>
    <x v="1"/>
    <x v="1"/>
    <x v="0"/>
    <x v="0"/>
    <x v="0"/>
    <x v="0"/>
    <x v="20"/>
    <x v="18"/>
    <x v="20"/>
    <x v="20"/>
    <x v="20"/>
    <x v="19"/>
    <x v="7"/>
  </r>
  <r>
    <x v="0"/>
    <x v="1"/>
    <x v="1"/>
    <x v="1"/>
    <x v="1"/>
    <x v="1"/>
    <x v="1"/>
    <x v="21"/>
    <x v="19"/>
    <x v="21"/>
    <x v="21"/>
    <x v="21"/>
    <x v="20"/>
    <x v="7"/>
  </r>
  <r>
    <x v="0"/>
    <x v="1"/>
    <x v="1"/>
    <x v="2"/>
    <x v="2"/>
    <x v="2"/>
    <x v="2"/>
    <x v="22"/>
    <x v="20"/>
    <x v="22"/>
    <x v="22"/>
    <x v="22"/>
    <x v="21"/>
    <x v="0"/>
  </r>
  <r>
    <x v="0"/>
    <x v="1"/>
    <x v="1"/>
    <x v="3"/>
    <x v="3"/>
    <x v="3"/>
    <x v="3"/>
    <x v="23"/>
    <x v="21"/>
    <x v="23"/>
    <x v="23"/>
    <x v="23"/>
    <x v="22"/>
    <x v="7"/>
  </r>
  <r>
    <x v="0"/>
    <x v="1"/>
    <x v="1"/>
    <x v="4"/>
    <x v="4"/>
    <x v="4"/>
    <x v="4"/>
    <x v="24"/>
    <x v="22"/>
    <x v="24"/>
    <x v="24"/>
    <x v="24"/>
    <x v="23"/>
    <x v="4"/>
  </r>
  <r>
    <x v="0"/>
    <x v="1"/>
    <x v="1"/>
    <x v="5"/>
    <x v="5"/>
    <x v="5"/>
    <x v="5"/>
    <x v="25"/>
    <x v="23"/>
    <x v="25"/>
    <x v="25"/>
    <x v="25"/>
    <x v="24"/>
    <x v="4"/>
  </r>
  <r>
    <x v="0"/>
    <x v="1"/>
    <x v="1"/>
    <x v="6"/>
    <x v="6"/>
    <x v="6"/>
    <x v="6"/>
    <x v="26"/>
    <x v="24"/>
    <x v="26"/>
    <x v="26"/>
    <x v="26"/>
    <x v="25"/>
    <x v="7"/>
  </r>
  <r>
    <x v="0"/>
    <x v="1"/>
    <x v="1"/>
    <x v="8"/>
    <x v="8"/>
    <x v="8"/>
    <x v="7"/>
    <x v="27"/>
    <x v="25"/>
    <x v="27"/>
    <x v="27"/>
    <x v="27"/>
    <x v="26"/>
    <x v="4"/>
  </r>
  <r>
    <x v="0"/>
    <x v="1"/>
    <x v="1"/>
    <x v="7"/>
    <x v="7"/>
    <x v="7"/>
    <x v="8"/>
    <x v="28"/>
    <x v="26"/>
    <x v="28"/>
    <x v="28"/>
    <x v="28"/>
    <x v="27"/>
    <x v="9"/>
  </r>
  <r>
    <x v="0"/>
    <x v="1"/>
    <x v="1"/>
    <x v="11"/>
    <x v="11"/>
    <x v="11"/>
    <x v="9"/>
    <x v="29"/>
    <x v="27"/>
    <x v="29"/>
    <x v="29"/>
    <x v="29"/>
    <x v="28"/>
    <x v="4"/>
  </r>
  <r>
    <x v="0"/>
    <x v="1"/>
    <x v="1"/>
    <x v="10"/>
    <x v="10"/>
    <x v="10"/>
    <x v="10"/>
    <x v="30"/>
    <x v="10"/>
    <x v="30"/>
    <x v="7"/>
    <x v="30"/>
    <x v="29"/>
    <x v="4"/>
  </r>
  <r>
    <x v="0"/>
    <x v="1"/>
    <x v="1"/>
    <x v="9"/>
    <x v="9"/>
    <x v="9"/>
    <x v="11"/>
    <x v="31"/>
    <x v="28"/>
    <x v="31"/>
    <x v="30"/>
    <x v="31"/>
    <x v="16"/>
    <x v="4"/>
  </r>
  <r>
    <x v="0"/>
    <x v="1"/>
    <x v="1"/>
    <x v="12"/>
    <x v="12"/>
    <x v="12"/>
    <x v="12"/>
    <x v="32"/>
    <x v="29"/>
    <x v="32"/>
    <x v="31"/>
    <x v="32"/>
    <x v="30"/>
    <x v="4"/>
  </r>
  <r>
    <x v="0"/>
    <x v="1"/>
    <x v="1"/>
    <x v="13"/>
    <x v="13"/>
    <x v="13"/>
    <x v="13"/>
    <x v="33"/>
    <x v="30"/>
    <x v="33"/>
    <x v="32"/>
    <x v="33"/>
    <x v="31"/>
    <x v="4"/>
  </r>
  <r>
    <x v="0"/>
    <x v="1"/>
    <x v="1"/>
    <x v="14"/>
    <x v="14"/>
    <x v="14"/>
    <x v="14"/>
    <x v="34"/>
    <x v="31"/>
    <x v="34"/>
    <x v="33"/>
    <x v="34"/>
    <x v="32"/>
    <x v="4"/>
  </r>
  <r>
    <x v="0"/>
    <x v="1"/>
    <x v="1"/>
    <x v="16"/>
    <x v="16"/>
    <x v="16"/>
    <x v="15"/>
    <x v="35"/>
    <x v="32"/>
    <x v="35"/>
    <x v="34"/>
    <x v="35"/>
    <x v="33"/>
    <x v="4"/>
  </r>
  <r>
    <x v="0"/>
    <x v="1"/>
    <x v="1"/>
    <x v="20"/>
    <x v="20"/>
    <x v="20"/>
    <x v="16"/>
    <x v="36"/>
    <x v="33"/>
    <x v="36"/>
    <x v="35"/>
    <x v="36"/>
    <x v="34"/>
    <x v="4"/>
  </r>
  <r>
    <x v="0"/>
    <x v="1"/>
    <x v="1"/>
    <x v="17"/>
    <x v="17"/>
    <x v="17"/>
    <x v="17"/>
    <x v="37"/>
    <x v="34"/>
    <x v="37"/>
    <x v="36"/>
    <x v="37"/>
    <x v="12"/>
    <x v="4"/>
  </r>
  <r>
    <x v="0"/>
    <x v="1"/>
    <x v="1"/>
    <x v="15"/>
    <x v="15"/>
    <x v="15"/>
    <x v="18"/>
    <x v="38"/>
    <x v="35"/>
    <x v="38"/>
    <x v="37"/>
    <x v="38"/>
    <x v="35"/>
    <x v="4"/>
  </r>
  <r>
    <x v="0"/>
    <x v="1"/>
    <x v="1"/>
    <x v="21"/>
    <x v="21"/>
    <x v="21"/>
    <x v="19"/>
    <x v="39"/>
    <x v="15"/>
    <x v="39"/>
    <x v="38"/>
    <x v="39"/>
    <x v="36"/>
    <x v="8"/>
  </r>
  <r>
    <x v="0"/>
    <x v="2"/>
    <x v="2"/>
    <x v="0"/>
    <x v="0"/>
    <x v="0"/>
    <x v="0"/>
    <x v="40"/>
    <x v="36"/>
    <x v="40"/>
    <x v="39"/>
    <x v="40"/>
    <x v="37"/>
    <x v="7"/>
  </r>
  <r>
    <x v="0"/>
    <x v="2"/>
    <x v="2"/>
    <x v="1"/>
    <x v="1"/>
    <x v="1"/>
    <x v="1"/>
    <x v="41"/>
    <x v="37"/>
    <x v="41"/>
    <x v="40"/>
    <x v="41"/>
    <x v="38"/>
    <x v="7"/>
  </r>
  <r>
    <x v="0"/>
    <x v="2"/>
    <x v="2"/>
    <x v="2"/>
    <x v="2"/>
    <x v="2"/>
    <x v="2"/>
    <x v="42"/>
    <x v="38"/>
    <x v="42"/>
    <x v="41"/>
    <x v="42"/>
    <x v="39"/>
    <x v="7"/>
  </r>
  <r>
    <x v="0"/>
    <x v="2"/>
    <x v="2"/>
    <x v="3"/>
    <x v="3"/>
    <x v="3"/>
    <x v="3"/>
    <x v="43"/>
    <x v="39"/>
    <x v="43"/>
    <x v="42"/>
    <x v="33"/>
    <x v="40"/>
    <x v="4"/>
  </r>
  <r>
    <x v="0"/>
    <x v="2"/>
    <x v="2"/>
    <x v="6"/>
    <x v="6"/>
    <x v="6"/>
    <x v="4"/>
    <x v="44"/>
    <x v="40"/>
    <x v="44"/>
    <x v="43"/>
    <x v="43"/>
    <x v="41"/>
    <x v="4"/>
  </r>
  <r>
    <x v="0"/>
    <x v="2"/>
    <x v="2"/>
    <x v="4"/>
    <x v="4"/>
    <x v="4"/>
    <x v="5"/>
    <x v="45"/>
    <x v="41"/>
    <x v="45"/>
    <x v="44"/>
    <x v="44"/>
    <x v="42"/>
    <x v="4"/>
  </r>
  <r>
    <x v="0"/>
    <x v="2"/>
    <x v="2"/>
    <x v="11"/>
    <x v="11"/>
    <x v="11"/>
    <x v="6"/>
    <x v="46"/>
    <x v="42"/>
    <x v="46"/>
    <x v="45"/>
    <x v="45"/>
    <x v="43"/>
    <x v="4"/>
  </r>
  <r>
    <x v="0"/>
    <x v="2"/>
    <x v="2"/>
    <x v="12"/>
    <x v="12"/>
    <x v="12"/>
    <x v="7"/>
    <x v="47"/>
    <x v="43"/>
    <x v="47"/>
    <x v="46"/>
    <x v="46"/>
    <x v="44"/>
    <x v="4"/>
  </r>
  <r>
    <x v="0"/>
    <x v="2"/>
    <x v="2"/>
    <x v="7"/>
    <x v="7"/>
    <x v="7"/>
    <x v="8"/>
    <x v="48"/>
    <x v="44"/>
    <x v="48"/>
    <x v="47"/>
    <x v="47"/>
    <x v="45"/>
    <x v="0"/>
  </r>
  <r>
    <x v="0"/>
    <x v="2"/>
    <x v="2"/>
    <x v="5"/>
    <x v="5"/>
    <x v="5"/>
    <x v="9"/>
    <x v="49"/>
    <x v="45"/>
    <x v="49"/>
    <x v="48"/>
    <x v="48"/>
    <x v="46"/>
    <x v="4"/>
  </r>
  <r>
    <x v="0"/>
    <x v="2"/>
    <x v="2"/>
    <x v="10"/>
    <x v="10"/>
    <x v="10"/>
    <x v="10"/>
    <x v="50"/>
    <x v="46"/>
    <x v="50"/>
    <x v="49"/>
    <x v="49"/>
    <x v="47"/>
    <x v="4"/>
  </r>
  <r>
    <x v="0"/>
    <x v="2"/>
    <x v="2"/>
    <x v="9"/>
    <x v="9"/>
    <x v="9"/>
    <x v="11"/>
    <x v="51"/>
    <x v="47"/>
    <x v="51"/>
    <x v="50"/>
    <x v="50"/>
    <x v="48"/>
    <x v="4"/>
  </r>
  <r>
    <x v="0"/>
    <x v="2"/>
    <x v="2"/>
    <x v="13"/>
    <x v="13"/>
    <x v="13"/>
    <x v="12"/>
    <x v="52"/>
    <x v="48"/>
    <x v="37"/>
    <x v="51"/>
    <x v="51"/>
    <x v="49"/>
    <x v="4"/>
  </r>
  <r>
    <x v="0"/>
    <x v="2"/>
    <x v="2"/>
    <x v="8"/>
    <x v="8"/>
    <x v="8"/>
    <x v="13"/>
    <x v="53"/>
    <x v="49"/>
    <x v="52"/>
    <x v="52"/>
    <x v="52"/>
    <x v="50"/>
    <x v="4"/>
  </r>
  <r>
    <x v="0"/>
    <x v="2"/>
    <x v="2"/>
    <x v="14"/>
    <x v="14"/>
    <x v="14"/>
    <x v="14"/>
    <x v="54"/>
    <x v="50"/>
    <x v="53"/>
    <x v="53"/>
    <x v="53"/>
    <x v="51"/>
    <x v="4"/>
  </r>
  <r>
    <x v="0"/>
    <x v="2"/>
    <x v="2"/>
    <x v="17"/>
    <x v="17"/>
    <x v="17"/>
    <x v="15"/>
    <x v="55"/>
    <x v="51"/>
    <x v="54"/>
    <x v="36"/>
    <x v="54"/>
    <x v="52"/>
    <x v="4"/>
  </r>
  <r>
    <x v="0"/>
    <x v="2"/>
    <x v="2"/>
    <x v="21"/>
    <x v="21"/>
    <x v="21"/>
    <x v="16"/>
    <x v="56"/>
    <x v="52"/>
    <x v="55"/>
    <x v="54"/>
    <x v="55"/>
    <x v="53"/>
    <x v="8"/>
  </r>
  <r>
    <x v="0"/>
    <x v="2"/>
    <x v="2"/>
    <x v="20"/>
    <x v="20"/>
    <x v="20"/>
    <x v="17"/>
    <x v="57"/>
    <x v="53"/>
    <x v="56"/>
    <x v="55"/>
    <x v="56"/>
    <x v="54"/>
    <x v="4"/>
  </r>
  <r>
    <x v="0"/>
    <x v="2"/>
    <x v="2"/>
    <x v="16"/>
    <x v="16"/>
    <x v="16"/>
    <x v="18"/>
    <x v="58"/>
    <x v="54"/>
    <x v="57"/>
    <x v="56"/>
    <x v="57"/>
    <x v="55"/>
    <x v="4"/>
  </r>
  <r>
    <x v="0"/>
    <x v="2"/>
    <x v="2"/>
    <x v="22"/>
    <x v="22"/>
    <x v="22"/>
    <x v="19"/>
    <x v="59"/>
    <x v="14"/>
    <x v="58"/>
    <x v="57"/>
    <x v="58"/>
    <x v="56"/>
    <x v="4"/>
  </r>
  <r>
    <x v="0"/>
    <x v="3"/>
    <x v="3"/>
    <x v="1"/>
    <x v="1"/>
    <x v="1"/>
    <x v="0"/>
    <x v="60"/>
    <x v="55"/>
    <x v="59"/>
    <x v="58"/>
    <x v="59"/>
    <x v="57"/>
    <x v="4"/>
  </r>
  <r>
    <x v="0"/>
    <x v="3"/>
    <x v="3"/>
    <x v="2"/>
    <x v="2"/>
    <x v="2"/>
    <x v="1"/>
    <x v="61"/>
    <x v="56"/>
    <x v="60"/>
    <x v="59"/>
    <x v="60"/>
    <x v="58"/>
    <x v="4"/>
  </r>
  <r>
    <x v="0"/>
    <x v="3"/>
    <x v="3"/>
    <x v="0"/>
    <x v="0"/>
    <x v="0"/>
    <x v="2"/>
    <x v="62"/>
    <x v="57"/>
    <x v="61"/>
    <x v="60"/>
    <x v="61"/>
    <x v="59"/>
    <x v="4"/>
  </r>
  <r>
    <x v="0"/>
    <x v="3"/>
    <x v="3"/>
    <x v="4"/>
    <x v="4"/>
    <x v="4"/>
    <x v="3"/>
    <x v="63"/>
    <x v="58"/>
    <x v="62"/>
    <x v="61"/>
    <x v="62"/>
    <x v="60"/>
    <x v="4"/>
  </r>
  <r>
    <x v="0"/>
    <x v="3"/>
    <x v="3"/>
    <x v="5"/>
    <x v="5"/>
    <x v="5"/>
    <x v="4"/>
    <x v="64"/>
    <x v="59"/>
    <x v="63"/>
    <x v="62"/>
    <x v="63"/>
    <x v="61"/>
    <x v="4"/>
  </r>
  <r>
    <x v="0"/>
    <x v="3"/>
    <x v="3"/>
    <x v="8"/>
    <x v="8"/>
    <x v="8"/>
    <x v="5"/>
    <x v="65"/>
    <x v="6"/>
    <x v="64"/>
    <x v="63"/>
    <x v="64"/>
    <x v="62"/>
    <x v="4"/>
  </r>
  <r>
    <x v="0"/>
    <x v="3"/>
    <x v="3"/>
    <x v="3"/>
    <x v="3"/>
    <x v="3"/>
    <x v="6"/>
    <x v="66"/>
    <x v="60"/>
    <x v="65"/>
    <x v="64"/>
    <x v="55"/>
    <x v="63"/>
    <x v="7"/>
  </r>
  <r>
    <x v="0"/>
    <x v="3"/>
    <x v="3"/>
    <x v="14"/>
    <x v="14"/>
    <x v="14"/>
    <x v="7"/>
    <x v="67"/>
    <x v="61"/>
    <x v="66"/>
    <x v="65"/>
    <x v="65"/>
    <x v="64"/>
    <x v="4"/>
  </r>
  <r>
    <x v="0"/>
    <x v="3"/>
    <x v="3"/>
    <x v="9"/>
    <x v="9"/>
    <x v="9"/>
    <x v="8"/>
    <x v="68"/>
    <x v="62"/>
    <x v="67"/>
    <x v="66"/>
    <x v="66"/>
    <x v="65"/>
    <x v="4"/>
  </r>
  <r>
    <x v="0"/>
    <x v="3"/>
    <x v="3"/>
    <x v="11"/>
    <x v="11"/>
    <x v="11"/>
    <x v="9"/>
    <x v="69"/>
    <x v="63"/>
    <x v="68"/>
    <x v="67"/>
    <x v="67"/>
    <x v="55"/>
    <x v="4"/>
  </r>
  <r>
    <x v="0"/>
    <x v="3"/>
    <x v="3"/>
    <x v="7"/>
    <x v="7"/>
    <x v="7"/>
    <x v="10"/>
    <x v="70"/>
    <x v="64"/>
    <x v="69"/>
    <x v="68"/>
    <x v="68"/>
    <x v="66"/>
    <x v="7"/>
  </r>
  <r>
    <x v="0"/>
    <x v="3"/>
    <x v="3"/>
    <x v="6"/>
    <x v="6"/>
    <x v="6"/>
    <x v="11"/>
    <x v="71"/>
    <x v="65"/>
    <x v="70"/>
    <x v="69"/>
    <x v="69"/>
    <x v="67"/>
    <x v="4"/>
  </r>
  <r>
    <x v="0"/>
    <x v="3"/>
    <x v="3"/>
    <x v="10"/>
    <x v="10"/>
    <x v="10"/>
    <x v="12"/>
    <x v="72"/>
    <x v="66"/>
    <x v="71"/>
    <x v="70"/>
    <x v="70"/>
    <x v="68"/>
    <x v="4"/>
  </r>
  <r>
    <x v="0"/>
    <x v="3"/>
    <x v="3"/>
    <x v="16"/>
    <x v="16"/>
    <x v="16"/>
    <x v="13"/>
    <x v="73"/>
    <x v="67"/>
    <x v="72"/>
    <x v="18"/>
    <x v="52"/>
    <x v="69"/>
    <x v="4"/>
  </r>
  <r>
    <x v="0"/>
    <x v="3"/>
    <x v="3"/>
    <x v="20"/>
    <x v="20"/>
    <x v="20"/>
    <x v="14"/>
    <x v="74"/>
    <x v="68"/>
    <x v="73"/>
    <x v="71"/>
    <x v="71"/>
    <x v="70"/>
    <x v="4"/>
  </r>
  <r>
    <x v="0"/>
    <x v="3"/>
    <x v="3"/>
    <x v="13"/>
    <x v="13"/>
    <x v="13"/>
    <x v="15"/>
    <x v="75"/>
    <x v="69"/>
    <x v="74"/>
    <x v="72"/>
    <x v="72"/>
    <x v="71"/>
    <x v="4"/>
  </r>
  <r>
    <x v="0"/>
    <x v="3"/>
    <x v="3"/>
    <x v="22"/>
    <x v="22"/>
    <x v="22"/>
    <x v="16"/>
    <x v="58"/>
    <x v="70"/>
    <x v="75"/>
    <x v="73"/>
    <x v="73"/>
    <x v="72"/>
    <x v="4"/>
  </r>
  <r>
    <x v="0"/>
    <x v="3"/>
    <x v="3"/>
    <x v="15"/>
    <x v="15"/>
    <x v="15"/>
    <x v="17"/>
    <x v="76"/>
    <x v="71"/>
    <x v="34"/>
    <x v="8"/>
    <x v="74"/>
    <x v="45"/>
    <x v="4"/>
  </r>
  <r>
    <x v="0"/>
    <x v="3"/>
    <x v="3"/>
    <x v="17"/>
    <x v="17"/>
    <x v="17"/>
    <x v="18"/>
    <x v="77"/>
    <x v="72"/>
    <x v="76"/>
    <x v="74"/>
    <x v="75"/>
    <x v="73"/>
    <x v="4"/>
  </r>
  <r>
    <x v="0"/>
    <x v="3"/>
    <x v="3"/>
    <x v="23"/>
    <x v="23"/>
    <x v="23"/>
    <x v="19"/>
    <x v="78"/>
    <x v="73"/>
    <x v="77"/>
    <x v="75"/>
    <x v="76"/>
    <x v="74"/>
    <x v="4"/>
  </r>
  <r>
    <x v="0"/>
    <x v="4"/>
    <x v="4"/>
    <x v="1"/>
    <x v="1"/>
    <x v="1"/>
    <x v="0"/>
    <x v="79"/>
    <x v="74"/>
    <x v="78"/>
    <x v="76"/>
    <x v="74"/>
    <x v="73"/>
    <x v="4"/>
  </r>
  <r>
    <x v="0"/>
    <x v="4"/>
    <x v="4"/>
    <x v="0"/>
    <x v="0"/>
    <x v="0"/>
    <x v="1"/>
    <x v="80"/>
    <x v="75"/>
    <x v="79"/>
    <x v="77"/>
    <x v="77"/>
    <x v="75"/>
    <x v="4"/>
  </r>
  <r>
    <x v="0"/>
    <x v="4"/>
    <x v="4"/>
    <x v="2"/>
    <x v="2"/>
    <x v="2"/>
    <x v="2"/>
    <x v="81"/>
    <x v="76"/>
    <x v="24"/>
    <x v="78"/>
    <x v="78"/>
    <x v="76"/>
    <x v="7"/>
  </r>
  <r>
    <x v="0"/>
    <x v="4"/>
    <x v="4"/>
    <x v="5"/>
    <x v="5"/>
    <x v="5"/>
    <x v="3"/>
    <x v="82"/>
    <x v="77"/>
    <x v="80"/>
    <x v="79"/>
    <x v="79"/>
    <x v="77"/>
    <x v="4"/>
  </r>
  <r>
    <x v="0"/>
    <x v="4"/>
    <x v="4"/>
    <x v="3"/>
    <x v="3"/>
    <x v="3"/>
    <x v="4"/>
    <x v="83"/>
    <x v="78"/>
    <x v="81"/>
    <x v="80"/>
    <x v="80"/>
    <x v="78"/>
    <x v="4"/>
  </r>
  <r>
    <x v="0"/>
    <x v="4"/>
    <x v="4"/>
    <x v="6"/>
    <x v="6"/>
    <x v="6"/>
    <x v="5"/>
    <x v="84"/>
    <x v="79"/>
    <x v="82"/>
    <x v="81"/>
    <x v="81"/>
    <x v="79"/>
    <x v="7"/>
  </r>
  <r>
    <x v="0"/>
    <x v="4"/>
    <x v="4"/>
    <x v="4"/>
    <x v="4"/>
    <x v="4"/>
    <x v="6"/>
    <x v="85"/>
    <x v="80"/>
    <x v="83"/>
    <x v="82"/>
    <x v="82"/>
    <x v="80"/>
    <x v="4"/>
  </r>
  <r>
    <x v="0"/>
    <x v="4"/>
    <x v="4"/>
    <x v="8"/>
    <x v="8"/>
    <x v="8"/>
    <x v="7"/>
    <x v="86"/>
    <x v="42"/>
    <x v="37"/>
    <x v="83"/>
    <x v="83"/>
    <x v="81"/>
    <x v="4"/>
  </r>
  <r>
    <x v="0"/>
    <x v="4"/>
    <x v="4"/>
    <x v="7"/>
    <x v="7"/>
    <x v="7"/>
    <x v="8"/>
    <x v="87"/>
    <x v="81"/>
    <x v="84"/>
    <x v="84"/>
    <x v="49"/>
    <x v="82"/>
    <x v="0"/>
  </r>
  <r>
    <x v="0"/>
    <x v="4"/>
    <x v="4"/>
    <x v="10"/>
    <x v="10"/>
    <x v="10"/>
    <x v="9"/>
    <x v="51"/>
    <x v="82"/>
    <x v="85"/>
    <x v="85"/>
    <x v="84"/>
    <x v="83"/>
    <x v="4"/>
  </r>
  <r>
    <x v="0"/>
    <x v="4"/>
    <x v="4"/>
    <x v="9"/>
    <x v="9"/>
    <x v="9"/>
    <x v="10"/>
    <x v="88"/>
    <x v="83"/>
    <x v="86"/>
    <x v="86"/>
    <x v="85"/>
    <x v="84"/>
    <x v="4"/>
  </r>
  <r>
    <x v="0"/>
    <x v="4"/>
    <x v="4"/>
    <x v="12"/>
    <x v="12"/>
    <x v="12"/>
    <x v="11"/>
    <x v="89"/>
    <x v="84"/>
    <x v="87"/>
    <x v="12"/>
    <x v="86"/>
    <x v="16"/>
    <x v="4"/>
  </r>
  <r>
    <x v="0"/>
    <x v="4"/>
    <x v="4"/>
    <x v="11"/>
    <x v="11"/>
    <x v="11"/>
    <x v="11"/>
    <x v="89"/>
    <x v="84"/>
    <x v="88"/>
    <x v="87"/>
    <x v="87"/>
    <x v="85"/>
    <x v="4"/>
  </r>
  <r>
    <x v="0"/>
    <x v="4"/>
    <x v="4"/>
    <x v="15"/>
    <x v="15"/>
    <x v="15"/>
    <x v="13"/>
    <x v="90"/>
    <x v="85"/>
    <x v="74"/>
    <x v="88"/>
    <x v="75"/>
    <x v="86"/>
    <x v="4"/>
  </r>
  <r>
    <x v="0"/>
    <x v="4"/>
    <x v="4"/>
    <x v="13"/>
    <x v="13"/>
    <x v="13"/>
    <x v="13"/>
    <x v="90"/>
    <x v="85"/>
    <x v="89"/>
    <x v="57"/>
    <x v="88"/>
    <x v="87"/>
    <x v="4"/>
  </r>
  <r>
    <x v="0"/>
    <x v="4"/>
    <x v="4"/>
    <x v="16"/>
    <x v="16"/>
    <x v="16"/>
    <x v="15"/>
    <x v="91"/>
    <x v="86"/>
    <x v="90"/>
    <x v="18"/>
    <x v="59"/>
    <x v="88"/>
    <x v="4"/>
  </r>
  <r>
    <x v="0"/>
    <x v="4"/>
    <x v="4"/>
    <x v="19"/>
    <x v="19"/>
    <x v="19"/>
    <x v="16"/>
    <x v="92"/>
    <x v="87"/>
    <x v="91"/>
    <x v="89"/>
    <x v="89"/>
    <x v="89"/>
    <x v="4"/>
  </r>
  <r>
    <x v="0"/>
    <x v="4"/>
    <x v="4"/>
    <x v="18"/>
    <x v="18"/>
    <x v="18"/>
    <x v="17"/>
    <x v="93"/>
    <x v="88"/>
    <x v="92"/>
    <x v="90"/>
    <x v="90"/>
    <x v="90"/>
    <x v="4"/>
  </r>
  <r>
    <x v="0"/>
    <x v="4"/>
    <x v="4"/>
    <x v="24"/>
    <x v="24"/>
    <x v="24"/>
    <x v="18"/>
    <x v="78"/>
    <x v="89"/>
    <x v="73"/>
    <x v="91"/>
    <x v="91"/>
    <x v="91"/>
    <x v="7"/>
  </r>
  <r>
    <x v="0"/>
    <x v="4"/>
    <x v="4"/>
    <x v="20"/>
    <x v="20"/>
    <x v="20"/>
    <x v="19"/>
    <x v="94"/>
    <x v="16"/>
    <x v="92"/>
    <x v="90"/>
    <x v="77"/>
    <x v="75"/>
    <x v="4"/>
  </r>
  <r>
    <x v="0"/>
    <x v="5"/>
    <x v="5"/>
    <x v="1"/>
    <x v="1"/>
    <x v="1"/>
    <x v="0"/>
    <x v="21"/>
    <x v="90"/>
    <x v="93"/>
    <x v="92"/>
    <x v="92"/>
    <x v="54"/>
    <x v="7"/>
  </r>
  <r>
    <x v="0"/>
    <x v="5"/>
    <x v="5"/>
    <x v="0"/>
    <x v="0"/>
    <x v="0"/>
    <x v="1"/>
    <x v="95"/>
    <x v="91"/>
    <x v="94"/>
    <x v="93"/>
    <x v="93"/>
    <x v="1"/>
    <x v="7"/>
  </r>
  <r>
    <x v="0"/>
    <x v="5"/>
    <x v="5"/>
    <x v="2"/>
    <x v="2"/>
    <x v="2"/>
    <x v="2"/>
    <x v="96"/>
    <x v="92"/>
    <x v="95"/>
    <x v="94"/>
    <x v="94"/>
    <x v="92"/>
    <x v="7"/>
  </r>
  <r>
    <x v="0"/>
    <x v="5"/>
    <x v="5"/>
    <x v="4"/>
    <x v="4"/>
    <x v="4"/>
    <x v="3"/>
    <x v="97"/>
    <x v="93"/>
    <x v="96"/>
    <x v="95"/>
    <x v="95"/>
    <x v="93"/>
    <x v="4"/>
  </r>
  <r>
    <x v="0"/>
    <x v="5"/>
    <x v="5"/>
    <x v="3"/>
    <x v="3"/>
    <x v="3"/>
    <x v="4"/>
    <x v="98"/>
    <x v="94"/>
    <x v="97"/>
    <x v="22"/>
    <x v="96"/>
    <x v="94"/>
    <x v="4"/>
  </r>
  <r>
    <x v="0"/>
    <x v="5"/>
    <x v="5"/>
    <x v="5"/>
    <x v="5"/>
    <x v="5"/>
    <x v="5"/>
    <x v="99"/>
    <x v="95"/>
    <x v="98"/>
    <x v="96"/>
    <x v="97"/>
    <x v="95"/>
    <x v="4"/>
  </r>
  <r>
    <x v="0"/>
    <x v="5"/>
    <x v="5"/>
    <x v="8"/>
    <x v="8"/>
    <x v="8"/>
    <x v="6"/>
    <x v="100"/>
    <x v="96"/>
    <x v="99"/>
    <x v="97"/>
    <x v="98"/>
    <x v="96"/>
    <x v="7"/>
  </r>
  <r>
    <x v="0"/>
    <x v="5"/>
    <x v="5"/>
    <x v="7"/>
    <x v="7"/>
    <x v="7"/>
    <x v="7"/>
    <x v="101"/>
    <x v="96"/>
    <x v="100"/>
    <x v="98"/>
    <x v="99"/>
    <x v="97"/>
    <x v="3"/>
  </r>
  <r>
    <x v="0"/>
    <x v="5"/>
    <x v="5"/>
    <x v="6"/>
    <x v="6"/>
    <x v="6"/>
    <x v="8"/>
    <x v="102"/>
    <x v="97"/>
    <x v="101"/>
    <x v="99"/>
    <x v="100"/>
    <x v="98"/>
    <x v="3"/>
  </r>
  <r>
    <x v="0"/>
    <x v="5"/>
    <x v="5"/>
    <x v="11"/>
    <x v="11"/>
    <x v="11"/>
    <x v="9"/>
    <x v="103"/>
    <x v="98"/>
    <x v="102"/>
    <x v="100"/>
    <x v="101"/>
    <x v="99"/>
    <x v="4"/>
  </r>
  <r>
    <x v="0"/>
    <x v="5"/>
    <x v="5"/>
    <x v="9"/>
    <x v="9"/>
    <x v="9"/>
    <x v="10"/>
    <x v="104"/>
    <x v="61"/>
    <x v="103"/>
    <x v="101"/>
    <x v="102"/>
    <x v="100"/>
    <x v="4"/>
  </r>
  <r>
    <x v="0"/>
    <x v="5"/>
    <x v="5"/>
    <x v="10"/>
    <x v="10"/>
    <x v="10"/>
    <x v="11"/>
    <x v="105"/>
    <x v="83"/>
    <x v="104"/>
    <x v="102"/>
    <x v="103"/>
    <x v="101"/>
    <x v="4"/>
  </r>
  <r>
    <x v="0"/>
    <x v="5"/>
    <x v="5"/>
    <x v="12"/>
    <x v="12"/>
    <x v="12"/>
    <x v="12"/>
    <x v="43"/>
    <x v="99"/>
    <x v="105"/>
    <x v="103"/>
    <x v="104"/>
    <x v="102"/>
    <x v="4"/>
  </r>
  <r>
    <x v="0"/>
    <x v="5"/>
    <x v="5"/>
    <x v="13"/>
    <x v="13"/>
    <x v="13"/>
    <x v="13"/>
    <x v="106"/>
    <x v="100"/>
    <x v="106"/>
    <x v="24"/>
    <x v="105"/>
    <x v="75"/>
    <x v="4"/>
  </r>
  <r>
    <x v="0"/>
    <x v="5"/>
    <x v="5"/>
    <x v="14"/>
    <x v="14"/>
    <x v="14"/>
    <x v="14"/>
    <x v="107"/>
    <x v="101"/>
    <x v="90"/>
    <x v="104"/>
    <x v="106"/>
    <x v="103"/>
    <x v="4"/>
  </r>
  <r>
    <x v="0"/>
    <x v="5"/>
    <x v="5"/>
    <x v="18"/>
    <x v="18"/>
    <x v="18"/>
    <x v="15"/>
    <x v="108"/>
    <x v="102"/>
    <x v="49"/>
    <x v="88"/>
    <x v="107"/>
    <x v="79"/>
    <x v="4"/>
  </r>
  <r>
    <x v="0"/>
    <x v="5"/>
    <x v="5"/>
    <x v="25"/>
    <x v="25"/>
    <x v="25"/>
    <x v="16"/>
    <x v="109"/>
    <x v="103"/>
    <x v="107"/>
    <x v="105"/>
    <x v="37"/>
    <x v="104"/>
    <x v="4"/>
  </r>
  <r>
    <x v="0"/>
    <x v="5"/>
    <x v="5"/>
    <x v="15"/>
    <x v="15"/>
    <x v="15"/>
    <x v="17"/>
    <x v="110"/>
    <x v="88"/>
    <x v="108"/>
    <x v="106"/>
    <x v="108"/>
    <x v="48"/>
    <x v="4"/>
  </r>
  <r>
    <x v="0"/>
    <x v="5"/>
    <x v="5"/>
    <x v="20"/>
    <x v="20"/>
    <x v="20"/>
    <x v="18"/>
    <x v="111"/>
    <x v="88"/>
    <x v="109"/>
    <x v="107"/>
    <x v="109"/>
    <x v="105"/>
    <x v="7"/>
  </r>
  <r>
    <x v="0"/>
    <x v="5"/>
    <x v="5"/>
    <x v="16"/>
    <x v="16"/>
    <x v="16"/>
    <x v="19"/>
    <x v="112"/>
    <x v="15"/>
    <x v="34"/>
    <x v="16"/>
    <x v="110"/>
    <x v="106"/>
    <x v="4"/>
  </r>
  <r>
    <x v="0"/>
    <x v="6"/>
    <x v="6"/>
    <x v="0"/>
    <x v="0"/>
    <x v="0"/>
    <x v="0"/>
    <x v="113"/>
    <x v="104"/>
    <x v="110"/>
    <x v="108"/>
    <x v="111"/>
    <x v="107"/>
    <x v="4"/>
  </r>
  <r>
    <x v="0"/>
    <x v="6"/>
    <x v="6"/>
    <x v="2"/>
    <x v="2"/>
    <x v="2"/>
    <x v="1"/>
    <x v="100"/>
    <x v="105"/>
    <x v="111"/>
    <x v="109"/>
    <x v="112"/>
    <x v="108"/>
    <x v="4"/>
  </r>
  <r>
    <x v="0"/>
    <x v="6"/>
    <x v="6"/>
    <x v="1"/>
    <x v="1"/>
    <x v="1"/>
    <x v="2"/>
    <x v="114"/>
    <x v="106"/>
    <x v="112"/>
    <x v="110"/>
    <x v="113"/>
    <x v="109"/>
    <x v="7"/>
  </r>
  <r>
    <x v="0"/>
    <x v="6"/>
    <x v="6"/>
    <x v="3"/>
    <x v="3"/>
    <x v="3"/>
    <x v="3"/>
    <x v="115"/>
    <x v="107"/>
    <x v="113"/>
    <x v="111"/>
    <x v="114"/>
    <x v="110"/>
    <x v="4"/>
  </r>
  <r>
    <x v="0"/>
    <x v="6"/>
    <x v="6"/>
    <x v="11"/>
    <x v="11"/>
    <x v="11"/>
    <x v="4"/>
    <x v="116"/>
    <x v="108"/>
    <x v="114"/>
    <x v="43"/>
    <x v="115"/>
    <x v="111"/>
    <x v="4"/>
  </r>
  <r>
    <x v="0"/>
    <x v="6"/>
    <x v="6"/>
    <x v="4"/>
    <x v="4"/>
    <x v="4"/>
    <x v="5"/>
    <x v="117"/>
    <x v="109"/>
    <x v="52"/>
    <x v="112"/>
    <x v="116"/>
    <x v="112"/>
    <x v="4"/>
  </r>
  <r>
    <x v="0"/>
    <x v="6"/>
    <x v="6"/>
    <x v="7"/>
    <x v="7"/>
    <x v="7"/>
    <x v="6"/>
    <x v="118"/>
    <x v="97"/>
    <x v="60"/>
    <x v="113"/>
    <x v="117"/>
    <x v="75"/>
    <x v="4"/>
  </r>
  <r>
    <x v="0"/>
    <x v="6"/>
    <x v="6"/>
    <x v="6"/>
    <x v="6"/>
    <x v="6"/>
    <x v="7"/>
    <x v="66"/>
    <x v="110"/>
    <x v="115"/>
    <x v="114"/>
    <x v="118"/>
    <x v="113"/>
    <x v="7"/>
  </r>
  <r>
    <x v="0"/>
    <x v="6"/>
    <x v="6"/>
    <x v="12"/>
    <x v="12"/>
    <x v="12"/>
    <x v="8"/>
    <x v="119"/>
    <x v="111"/>
    <x v="116"/>
    <x v="115"/>
    <x v="119"/>
    <x v="114"/>
    <x v="4"/>
  </r>
  <r>
    <x v="0"/>
    <x v="6"/>
    <x v="6"/>
    <x v="10"/>
    <x v="10"/>
    <x v="10"/>
    <x v="9"/>
    <x v="87"/>
    <x v="112"/>
    <x v="117"/>
    <x v="116"/>
    <x v="120"/>
    <x v="115"/>
    <x v="4"/>
  </r>
  <r>
    <x v="0"/>
    <x v="6"/>
    <x v="6"/>
    <x v="5"/>
    <x v="5"/>
    <x v="5"/>
    <x v="10"/>
    <x v="120"/>
    <x v="113"/>
    <x v="118"/>
    <x v="117"/>
    <x v="121"/>
    <x v="116"/>
    <x v="4"/>
  </r>
  <r>
    <x v="0"/>
    <x v="6"/>
    <x v="6"/>
    <x v="8"/>
    <x v="8"/>
    <x v="8"/>
    <x v="11"/>
    <x v="121"/>
    <x v="114"/>
    <x v="72"/>
    <x v="118"/>
    <x v="122"/>
    <x v="117"/>
    <x v="4"/>
  </r>
  <r>
    <x v="0"/>
    <x v="6"/>
    <x v="6"/>
    <x v="13"/>
    <x v="13"/>
    <x v="13"/>
    <x v="12"/>
    <x v="122"/>
    <x v="115"/>
    <x v="36"/>
    <x v="119"/>
    <x v="57"/>
    <x v="118"/>
    <x v="4"/>
  </r>
  <r>
    <x v="0"/>
    <x v="6"/>
    <x v="6"/>
    <x v="14"/>
    <x v="14"/>
    <x v="14"/>
    <x v="13"/>
    <x v="123"/>
    <x v="116"/>
    <x v="119"/>
    <x v="120"/>
    <x v="123"/>
    <x v="119"/>
    <x v="4"/>
  </r>
  <r>
    <x v="0"/>
    <x v="6"/>
    <x v="6"/>
    <x v="9"/>
    <x v="9"/>
    <x v="9"/>
    <x v="13"/>
    <x v="123"/>
    <x v="116"/>
    <x v="45"/>
    <x v="121"/>
    <x v="124"/>
    <x v="99"/>
    <x v="4"/>
  </r>
  <r>
    <x v="0"/>
    <x v="6"/>
    <x v="6"/>
    <x v="17"/>
    <x v="17"/>
    <x v="17"/>
    <x v="15"/>
    <x v="124"/>
    <x v="117"/>
    <x v="73"/>
    <x v="122"/>
    <x v="125"/>
    <x v="120"/>
    <x v="4"/>
  </r>
  <r>
    <x v="0"/>
    <x v="6"/>
    <x v="6"/>
    <x v="20"/>
    <x v="20"/>
    <x v="20"/>
    <x v="16"/>
    <x v="57"/>
    <x v="118"/>
    <x v="73"/>
    <x v="122"/>
    <x v="126"/>
    <x v="28"/>
    <x v="4"/>
  </r>
  <r>
    <x v="0"/>
    <x v="6"/>
    <x v="6"/>
    <x v="26"/>
    <x v="26"/>
    <x v="26"/>
    <x v="17"/>
    <x v="125"/>
    <x v="119"/>
    <x v="120"/>
    <x v="123"/>
    <x v="127"/>
    <x v="121"/>
    <x v="4"/>
  </r>
  <r>
    <x v="0"/>
    <x v="6"/>
    <x v="6"/>
    <x v="16"/>
    <x v="16"/>
    <x v="16"/>
    <x v="18"/>
    <x v="126"/>
    <x v="120"/>
    <x v="121"/>
    <x v="56"/>
    <x v="85"/>
    <x v="35"/>
    <x v="4"/>
  </r>
  <r>
    <x v="0"/>
    <x v="6"/>
    <x v="6"/>
    <x v="18"/>
    <x v="18"/>
    <x v="18"/>
    <x v="19"/>
    <x v="78"/>
    <x v="121"/>
    <x v="76"/>
    <x v="124"/>
    <x v="86"/>
    <x v="122"/>
    <x v="4"/>
  </r>
  <r>
    <x v="0"/>
    <x v="7"/>
    <x v="7"/>
    <x v="1"/>
    <x v="1"/>
    <x v="1"/>
    <x v="0"/>
    <x v="127"/>
    <x v="122"/>
    <x v="122"/>
    <x v="125"/>
    <x v="128"/>
    <x v="123"/>
    <x v="4"/>
  </r>
  <r>
    <x v="0"/>
    <x v="7"/>
    <x v="7"/>
    <x v="2"/>
    <x v="2"/>
    <x v="2"/>
    <x v="1"/>
    <x v="128"/>
    <x v="123"/>
    <x v="123"/>
    <x v="126"/>
    <x v="129"/>
    <x v="60"/>
    <x v="4"/>
  </r>
  <r>
    <x v="0"/>
    <x v="7"/>
    <x v="7"/>
    <x v="0"/>
    <x v="0"/>
    <x v="0"/>
    <x v="2"/>
    <x v="129"/>
    <x v="124"/>
    <x v="124"/>
    <x v="127"/>
    <x v="130"/>
    <x v="124"/>
    <x v="4"/>
  </r>
  <r>
    <x v="0"/>
    <x v="7"/>
    <x v="7"/>
    <x v="4"/>
    <x v="4"/>
    <x v="4"/>
    <x v="3"/>
    <x v="130"/>
    <x v="125"/>
    <x v="125"/>
    <x v="95"/>
    <x v="28"/>
    <x v="125"/>
    <x v="4"/>
  </r>
  <r>
    <x v="0"/>
    <x v="7"/>
    <x v="7"/>
    <x v="5"/>
    <x v="5"/>
    <x v="5"/>
    <x v="4"/>
    <x v="121"/>
    <x v="126"/>
    <x v="62"/>
    <x v="30"/>
    <x v="131"/>
    <x v="126"/>
    <x v="4"/>
  </r>
  <r>
    <x v="0"/>
    <x v="7"/>
    <x v="7"/>
    <x v="9"/>
    <x v="9"/>
    <x v="9"/>
    <x v="5"/>
    <x v="131"/>
    <x v="127"/>
    <x v="126"/>
    <x v="128"/>
    <x v="132"/>
    <x v="127"/>
    <x v="4"/>
  </r>
  <r>
    <x v="0"/>
    <x v="7"/>
    <x v="7"/>
    <x v="3"/>
    <x v="3"/>
    <x v="3"/>
    <x v="6"/>
    <x v="132"/>
    <x v="128"/>
    <x v="127"/>
    <x v="129"/>
    <x v="57"/>
    <x v="128"/>
    <x v="4"/>
  </r>
  <r>
    <x v="0"/>
    <x v="7"/>
    <x v="7"/>
    <x v="8"/>
    <x v="8"/>
    <x v="8"/>
    <x v="7"/>
    <x v="133"/>
    <x v="129"/>
    <x v="72"/>
    <x v="130"/>
    <x v="43"/>
    <x v="129"/>
    <x v="4"/>
  </r>
  <r>
    <x v="0"/>
    <x v="7"/>
    <x v="7"/>
    <x v="11"/>
    <x v="11"/>
    <x v="11"/>
    <x v="8"/>
    <x v="134"/>
    <x v="112"/>
    <x v="128"/>
    <x v="131"/>
    <x v="120"/>
    <x v="130"/>
    <x v="4"/>
  </r>
  <r>
    <x v="0"/>
    <x v="7"/>
    <x v="7"/>
    <x v="7"/>
    <x v="7"/>
    <x v="7"/>
    <x v="9"/>
    <x v="135"/>
    <x v="10"/>
    <x v="129"/>
    <x v="98"/>
    <x v="70"/>
    <x v="131"/>
    <x v="4"/>
  </r>
  <r>
    <x v="0"/>
    <x v="7"/>
    <x v="7"/>
    <x v="14"/>
    <x v="14"/>
    <x v="14"/>
    <x v="10"/>
    <x v="136"/>
    <x v="130"/>
    <x v="119"/>
    <x v="33"/>
    <x v="118"/>
    <x v="132"/>
    <x v="4"/>
  </r>
  <r>
    <x v="0"/>
    <x v="7"/>
    <x v="7"/>
    <x v="10"/>
    <x v="10"/>
    <x v="10"/>
    <x v="11"/>
    <x v="126"/>
    <x v="99"/>
    <x v="63"/>
    <x v="132"/>
    <x v="133"/>
    <x v="133"/>
    <x v="4"/>
  </r>
  <r>
    <x v="0"/>
    <x v="7"/>
    <x v="7"/>
    <x v="19"/>
    <x v="19"/>
    <x v="19"/>
    <x v="11"/>
    <x v="126"/>
    <x v="99"/>
    <x v="109"/>
    <x v="133"/>
    <x v="134"/>
    <x v="134"/>
    <x v="4"/>
  </r>
  <r>
    <x v="0"/>
    <x v="7"/>
    <x v="7"/>
    <x v="27"/>
    <x v="27"/>
    <x v="27"/>
    <x v="13"/>
    <x v="137"/>
    <x v="115"/>
    <x v="120"/>
    <x v="134"/>
    <x v="120"/>
    <x v="130"/>
    <x v="4"/>
  </r>
  <r>
    <x v="0"/>
    <x v="7"/>
    <x v="7"/>
    <x v="6"/>
    <x v="6"/>
    <x v="6"/>
    <x v="13"/>
    <x v="137"/>
    <x v="115"/>
    <x v="109"/>
    <x v="133"/>
    <x v="135"/>
    <x v="135"/>
    <x v="4"/>
  </r>
  <r>
    <x v="0"/>
    <x v="7"/>
    <x v="7"/>
    <x v="15"/>
    <x v="15"/>
    <x v="15"/>
    <x v="15"/>
    <x v="138"/>
    <x v="131"/>
    <x v="130"/>
    <x v="135"/>
    <x v="136"/>
    <x v="136"/>
    <x v="4"/>
  </r>
  <r>
    <x v="0"/>
    <x v="7"/>
    <x v="7"/>
    <x v="18"/>
    <x v="18"/>
    <x v="18"/>
    <x v="15"/>
    <x v="138"/>
    <x v="131"/>
    <x v="131"/>
    <x v="136"/>
    <x v="137"/>
    <x v="88"/>
    <x v="4"/>
  </r>
  <r>
    <x v="0"/>
    <x v="7"/>
    <x v="7"/>
    <x v="13"/>
    <x v="13"/>
    <x v="13"/>
    <x v="17"/>
    <x v="139"/>
    <x v="132"/>
    <x v="132"/>
    <x v="137"/>
    <x v="138"/>
    <x v="137"/>
    <x v="4"/>
  </r>
  <r>
    <x v="0"/>
    <x v="7"/>
    <x v="7"/>
    <x v="12"/>
    <x v="12"/>
    <x v="12"/>
    <x v="18"/>
    <x v="140"/>
    <x v="133"/>
    <x v="133"/>
    <x v="138"/>
    <x v="139"/>
    <x v="36"/>
    <x v="4"/>
  </r>
  <r>
    <x v="0"/>
    <x v="7"/>
    <x v="7"/>
    <x v="16"/>
    <x v="16"/>
    <x v="16"/>
    <x v="19"/>
    <x v="141"/>
    <x v="134"/>
    <x v="134"/>
    <x v="139"/>
    <x v="77"/>
    <x v="20"/>
    <x v="4"/>
  </r>
  <r>
    <x v="0"/>
    <x v="8"/>
    <x v="8"/>
    <x v="1"/>
    <x v="1"/>
    <x v="1"/>
    <x v="0"/>
    <x v="142"/>
    <x v="135"/>
    <x v="135"/>
    <x v="140"/>
    <x v="134"/>
    <x v="0"/>
    <x v="4"/>
  </r>
  <r>
    <x v="0"/>
    <x v="8"/>
    <x v="8"/>
    <x v="2"/>
    <x v="2"/>
    <x v="2"/>
    <x v="1"/>
    <x v="143"/>
    <x v="136"/>
    <x v="136"/>
    <x v="141"/>
    <x v="140"/>
    <x v="138"/>
    <x v="7"/>
  </r>
  <r>
    <x v="0"/>
    <x v="8"/>
    <x v="8"/>
    <x v="4"/>
    <x v="4"/>
    <x v="4"/>
    <x v="2"/>
    <x v="54"/>
    <x v="137"/>
    <x v="137"/>
    <x v="4"/>
    <x v="71"/>
    <x v="139"/>
    <x v="4"/>
  </r>
  <r>
    <x v="0"/>
    <x v="8"/>
    <x v="8"/>
    <x v="5"/>
    <x v="5"/>
    <x v="5"/>
    <x v="3"/>
    <x v="144"/>
    <x v="138"/>
    <x v="138"/>
    <x v="102"/>
    <x v="72"/>
    <x v="140"/>
    <x v="4"/>
  </r>
  <r>
    <x v="0"/>
    <x v="8"/>
    <x v="8"/>
    <x v="0"/>
    <x v="0"/>
    <x v="0"/>
    <x v="4"/>
    <x v="57"/>
    <x v="139"/>
    <x v="139"/>
    <x v="142"/>
    <x v="70"/>
    <x v="7"/>
    <x v="4"/>
  </r>
  <r>
    <x v="0"/>
    <x v="8"/>
    <x v="8"/>
    <x v="6"/>
    <x v="6"/>
    <x v="6"/>
    <x v="5"/>
    <x v="58"/>
    <x v="140"/>
    <x v="140"/>
    <x v="143"/>
    <x v="135"/>
    <x v="99"/>
    <x v="4"/>
  </r>
  <r>
    <x v="0"/>
    <x v="8"/>
    <x v="8"/>
    <x v="3"/>
    <x v="3"/>
    <x v="3"/>
    <x v="6"/>
    <x v="135"/>
    <x v="80"/>
    <x v="141"/>
    <x v="144"/>
    <x v="86"/>
    <x v="141"/>
    <x v="4"/>
  </r>
  <r>
    <x v="0"/>
    <x v="8"/>
    <x v="8"/>
    <x v="7"/>
    <x v="7"/>
    <x v="7"/>
    <x v="7"/>
    <x v="145"/>
    <x v="141"/>
    <x v="107"/>
    <x v="145"/>
    <x v="141"/>
    <x v="142"/>
    <x v="7"/>
  </r>
  <r>
    <x v="0"/>
    <x v="8"/>
    <x v="8"/>
    <x v="8"/>
    <x v="8"/>
    <x v="8"/>
    <x v="8"/>
    <x v="146"/>
    <x v="142"/>
    <x v="53"/>
    <x v="146"/>
    <x v="66"/>
    <x v="143"/>
    <x v="4"/>
  </r>
  <r>
    <x v="0"/>
    <x v="8"/>
    <x v="8"/>
    <x v="9"/>
    <x v="9"/>
    <x v="9"/>
    <x v="9"/>
    <x v="126"/>
    <x v="143"/>
    <x v="137"/>
    <x v="4"/>
    <x v="142"/>
    <x v="144"/>
    <x v="4"/>
  </r>
  <r>
    <x v="0"/>
    <x v="8"/>
    <x v="8"/>
    <x v="10"/>
    <x v="10"/>
    <x v="10"/>
    <x v="9"/>
    <x v="126"/>
    <x v="143"/>
    <x v="123"/>
    <x v="147"/>
    <x v="143"/>
    <x v="145"/>
    <x v="4"/>
  </r>
  <r>
    <x v="0"/>
    <x v="8"/>
    <x v="8"/>
    <x v="12"/>
    <x v="12"/>
    <x v="12"/>
    <x v="11"/>
    <x v="147"/>
    <x v="144"/>
    <x v="90"/>
    <x v="148"/>
    <x v="69"/>
    <x v="146"/>
    <x v="4"/>
  </r>
  <r>
    <x v="0"/>
    <x v="8"/>
    <x v="8"/>
    <x v="11"/>
    <x v="11"/>
    <x v="11"/>
    <x v="12"/>
    <x v="148"/>
    <x v="145"/>
    <x v="142"/>
    <x v="149"/>
    <x v="144"/>
    <x v="147"/>
    <x v="4"/>
  </r>
  <r>
    <x v="0"/>
    <x v="8"/>
    <x v="8"/>
    <x v="25"/>
    <x v="25"/>
    <x v="25"/>
    <x v="13"/>
    <x v="149"/>
    <x v="49"/>
    <x v="143"/>
    <x v="150"/>
    <x v="145"/>
    <x v="148"/>
    <x v="4"/>
  </r>
  <r>
    <x v="0"/>
    <x v="8"/>
    <x v="8"/>
    <x v="18"/>
    <x v="18"/>
    <x v="18"/>
    <x v="14"/>
    <x v="150"/>
    <x v="146"/>
    <x v="66"/>
    <x v="71"/>
    <x v="146"/>
    <x v="149"/>
    <x v="4"/>
  </r>
  <r>
    <x v="0"/>
    <x v="8"/>
    <x v="8"/>
    <x v="13"/>
    <x v="13"/>
    <x v="13"/>
    <x v="15"/>
    <x v="151"/>
    <x v="147"/>
    <x v="133"/>
    <x v="24"/>
    <x v="84"/>
    <x v="150"/>
    <x v="4"/>
  </r>
  <r>
    <x v="0"/>
    <x v="8"/>
    <x v="8"/>
    <x v="14"/>
    <x v="14"/>
    <x v="14"/>
    <x v="16"/>
    <x v="152"/>
    <x v="34"/>
    <x v="144"/>
    <x v="151"/>
    <x v="135"/>
    <x v="99"/>
    <x v="4"/>
  </r>
  <r>
    <x v="0"/>
    <x v="8"/>
    <x v="8"/>
    <x v="24"/>
    <x v="24"/>
    <x v="24"/>
    <x v="17"/>
    <x v="153"/>
    <x v="148"/>
    <x v="145"/>
    <x v="152"/>
    <x v="49"/>
    <x v="87"/>
    <x v="4"/>
  </r>
  <r>
    <x v="0"/>
    <x v="8"/>
    <x v="8"/>
    <x v="27"/>
    <x v="27"/>
    <x v="27"/>
    <x v="18"/>
    <x v="154"/>
    <x v="119"/>
    <x v="143"/>
    <x v="150"/>
    <x v="147"/>
    <x v="151"/>
    <x v="4"/>
  </r>
  <r>
    <x v="0"/>
    <x v="8"/>
    <x v="8"/>
    <x v="26"/>
    <x v="26"/>
    <x v="26"/>
    <x v="18"/>
    <x v="154"/>
    <x v="119"/>
    <x v="143"/>
    <x v="150"/>
    <x v="147"/>
    <x v="151"/>
    <x v="4"/>
  </r>
  <r>
    <x v="0"/>
    <x v="9"/>
    <x v="9"/>
    <x v="1"/>
    <x v="1"/>
    <x v="1"/>
    <x v="0"/>
    <x v="155"/>
    <x v="149"/>
    <x v="117"/>
    <x v="153"/>
    <x v="49"/>
    <x v="152"/>
    <x v="4"/>
  </r>
  <r>
    <x v="0"/>
    <x v="9"/>
    <x v="9"/>
    <x v="2"/>
    <x v="2"/>
    <x v="2"/>
    <x v="1"/>
    <x v="156"/>
    <x v="150"/>
    <x v="34"/>
    <x v="154"/>
    <x v="54"/>
    <x v="153"/>
    <x v="4"/>
  </r>
  <r>
    <x v="0"/>
    <x v="9"/>
    <x v="9"/>
    <x v="4"/>
    <x v="4"/>
    <x v="4"/>
    <x v="2"/>
    <x v="157"/>
    <x v="151"/>
    <x v="146"/>
    <x v="155"/>
    <x v="148"/>
    <x v="154"/>
    <x v="4"/>
  </r>
  <r>
    <x v="0"/>
    <x v="9"/>
    <x v="9"/>
    <x v="5"/>
    <x v="5"/>
    <x v="5"/>
    <x v="3"/>
    <x v="158"/>
    <x v="152"/>
    <x v="132"/>
    <x v="156"/>
    <x v="149"/>
    <x v="155"/>
    <x v="4"/>
  </r>
  <r>
    <x v="0"/>
    <x v="9"/>
    <x v="9"/>
    <x v="0"/>
    <x v="0"/>
    <x v="0"/>
    <x v="4"/>
    <x v="159"/>
    <x v="153"/>
    <x v="147"/>
    <x v="157"/>
    <x v="147"/>
    <x v="156"/>
    <x v="4"/>
  </r>
  <r>
    <x v="0"/>
    <x v="9"/>
    <x v="9"/>
    <x v="8"/>
    <x v="8"/>
    <x v="8"/>
    <x v="5"/>
    <x v="160"/>
    <x v="154"/>
    <x v="133"/>
    <x v="158"/>
    <x v="150"/>
    <x v="157"/>
    <x v="4"/>
  </r>
  <r>
    <x v="0"/>
    <x v="9"/>
    <x v="9"/>
    <x v="3"/>
    <x v="3"/>
    <x v="3"/>
    <x v="6"/>
    <x v="145"/>
    <x v="142"/>
    <x v="120"/>
    <x v="159"/>
    <x v="139"/>
    <x v="127"/>
    <x v="4"/>
  </r>
  <r>
    <x v="0"/>
    <x v="9"/>
    <x v="9"/>
    <x v="9"/>
    <x v="9"/>
    <x v="9"/>
    <x v="7"/>
    <x v="146"/>
    <x v="155"/>
    <x v="109"/>
    <x v="160"/>
    <x v="151"/>
    <x v="158"/>
    <x v="4"/>
  </r>
  <r>
    <x v="0"/>
    <x v="9"/>
    <x v="9"/>
    <x v="7"/>
    <x v="7"/>
    <x v="7"/>
    <x v="8"/>
    <x v="161"/>
    <x v="156"/>
    <x v="148"/>
    <x v="161"/>
    <x v="141"/>
    <x v="159"/>
    <x v="7"/>
  </r>
  <r>
    <x v="0"/>
    <x v="9"/>
    <x v="9"/>
    <x v="18"/>
    <x v="18"/>
    <x v="18"/>
    <x v="9"/>
    <x v="162"/>
    <x v="82"/>
    <x v="72"/>
    <x v="162"/>
    <x v="136"/>
    <x v="160"/>
    <x v="4"/>
  </r>
  <r>
    <x v="0"/>
    <x v="9"/>
    <x v="9"/>
    <x v="11"/>
    <x v="11"/>
    <x v="11"/>
    <x v="10"/>
    <x v="163"/>
    <x v="9"/>
    <x v="52"/>
    <x v="163"/>
    <x v="144"/>
    <x v="161"/>
    <x v="4"/>
  </r>
  <r>
    <x v="0"/>
    <x v="9"/>
    <x v="9"/>
    <x v="15"/>
    <x v="15"/>
    <x v="15"/>
    <x v="11"/>
    <x v="164"/>
    <x v="157"/>
    <x v="73"/>
    <x v="164"/>
    <x v="152"/>
    <x v="162"/>
    <x v="4"/>
  </r>
  <r>
    <x v="0"/>
    <x v="9"/>
    <x v="9"/>
    <x v="25"/>
    <x v="25"/>
    <x v="25"/>
    <x v="12"/>
    <x v="165"/>
    <x v="12"/>
    <x v="121"/>
    <x v="52"/>
    <x v="153"/>
    <x v="163"/>
    <x v="4"/>
  </r>
  <r>
    <x v="0"/>
    <x v="9"/>
    <x v="9"/>
    <x v="10"/>
    <x v="10"/>
    <x v="10"/>
    <x v="13"/>
    <x v="166"/>
    <x v="115"/>
    <x v="64"/>
    <x v="165"/>
    <x v="154"/>
    <x v="164"/>
    <x v="4"/>
  </r>
  <r>
    <x v="0"/>
    <x v="9"/>
    <x v="9"/>
    <x v="13"/>
    <x v="13"/>
    <x v="13"/>
    <x v="14"/>
    <x v="149"/>
    <x v="158"/>
    <x v="53"/>
    <x v="166"/>
    <x v="135"/>
    <x v="104"/>
    <x v="4"/>
  </r>
  <r>
    <x v="0"/>
    <x v="9"/>
    <x v="9"/>
    <x v="14"/>
    <x v="14"/>
    <x v="14"/>
    <x v="15"/>
    <x v="167"/>
    <x v="159"/>
    <x v="149"/>
    <x v="34"/>
    <x v="155"/>
    <x v="8"/>
    <x v="4"/>
  </r>
  <r>
    <x v="0"/>
    <x v="9"/>
    <x v="9"/>
    <x v="6"/>
    <x v="6"/>
    <x v="6"/>
    <x v="15"/>
    <x v="167"/>
    <x v="159"/>
    <x v="150"/>
    <x v="167"/>
    <x v="156"/>
    <x v="83"/>
    <x v="4"/>
  </r>
  <r>
    <x v="0"/>
    <x v="9"/>
    <x v="9"/>
    <x v="16"/>
    <x v="16"/>
    <x v="16"/>
    <x v="17"/>
    <x v="151"/>
    <x v="160"/>
    <x v="151"/>
    <x v="168"/>
    <x v="152"/>
    <x v="162"/>
    <x v="4"/>
  </r>
  <r>
    <x v="0"/>
    <x v="9"/>
    <x v="9"/>
    <x v="19"/>
    <x v="19"/>
    <x v="19"/>
    <x v="18"/>
    <x v="168"/>
    <x v="161"/>
    <x v="130"/>
    <x v="169"/>
    <x v="89"/>
    <x v="165"/>
    <x v="4"/>
  </r>
  <r>
    <x v="0"/>
    <x v="9"/>
    <x v="9"/>
    <x v="23"/>
    <x v="23"/>
    <x v="23"/>
    <x v="19"/>
    <x v="169"/>
    <x v="52"/>
    <x v="121"/>
    <x v="52"/>
    <x v="157"/>
    <x v="166"/>
    <x v="4"/>
  </r>
  <r>
    <x v="0"/>
    <x v="10"/>
    <x v="10"/>
    <x v="1"/>
    <x v="1"/>
    <x v="1"/>
    <x v="0"/>
    <x v="170"/>
    <x v="162"/>
    <x v="80"/>
    <x v="170"/>
    <x v="84"/>
    <x v="14"/>
    <x v="4"/>
  </r>
  <r>
    <x v="0"/>
    <x v="10"/>
    <x v="10"/>
    <x v="4"/>
    <x v="4"/>
    <x v="4"/>
    <x v="1"/>
    <x v="171"/>
    <x v="2"/>
    <x v="52"/>
    <x v="47"/>
    <x v="71"/>
    <x v="167"/>
    <x v="4"/>
  </r>
  <r>
    <x v="0"/>
    <x v="10"/>
    <x v="10"/>
    <x v="0"/>
    <x v="0"/>
    <x v="0"/>
    <x v="2"/>
    <x v="144"/>
    <x v="163"/>
    <x v="86"/>
    <x v="171"/>
    <x v="158"/>
    <x v="168"/>
    <x v="4"/>
  </r>
  <r>
    <x v="0"/>
    <x v="10"/>
    <x v="10"/>
    <x v="3"/>
    <x v="3"/>
    <x v="3"/>
    <x v="3"/>
    <x v="55"/>
    <x v="164"/>
    <x v="75"/>
    <x v="172"/>
    <x v="91"/>
    <x v="169"/>
    <x v="4"/>
  </r>
  <r>
    <x v="0"/>
    <x v="10"/>
    <x v="10"/>
    <x v="5"/>
    <x v="5"/>
    <x v="5"/>
    <x v="4"/>
    <x v="73"/>
    <x v="165"/>
    <x v="127"/>
    <x v="173"/>
    <x v="132"/>
    <x v="125"/>
    <x v="4"/>
  </r>
  <r>
    <x v="0"/>
    <x v="10"/>
    <x v="10"/>
    <x v="6"/>
    <x v="6"/>
    <x v="6"/>
    <x v="5"/>
    <x v="172"/>
    <x v="166"/>
    <x v="152"/>
    <x v="174"/>
    <x v="159"/>
    <x v="170"/>
    <x v="4"/>
  </r>
  <r>
    <x v="0"/>
    <x v="10"/>
    <x v="10"/>
    <x v="8"/>
    <x v="8"/>
    <x v="8"/>
    <x v="6"/>
    <x v="136"/>
    <x v="167"/>
    <x v="92"/>
    <x v="175"/>
    <x v="160"/>
    <x v="171"/>
    <x v="4"/>
  </r>
  <r>
    <x v="0"/>
    <x v="10"/>
    <x v="10"/>
    <x v="2"/>
    <x v="2"/>
    <x v="2"/>
    <x v="7"/>
    <x v="173"/>
    <x v="168"/>
    <x v="125"/>
    <x v="176"/>
    <x v="142"/>
    <x v="172"/>
    <x v="4"/>
  </r>
  <r>
    <x v="0"/>
    <x v="10"/>
    <x v="10"/>
    <x v="9"/>
    <x v="9"/>
    <x v="9"/>
    <x v="8"/>
    <x v="94"/>
    <x v="142"/>
    <x v="109"/>
    <x v="113"/>
    <x v="130"/>
    <x v="8"/>
    <x v="4"/>
  </r>
  <r>
    <x v="0"/>
    <x v="10"/>
    <x v="10"/>
    <x v="7"/>
    <x v="7"/>
    <x v="7"/>
    <x v="9"/>
    <x v="140"/>
    <x v="169"/>
    <x v="109"/>
    <x v="113"/>
    <x v="84"/>
    <x v="14"/>
    <x v="4"/>
  </r>
  <r>
    <x v="0"/>
    <x v="10"/>
    <x v="10"/>
    <x v="10"/>
    <x v="10"/>
    <x v="10"/>
    <x v="10"/>
    <x v="163"/>
    <x v="170"/>
    <x v="153"/>
    <x v="177"/>
    <x v="161"/>
    <x v="173"/>
    <x v="4"/>
  </r>
  <r>
    <x v="0"/>
    <x v="10"/>
    <x v="10"/>
    <x v="11"/>
    <x v="11"/>
    <x v="11"/>
    <x v="11"/>
    <x v="150"/>
    <x v="171"/>
    <x v="76"/>
    <x v="178"/>
    <x v="162"/>
    <x v="134"/>
    <x v="4"/>
  </r>
  <r>
    <x v="0"/>
    <x v="10"/>
    <x v="10"/>
    <x v="13"/>
    <x v="13"/>
    <x v="13"/>
    <x v="12"/>
    <x v="168"/>
    <x v="172"/>
    <x v="143"/>
    <x v="179"/>
    <x v="144"/>
    <x v="174"/>
    <x v="4"/>
  </r>
  <r>
    <x v="0"/>
    <x v="10"/>
    <x v="10"/>
    <x v="12"/>
    <x v="12"/>
    <x v="12"/>
    <x v="13"/>
    <x v="174"/>
    <x v="173"/>
    <x v="130"/>
    <x v="137"/>
    <x v="141"/>
    <x v="175"/>
    <x v="4"/>
  </r>
  <r>
    <x v="0"/>
    <x v="10"/>
    <x v="10"/>
    <x v="18"/>
    <x v="18"/>
    <x v="18"/>
    <x v="14"/>
    <x v="153"/>
    <x v="53"/>
    <x v="134"/>
    <x v="180"/>
    <x v="163"/>
    <x v="176"/>
    <x v="4"/>
  </r>
  <r>
    <x v="0"/>
    <x v="10"/>
    <x v="10"/>
    <x v="15"/>
    <x v="15"/>
    <x v="15"/>
    <x v="15"/>
    <x v="154"/>
    <x v="103"/>
    <x v="154"/>
    <x v="181"/>
    <x v="89"/>
    <x v="124"/>
    <x v="4"/>
  </r>
  <r>
    <x v="0"/>
    <x v="10"/>
    <x v="10"/>
    <x v="17"/>
    <x v="17"/>
    <x v="17"/>
    <x v="16"/>
    <x v="175"/>
    <x v="35"/>
    <x v="151"/>
    <x v="182"/>
    <x v="157"/>
    <x v="177"/>
    <x v="4"/>
  </r>
  <r>
    <x v="0"/>
    <x v="10"/>
    <x v="10"/>
    <x v="14"/>
    <x v="14"/>
    <x v="14"/>
    <x v="17"/>
    <x v="176"/>
    <x v="174"/>
    <x v="55"/>
    <x v="183"/>
    <x v="145"/>
    <x v="71"/>
    <x v="4"/>
  </r>
  <r>
    <x v="0"/>
    <x v="10"/>
    <x v="10"/>
    <x v="19"/>
    <x v="19"/>
    <x v="19"/>
    <x v="17"/>
    <x v="176"/>
    <x v="174"/>
    <x v="155"/>
    <x v="184"/>
    <x v="156"/>
    <x v="178"/>
    <x v="4"/>
  </r>
  <r>
    <x v="0"/>
    <x v="10"/>
    <x v="10"/>
    <x v="26"/>
    <x v="26"/>
    <x v="26"/>
    <x v="19"/>
    <x v="177"/>
    <x v="89"/>
    <x v="72"/>
    <x v="185"/>
    <x v="141"/>
    <x v="175"/>
    <x v="4"/>
  </r>
  <r>
    <x v="0"/>
    <x v="11"/>
    <x v="11"/>
    <x v="1"/>
    <x v="1"/>
    <x v="1"/>
    <x v="0"/>
    <x v="178"/>
    <x v="175"/>
    <x v="124"/>
    <x v="186"/>
    <x v="157"/>
    <x v="179"/>
    <x v="4"/>
  </r>
  <r>
    <x v="0"/>
    <x v="11"/>
    <x v="11"/>
    <x v="2"/>
    <x v="2"/>
    <x v="2"/>
    <x v="1"/>
    <x v="179"/>
    <x v="176"/>
    <x v="147"/>
    <x v="187"/>
    <x v="132"/>
    <x v="180"/>
    <x v="4"/>
  </r>
  <r>
    <x v="0"/>
    <x v="11"/>
    <x v="11"/>
    <x v="4"/>
    <x v="4"/>
    <x v="4"/>
    <x v="2"/>
    <x v="180"/>
    <x v="2"/>
    <x v="138"/>
    <x v="99"/>
    <x v="164"/>
    <x v="181"/>
    <x v="4"/>
  </r>
  <r>
    <x v="0"/>
    <x v="11"/>
    <x v="11"/>
    <x v="5"/>
    <x v="5"/>
    <x v="5"/>
    <x v="3"/>
    <x v="181"/>
    <x v="177"/>
    <x v="45"/>
    <x v="188"/>
    <x v="50"/>
    <x v="182"/>
    <x v="4"/>
  </r>
  <r>
    <x v="0"/>
    <x v="11"/>
    <x v="11"/>
    <x v="3"/>
    <x v="3"/>
    <x v="3"/>
    <x v="4"/>
    <x v="56"/>
    <x v="178"/>
    <x v="136"/>
    <x v="189"/>
    <x v="165"/>
    <x v="40"/>
    <x v="4"/>
  </r>
  <r>
    <x v="0"/>
    <x v="11"/>
    <x v="11"/>
    <x v="0"/>
    <x v="0"/>
    <x v="0"/>
    <x v="5"/>
    <x v="74"/>
    <x v="179"/>
    <x v="67"/>
    <x v="190"/>
    <x v="49"/>
    <x v="174"/>
    <x v="4"/>
  </r>
  <r>
    <x v="0"/>
    <x v="11"/>
    <x v="11"/>
    <x v="7"/>
    <x v="7"/>
    <x v="7"/>
    <x v="6"/>
    <x v="182"/>
    <x v="80"/>
    <x v="129"/>
    <x v="191"/>
    <x v="84"/>
    <x v="10"/>
    <x v="7"/>
  </r>
  <r>
    <x v="0"/>
    <x v="11"/>
    <x v="11"/>
    <x v="8"/>
    <x v="8"/>
    <x v="8"/>
    <x v="7"/>
    <x v="146"/>
    <x v="180"/>
    <x v="133"/>
    <x v="192"/>
    <x v="74"/>
    <x v="183"/>
    <x v="7"/>
  </r>
  <r>
    <x v="0"/>
    <x v="11"/>
    <x v="11"/>
    <x v="9"/>
    <x v="9"/>
    <x v="9"/>
    <x v="8"/>
    <x v="94"/>
    <x v="181"/>
    <x v="62"/>
    <x v="159"/>
    <x v="151"/>
    <x v="184"/>
    <x v="4"/>
  </r>
  <r>
    <x v="0"/>
    <x v="11"/>
    <x v="11"/>
    <x v="6"/>
    <x v="6"/>
    <x v="6"/>
    <x v="9"/>
    <x v="139"/>
    <x v="110"/>
    <x v="127"/>
    <x v="193"/>
    <x v="158"/>
    <x v="185"/>
    <x v="7"/>
  </r>
  <r>
    <x v="0"/>
    <x v="11"/>
    <x v="11"/>
    <x v="10"/>
    <x v="10"/>
    <x v="10"/>
    <x v="10"/>
    <x v="140"/>
    <x v="182"/>
    <x v="128"/>
    <x v="194"/>
    <x v="166"/>
    <x v="186"/>
    <x v="4"/>
  </r>
  <r>
    <x v="0"/>
    <x v="11"/>
    <x v="11"/>
    <x v="12"/>
    <x v="12"/>
    <x v="12"/>
    <x v="11"/>
    <x v="183"/>
    <x v="183"/>
    <x v="76"/>
    <x v="195"/>
    <x v="130"/>
    <x v="187"/>
    <x v="4"/>
  </r>
  <r>
    <x v="0"/>
    <x v="11"/>
    <x v="11"/>
    <x v="25"/>
    <x v="25"/>
    <x v="25"/>
    <x v="12"/>
    <x v="184"/>
    <x v="184"/>
    <x v="53"/>
    <x v="196"/>
    <x v="134"/>
    <x v="188"/>
    <x v="4"/>
  </r>
  <r>
    <x v="0"/>
    <x v="11"/>
    <x v="11"/>
    <x v="11"/>
    <x v="11"/>
    <x v="11"/>
    <x v="13"/>
    <x v="185"/>
    <x v="100"/>
    <x v="150"/>
    <x v="197"/>
    <x v="147"/>
    <x v="189"/>
    <x v="4"/>
  </r>
  <r>
    <x v="0"/>
    <x v="11"/>
    <x v="11"/>
    <x v="18"/>
    <x v="18"/>
    <x v="18"/>
    <x v="14"/>
    <x v="167"/>
    <x v="185"/>
    <x v="57"/>
    <x v="123"/>
    <x v="167"/>
    <x v="190"/>
    <x v="4"/>
  </r>
  <r>
    <x v="0"/>
    <x v="11"/>
    <x v="11"/>
    <x v="15"/>
    <x v="15"/>
    <x v="15"/>
    <x v="15"/>
    <x v="150"/>
    <x v="186"/>
    <x v="72"/>
    <x v="198"/>
    <x v="135"/>
    <x v="148"/>
    <x v="4"/>
  </r>
  <r>
    <x v="0"/>
    <x v="11"/>
    <x v="11"/>
    <x v="13"/>
    <x v="13"/>
    <x v="13"/>
    <x v="16"/>
    <x v="151"/>
    <x v="172"/>
    <x v="56"/>
    <x v="121"/>
    <x v="168"/>
    <x v="191"/>
    <x v="4"/>
  </r>
  <r>
    <x v="0"/>
    <x v="11"/>
    <x v="11"/>
    <x v="27"/>
    <x v="27"/>
    <x v="27"/>
    <x v="17"/>
    <x v="168"/>
    <x v="32"/>
    <x v="131"/>
    <x v="199"/>
    <x v="168"/>
    <x v="191"/>
    <x v="4"/>
  </r>
  <r>
    <x v="0"/>
    <x v="11"/>
    <x v="11"/>
    <x v="20"/>
    <x v="20"/>
    <x v="20"/>
    <x v="18"/>
    <x v="153"/>
    <x v="187"/>
    <x v="119"/>
    <x v="200"/>
    <x v="157"/>
    <x v="179"/>
    <x v="7"/>
  </r>
  <r>
    <x v="0"/>
    <x v="11"/>
    <x v="11"/>
    <x v="21"/>
    <x v="21"/>
    <x v="21"/>
    <x v="19"/>
    <x v="186"/>
    <x v="188"/>
    <x v="156"/>
    <x v="201"/>
    <x v="169"/>
    <x v="50"/>
    <x v="4"/>
  </r>
  <r>
    <x v="0"/>
    <x v="11"/>
    <x v="11"/>
    <x v="19"/>
    <x v="19"/>
    <x v="19"/>
    <x v="19"/>
    <x v="186"/>
    <x v="188"/>
    <x v="143"/>
    <x v="202"/>
    <x v="143"/>
    <x v="192"/>
    <x v="4"/>
  </r>
  <r>
    <x v="0"/>
    <x v="12"/>
    <x v="12"/>
    <x v="1"/>
    <x v="1"/>
    <x v="1"/>
    <x v="0"/>
    <x v="94"/>
    <x v="105"/>
    <x v="129"/>
    <x v="203"/>
    <x v="170"/>
    <x v="178"/>
    <x v="4"/>
  </r>
  <r>
    <x v="0"/>
    <x v="12"/>
    <x v="12"/>
    <x v="4"/>
    <x v="4"/>
    <x v="4"/>
    <x v="1"/>
    <x v="187"/>
    <x v="56"/>
    <x v="157"/>
    <x v="204"/>
    <x v="153"/>
    <x v="193"/>
    <x v="4"/>
  </r>
  <r>
    <x v="0"/>
    <x v="12"/>
    <x v="12"/>
    <x v="3"/>
    <x v="3"/>
    <x v="3"/>
    <x v="2"/>
    <x v="188"/>
    <x v="189"/>
    <x v="125"/>
    <x v="205"/>
    <x v="145"/>
    <x v="194"/>
    <x v="4"/>
  </r>
  <r>
    <x v="0"/>
    <x v="12"/>
    <x v="12"/>
    <x v="6"/>
    <x v="6"/>
    <x v="6"/>
    <x v="3"/>
    <x v="164"/>
    <x v="190"/>
    <x v="120"/>
    <x v="206"/>
    <x v="168"/>
    <x v="195"/>
    <x v="7"/>
  </r>
  <r>
    <x v="0"/>
    <x v="12"/>
    <x v="12"/>
    <x v="0"/>
    <x v="0"/>
    <x v="0"/>
    <x v="4"/>
    <x v="189"/>
    <x v="191"/>
    <x v="127"/>
    <x v="207"/>
    <x v="171"/>
    <x v="189"/>
    <x v="7"/>
  </r>
  <r>
    <x v="0"/>
    <x v="12"/>
    <x v="12"/>
    <x v="5"/>
    <x v="5"/>
    <x v="5"/>
    <x v="5"/>
    <x v="190"/>
    <x v="192"/>
    <x v="92"/>
    <x v="208"/>
    <x v="166"/>
    <x v="196"/>
    <x v="4"/>
  </r>
  <r>
    <x v="0"/>
    <x v="12"/>
    <x v="12"/>
    <x v="28"/>
    <x v="28"/>
    <x v="28"/>
    <x v="6"/>
    <x v="174"/>
    <x v="193"/>
    <x v="72"/>
    <x v="209"/>
    <x v="70"/>
    <x v="197"/>
    <x v="4"/>
  </r>
  <r>
    <x v="0"/>
    <x v="12"/>
    <x v="12"/>
    <x v="2"/>
    <x v="2"/>
    <x v="2"/>
    <x v="6"/>
    <x v="174"/>
    <x v="193"/>
    <x v="73"/>
    <x v="210"/>
    <x v="143"/>
    <x v="198"/>
    <x v="4"/>
  </r>
  <r>
    <x v="0"/>
    <x v="12"/>
    <x v="12"/>
    <x v="8"/>
    <x v="8"/>
    <x v="8"/>
    <x v="8"/>
    <x v="154"/>
    <x v="194"/>
    <x v="57"/>
    <x v="73"/>
    <x v="162"/>
    <x v="199"/>
    <x v="4"/>
  </r>
  <r>
    <x v="0"/>
    <x v="12"/>
    <x v="12"/>
    <x v="9"/>
    <x v="9"/>
    <x v="9"/>
    <x v="9"/>
    <x v="176"/>
    <x v="195"/>
    <x v="72"/>
    <x v="209"/>
    <x v="172"/>
    <x v="200"/>
    <x v="4"/>
  </r>
  <r>
    <x v="0"/>
    <x v="12"/>
    <x v="12"/>
    <x v="7"/>
    <x v="7"/>
    <x v="7"/>
    <x v="10"/>
    <x v="191"/>
    <x v="196"/>
    <x v="57"/>
    <x v="73"/>
    <x v="173"/>
    <x v="201"/>
    <x v="4"/>
  </r>
  <r>
    <x v="0"/>
    <x v="12"/>
    <x v="12"/>
    <x v="12"/>
    <x v="12"/>
    <x v="12"/>
    <x v="11"/>
    <x v="192"/>
    <x v="197"/>
    <x v="143"/>
    <x v="211"/>
    <x v="154"/>
    <x v="202"/>
    <x v="4"/>
  </r>
  <r>
    <x v="0"/>
    <x v="12"/>
    <x v="12"/>
    <x v="10"/>
    <x v="10"/>
    <x v="10"/>
    <x v="12"/>
    <x v="193"/>
    <x v="115"/>
    <x v="143"/>
    <x v="211"/>
    <x v="174"/>
    <x v="29"/>
    <x v="4"/>
  </r>
  <r>
    <x v="0"/>
    <x v="12"/>
    <x v="12"/>
    <x v="21"/>
    <x v="21"/>
    <x v="21"/>
    <x v="13"/>
    <x v="194"/>
    <x v="100"/>
    <x v="55"/>
    <x v="212"/>
    <x v="89"/>
    <x v="203"/>
    <x v="4"/>
  </r>
  <r>
    <x v="0"/>
    <x v="12"/>
    <x v="12"/>
    <x v="29"/>
    <x v="29"/>
    <x v="29"/>
    <x v="14"/>
    <x v="195"/>
    <x v="158"/>
    <x v="144"/>
    <x v="213"/>
    <x v="170"/>
    <x v="178"/>
    <x v="1"/>
  </r>
  <r>
    <x v="0"/>
    <x v="12"/>
    <x v="12"/>
    <x v="13"/>
    <x v="13"/>
    <x v="13"/>
    <x v="14"/>
    <x v="195"/>
    <x v="158"/>
    <x v="144"/>
    <x v="213"/>
    <x v="175"/>
    <x v="36"/>
    <x v="4"/>
  </r>
  <r>
    <x v="0"/>
    <x v="12"/>
    <x v="12"/>
    <x v="30"/>
    <x v="30"/>
    <x v="30"/>
    <x v="16"/>
    <x v="196"/>
    <x v="198"/>
    <x v="158"/>
    <x v="214"/>
    <x v="170"/>
    <x v="178"/>
    <x v="4"/>
  </r>
  <r>
    <x v="0"/>
    <x v="12"/>
    <x v="12"/>
    <x v="11"/>
    <x v="11"/>
    <x v="11"/>
    <x v="17"/>
    <x v="197"/>
    <x v="34"/>
    <x v="145"/>
    <x v="215"/>
    <x v="170"/>
    <x v="178"/>
    <x v="4"/>
  </r>
  <r>
    <x v="0"/>
    <x v="12"/>
    <x v="12"/>
    <x v="22"/>
    <x v="22"/>
    <x v="22"/>
    <x v="18"/>
    <x v="198"/>
    <x v="199"/>
    <x v="144"/>
    <x v="213"/>
    <x v="174"/>
    <x v="29"/>
    <x v="4"/>
  </r>
  <r>
    <x v="0"/>
    <x v="12"/>
    <x v="12"/>
    <x v="25"/>
    <x v="25"/>
    <x v="25"/>
    <x v="18"/>
    <x v="198"/>
    <x v="199"/>
    <x v="149"/>
    <x v="88"/>
    <x v="171"/>
    <x v="189"/>
    <x v="4"/>
  </r>
  <r>
    <x v="0"/>
    <x v="12"/>
    <x v="12"/>
    <x v="16"/>
    <x v="16"/>
    <x v="16"/>
    <x v="18"/>
    <x v="198"/>
    <x v="199"/>
    <x v="149"/>
    <x v="88"/>
    <x v="171"/>
    <x v="189"/>
    <x v="4"/>
  </r>
  <r>
    <x v="0"/>
    <x v="12"/>
    <x v="12"/>
    <x v="26"/>
    <x v="26"/>
    <x v="26"/>
    <x v="18"/>
    <x v="198"/>
    <x v="199"/>
    <x v="55"/>
    <x v="212"/>
    <x v="176"/>
    <x v="59"/>
    <x v="4"/>
  </r>
  <r>
    <x v="0"/>
    <x v="13"/>
    <x v="13"/>
    <x v="0"/>
    <x v="0"/>
    <x v="0"/>
    <x v="0"/>
    <x v="199"/>
    <x v="200"/>
    <x v="159"/>
    <x v="216"/>
    <x v="177"/>
    <x v="34"/>
    <x v="4"/>
  </r>
  <r>
    <x v="0"/>
    <x v="13"/>
    <x v="13"/>
    <x v="1"/>
    <x v="1"/>
    <x v="1"/>
    <x v="1"/>
    <x v="200"/>
    <x v="201"/>
    <x v="160"/>
    <x v="217"/>
    <x v="178"/>
    <x v="0"/>
    <x v="4"/>
  </r>
  <r>
    <x v="0"/>
    <x v="13"/>
    <x v="13"/>
    <x v="2"/>
    <x v="2"/>
    <x v="2"/>
    <x v="2"/>
    <x v="201"/>
    <x v="202"/>
    <x v="161"/>
    <x v="218"/>
    <x v="179"/>
    <x v="4"/>
    <x v="4"/>
  </r>
  <r>
    <x v="0"/>
    <x v="13"/>
    <x v="13"/>
    <x v="3"/>
    <x v="3"/>
    <x v="3"/>
    <x v="3"/>
    <x v="202"/>
    <x v="203"/>
    <x v="162"/>
    <x v="141"/>
    <x v="83"/>
    <x v="204"/>
    <x v="4"/>
  </r>
  <r>
    <x v="0"/>
    <x v="13"/>
    <x v="13"/>
    <x v="6"/>
    <x v="6"/>
    <x v="6"/>
    <x v="4"/>
    <x v="203"/>
    <x v="204"/>
    <x v="163"/>
    <x v="219"/>
    <x v="43"/>
    <x v="205"/>
    <x v="4"/>
  </r>
  <r>
    <x v="0"/>
    <x v="13"/>
    <x v="13"/>
    <x v="4"/>
    <x v="4"/>
    <x v="4"/>
    <x v="5"/>
    <x v="204"/>
    <x v="205"/>
    <x v="164"/>
    <x v="138"/>
    <x v="31"/>
    <x v="206"/>
    <x v="4"/>
  </r>
  <r>
    <x v="0"/>
    <x v="13"/>
    <x v="13"/>
    <x v="5"/>
    <x v="5"/>
    <x v="5"/>
    <x v="6"/>
    <x v="205"/>
    <x v="206"/>
    <x v="165"/>
    <x v="220"/>
    <x v="48"/>
    <x v="207"/>
    <x v="4"/>
  </r>
  <r>
    <x v="0"/>
    <x v="13"/>
    <x v="13"/>
    <x v="8"/>
    <x v="8"/>
    <x v="8"/>
    <x v="7"/>
    <x v="206"/>
    <x v="169"/>
    <x v="157"/>
    <x v="221"/>
    <x v="180"/>
    <x v="208"/>
    <x v="4"/>
  </r>
  <r>
    <x v="0"/>
    <x v="13"/>
    <x v="13"/>
    <x v="9"/>
    <x v="9"/>
    <x v="9"/>
    <x v="8"/>
    <x v="179"/>
    <x v="26"/>
    <x v="37"/>
    <x v="222"/>
    <x v="181"/>
    <x v="209"/>
    <x v="4"/>
  </r>
  <r>
    <x v="0"/>
    <x v="13"/>
    <x v="13"/>
    <x v="10"/>
    <x v="10"/>
    <x v="10"/>
    <x v="9"/>
    <x v="207"/>
    <x v="207"/>
    <x v="166"/>
    <x v="223"/>
    <x v="89"/>
    <x v="164"/>
    <x v="7"/>
  </r>
  <r>
    <x v="0"/>
    <x v="13"/>
    <x v="13"/>
    <x v="11"/>
    <x v="11"/>
    <x v="11"/>
    <x v="10"/>
    <x v="69"/>
    <x v="83"/>
    <x v="167"/>
    <x v="224"/>
    <x v="136"/>
    <x v="85"/>
    <x v="7"/>
  </r>
  <r>
    <x v="0"/>
    <x v="13"/>
    <x v="13"/>
    <x v="7"/>
    <x v="7"/>
    <x v="7"/>
    <x v="11"/>
    <x v="208"/>
    <x v="208"/>
    <x v="147"/>
    <x v="225"/>
    <x v="58"/>
    <x v="59"/>
    <x v="4"/>
  </r>
  <r>
    <x v="0"/>
    <x v="13"/>
    <x v="13"/>
    <x v="12"/>
    <x v="12"/>
    <x v="12"/>
    <x v="12"/>
    <x v="57"/>
    <x v="184"/>
    <x v="168"/>
    <x v="135"/>
    <x v="182"/>
    <x v="88"/>
    <x v="4"/>
  </r>
  <r>
    <x v="0"/>
    <x v="13"/>
    <x v="13"/>
    <x v="13"/>
    <x v="13"/>
    <x v="13"/>
    <x v="13"/>
    <x v="209"/>
    <x v="158"/>
    <x v="141"/>
    <x v="57"/>
    <x v="165"/>
    <x v="210"/>
    <x v="4"/>
  </r>
  <r>
    <x v="0"/>
    <x v="13"/>
    <x v="13"/>
    <x v="17"/>
    <x v="17"/>
    <x v="17"/>
    <x v="14"/>
    <x v="210"/>
    <x v="52"/>
    <x v="57"/>
    <x v="34"/>
    <x v="75"/>
    <x v="211"/>
    <x v="4"/>
  </r>
  <r>
    <x v="0"/>
    <x v="13"/>
    <x v="13"/>
    <x v="16"/>
    <x v="16"/>
    <x v="16"/>
    <x v="15"/>
    <x v="146"/>
    <x v="209"/>
    <x v="144"/>
    <x v="226"/>
    <x v="72"/>
    <x v="212"/>
    <x v="4"/>
  </r>
  <r>
    <x v="0"/>
    <x v="13"/>
    <x v="13"/>
    <x v="15"/>
    <x v="15"/>
    <x v="15"/>
    <x v="16"/>
    <x v="211"/>
    <x v="210"/>
    <x v="130"/>
    <x v="227"/>
    <x v="90"/>
    <x v="113"/>
    <x v="4"/>
  </r>
  <r>
    <x v="0"/>
    <x v="13"/>
    <x v="13"/>
    <x v="31"/>
    <x v="31"/>
    <x v="31"/>
    <x v="17"/>
    <x v="126"/>
    <x v="73"/>
    <x v="146"/>
    <x v="228"/>
    <x v="183"/>
    <x v="166"/>
    <x v="4"/>
  </r>
  <r>
    <x v="0"/>
    <x v="13"/>
    <x v="13"/>
    <x v="14"/>
    <x v="14"/>
    <x v="14"/>
    <x v="18"/>
    <x v="212"/>
    <x v="211"/>
    <x v="145"/>
    <x v="229"/>
    <x v="66"/>
    <x v="213"/>
    <x v="4"/>
  </r>
  <r>
    <x v="0"/>
    <x v="13"/>
    <x v="13"/>
    <x v="18"/>
    <x v="18"/>
    <x v="18"/>
    <x v="19"/>
    <x v="138"/>
    <x v="119"/>
    <x v="73"/>
    <x v="230"/>
    <x v="77"/>
    <x v="147"/>
    <x v="4"/>
  </r>
  <r>
    <x v="0"/>
    <x v="13"/>
    <x v="13"/>
    <x v="24"/>
    <x v="24"/>
    <x v="24"/>
    <x v="19"/>
    <x v="138"/>
    <x v="119"/>
    <x v="57"/>
    <x v="34"/>
    <x v="81"/>
    <x v="214"/>
    <x v="4"/>
  </r>
  <r>
    <x v="0"/>
    <x v="14"/>
    <x v="14"/>
    <x v="0"/>
    <x v="0"/>
    <x v="0"/>
    <x v="0"/>
    <x v="213"/>
    <x v="212"/>
    <x v="169"/>
    <x v="231"/>
    <x v="136"/>
    <x v="206"/>
    <x v="4"/>
  </r>
  <r>
    <x v="0"/>
    <x v="14"/>
    <x v="14"/>
    <x v="2"/>
    <x v="2"/>
    <x v="2"/>
    <x v="1"/>
    <x v="214"/>
    <x v="213"/>
    <x v="170"/>
    <x v="232"/>
    <x v="177"/>
    <x v="215"/>
    <x v="7"/>
  </r>
  <r>
    <x v="0"/>
    <x v="14"/>
    <x v="14"/>
    <x v="1"/>
    <x v="1"/>
    <x v="1"/>
    <x v="2"/>
    <x v="73"/>
    <x v="214"/>
    <x v="170"/>
    <x v="232"/>
    <x v="145"/>
    <x v="63"/>
    <x v="4"/>
  </r>
  <r>
    <x v="0"/>
    <x v="14"/>
    <x v="14"/>
    <x v="6"/>
    <x v="6"/>
    <x v="6"/>
    <x v="3"/>
    <x v="215"/>
    <x v="215"/>
    <x v="171"/>
    <x v="233"/>
    <x v="183"/>
    <x v="216"/>
    <x v="4"/>
  </r>
  <r>
    <x v="0"/>
    <x v="14"/>
    <x v="14"/>
    <x v="4"/>
    <x v="4"/>
    <x v="4"/>
    <x v="4"/>
    <x v="139"/>
    <x v="40"/>
    <x v="53"/>
    <x v="234"/>
    <x v="77"/>
    <x v="217"/>
    <x v="4"/>
  </r>
  <r>
    <x v="0"/>
    <x v="14"/>
    <x v="14"/>
    <x v="3"/>
    <x v="3"/>
    <x v="3"/>
    <x v="5"/>
    <x v="140"/>
    <x v="216"/>
    <x v="54"/>
    <x v="235"/>
    <x v="120"/>
    <x v="218"/>
    <x v="4"/>
  </r>
  <r>
    <x v="0"/>
    <x v="14"/>
    <x v="14"/>
    <x v="5"/>
    <x v="5"/>
    <x v="5"/>
    <x v="6"/>
    <x v="216"/>
    <x v="217"/>
    <x v="132"/>
    <x v="29"/>
    <x v="151"/>
    <x v="219"/>
    <x v="4"/>
  </r>
  <r>
    <x v="0"/>
    <x v="14"/>
    <x v="14"/>
    <x v="8"/>
    <x v="8"/>
    <x v="8"/>
    <x v="7"/>
    <x v="189"/>
    <x v="7"/>
    <x v="121"/>
    <x v="198"/>
    <x v="138"/>
    <x v="3"/>
    <x v="4"/>
  </r>
  <r>
    <x v="0"/>
    <x v="14"/>
    <x v="14"/>
    <x v="30"/>
    <x v="30"/>
    <x v="30"/>
    <x v="8"/>
    <x v="217"/>
    <x v="44"/>
    <x v="53"/>
    <x v="234"/>
    <x v="151"/>
    <x v="219"/>
    <x v="4"/>
  </r>
  <r>
    <x v="0"/>
    <x v="14"/>
    <x v="14"/>
    <x v="12"/>
    <x v="12"/>
    <x v="12"/>
    <x v="9"/>
    <x v="150"/>
    <x v="218"/>
    <x v="130"/>
    <x v="236"/>
    <x v="84"/>
    <x v="19"/>
    <x v="4"/>
  </r>
  <r>
    <x v="0"/>
    <x v="14"/>
    <x v="14"/>
    <x v="10"/>
    <x v="10"/>
    <x v="10"/>
    <x v="10"/>
    <x v="168"/>
    <x v="219"/>
    <x v="77"/>
    <x v="237"/>
    <x v="184"/>
    <x v="220"/>
    <x v="4"/>
  </r>
  <r>
    <x v="0"/>
    <x v="14"/>
    <x v="14"/>
    <x v="24"/>
    <x v="24"/>
    <x v="24"/>
    <x v="11"/>
    <x v="153"/>
    <x v="220"/>
    <x v="121"/>
    <x v="198"/>
    <x v="144"/>
    <x v="86"/>
    <x v="4"/>
  </r>
  <r>
    <x v="0"/>
    <x v="14"/>
    <x v="14"/>
    <x v="31"/>
    <x v="31"/>
    <x v="31"/>
    <x v="12"/>
    <x v="176"/>
    <x v="101"/>
    <x v="66"/>
    <x v="221"/>
    <x v="84"/>
    <x v="19"/>
    <x v="4"/>
  </r>
  <r>
    <x v="0"/>
    <x v="14"/>
    <x v="14"/>
    <x v="9"/>
    <x v="9"/>
    <x v="9"/>
    <x v="13"/>
    <x v="177"/>
    <x v="221"/>
    <x v="57"/>
    <x v="32"/>
    <x v="147"/>
    <x v="35"/>
    <x v="4"/>
  </r>
  <r>
    <x v="0"/>
    <x v="14"/>
    <x v="14"/>
    <x v="13"/>
    <x v="13"/>
    <x v="13"/>
    <x v="13"/>
    <x v="177"/>
    <x v="221"/>
    <x v="158"/>
    <x v="238"/>
    <x v="89"/>
    <x v="106"/>
    <x v="4"/>
  </r>
  <r>
    <x v="0"/>
    <x v="14"/>
    <x v="14"/>
    <x v="11"/>
    <x v="11"/>
    <x v="11"/>
    <x v="15"/>
    <x v="218"/>
    <x v="173"/>
    <x v="57"/>
    <x v="32"/>
    <x v="141"/>
    <x v="27"/>
    <x v="4"/>
  </r>
  <r>
    <x v="0"/>
    <x v="14"/>
    <x v="14"/>
    <x v="7"/>
    <x v="7"/>
    <x v="7"/>
    <x v="16"/>
    <x v="191"/>
    <x v="222"/>
    <x v="172"/>
    <x v="179"/>
    <x v="184"/>
    <x v="220"/>
    <x v="4"/>
  </r>
  <r>
    <x v="0"/>
    <x v="14"/>
    <x v="14"/>
    <x v="32"/>
    <x v="32"/>
    <x v="32"/>
    <x v="17"/>
    <x v="219"/>
    <x v="223"/>
    <x v="172"/>
    <x v="179"/>
    <x v="154"/>
    <x v="221"/>
    <x v="7"/>
  </r>
  <r>
    <x v="0"/>
    <x v="14"/>
    <x v="14"/>
    <x v="17"/>
    <x v="17"/>
    <x v="17"/>
    <x v="18"/>
    <x v="220"/>
    <x v="224"/>
    <x v="55"/>
    <x v="239"/>
    <x v="168"/>
    <x v="79"/>
    <x v="4"/>
  </r>
  <r>
    <x v="0"/>
    <x v="14"/>
    <x v="14"/>
    <x v="33"/>
    <x v="33"/>
    <x v="33"/>
    <x v="18"/>
    <x v="220"/>
    <x v="224"/>
    <x v="55"/>
    <x v="239"/>
    <x v="162"/>
    <x v="222"/>
    <x v="7"/>
  </r>
  <r>
    <x v="0"/>
    <x v="15"/>
    <x v="15"/>
    <x v="0"/>
    <x v="0"/>
    <x v="0"/>
    <x v="0"/>
    <x v="221"/>
    <x v="225"/>
    <x v="173"/>
    <x v="240"/>
    <x v="87"/>
    <x v="223"/>
    <x v="4"/>
  </r>
  <r>
    <x v="0"/>
    <x v="15"/>
    <x v="15"/>
    <x v="2"/>
    <x v="2"/>
    <x v="2"/>
    <x v="1"/>
    <x v="222"/>
    <x v="226"/>
    <x v="174"/>
    <x v="241"/>
    <x v="83"/>
    <x v="224"/>
    <x v="4"/>
  </r>
  <r>
    <x v="0"/>
    <x v="15"/>
    <x v="15"/>
    <x v="1"/>
    <x v="1"/>
    <x v="1"/>
    <x v="2"/>
    <x v="223"/>
    <x v="227"/>
    <x v="175"/>
    <x v="242"/>
    <x v="58"/>
    <x v="225"/>
    <x v="4"/>
  </r>
  <r>
    <x v="0"/>
    <x v="15"/>
    <x v="15"/>
    <x v="3"/>
    <x v="3"/>
    <x v="3"/>
    <x v="3"/>
    <x v="224"/>
    <x v="228"/>
    <x v="126"/>
    <x v="243"/>
    <x v="118"/>
    <x v="226"/>
    <x v="4"/>
  </r>
  <r>
    <x v="0"/>
    <x v="15"/>
    <x v="15"/>
    <x v="7"/>
    <x v="7"/>
    <x v="7"/>
    <x v="4"/>
    <x v="225"/>
    <x v="229"/>
    <x v="70"/>
    <x v="244"/>
    <x v="49"/>
    <x v="27"/>
    <x v="7"/>
  </r>
  <r>
    <x v="0"/>
    <x v="15"/>
    <x v="15"/>
    <x v="4"/>
    <x v="4"/>
    <x v="4"/>
    <x v="5"/>
    <x v="124"/>
    <x v="230"/>
    <x v="157"/>
    <x v="44"/>
    <x v="148"/>
    <x v="227"/>
    <x v="4"/>
  </r>
  <r>
    <x v="0"/>
    <x v="15"/>
    <x v="15"/>
    <x v="6"/>
    <x v="6"/>
    <x v="6"/>
    <x v="6"/>
    <x v="57"/>
    <x v="231"/>
    <x v="129"/>
    <x v="154"/>
    <x v="153"/>
    <x v="228"/>
    <x v="4"/>
  </r>
  <r>
    <x v="0"/>
    <x v="15"/>
    <x v="15"/>
    <x v="5"/>
    <x v="5"/>
    <x v="5"/>
    <x v="7"/>
    <x v="226"/>
    <x v="232"/>
    <x v="137"/>
    <x v="245"/>
    <x v="177"/>
    <x v="229"/>
    <x v="4"/>
  </r>
  <r>
    <x v="0"/>
    <x v="15"/>
    <x v="15"/>
    <x v="10"/>
    <x v="10"/>
    <x v="10"/>
    <x v="8"/>
    <x v="209"/>
    <x v="233"/>
    <x v="176"/>
    <x v="246"/>
    <x v="156"/>
    <x v="230"/>
    <x v="4"/>
  </r>
  <r>
    <x v="0"/>
    <x v="15"/>
    <x v="15"/>
    <x v="8"/>
    <x v="8"/>
    <x v="8"/>
    <x v="9"/>
    <x v="227"/>
    <x v="110"/>
    <x v="131"/>
    <x v="247"/>
    <x v="185"/>
    <x v="231"/>
    <x v="4"/>
  </r>
  <r>
    <x v="0"/>
    <x v="15"/>
    <x v="15"/>
    <x v="11"/>
    <x v="11"/>
    <x v="11"/>
    <x v="10"/>
    <x v="125"/>
    <x v="234"/>
    <x v="148"/>
    <x v="248"/>
    <x v="134"/>
    <x v="232"/>
    <x v="4"/>
  </r>
  <r>
    <x v="0"/>
    <x v="15"/>
    <x v="15"/>
    <x v="12"/>
    <x v="12"/>
    <x v="12"/>
    <x v="11"/>
    <x v="161"/>
    <x v="235"/>
    <x v="177"/>
    <x v="249"/>
    <x v="152"/>
    <x v="233"/>
    <x v="4"/>
  </r>
  <r>
    <x v="0"/>
    <x v="15"/>
    <x v="15"/>
    <x v="9"/>
    <x v="9"/>
    <x v="9"/>
    <x v="12"/>
    <x v="228"/>
    <x v="236"/>
    <x v="178"/>
    <x v="250"/>
    <x v="138"/>
    <x v="234"/>
    <x v="4"/>
  </r>
  <r>
    <x v="0"/>
    <x v="15"/>
    <x v="15"/>
    <x v="13"/>
    <x v="13"/>
    <x v="13"/>
    <x v="13"/>
    <x v="162"/>
    <x v="69"/>
    <x v="54"/>
    <x v="184"/>
    <x v="155"/>
    <x v="235"/>
    <x v="4"/>
  </r>
  <r>
    <x v="0"/>
    <x v="15"/>
    <x v="15"/>
    <x v="21"/>
    <x v="21"/>
    <x v="21"/>
    <x v="14"/>
    <x v="141"/>
    <x v="237"/>
    <x v="55"/>
    <x v="251"/>
    <x v="159"/>
    <x v="41"/>
    <x v="4"/>
  </r>
  <r>
    <x v="0"/>
    <x v="15"/>
    <x v="15"/>
    <x v="17"/>
    <x v="17"/>
    <x v="17"/>
    <x v="15"/>
    <x v="185"/>
    <x v="103"/>
    <x v="145"/>
    <x v="139"/>
    <x v="152"/>
    <x v="233"/>
    <x v="4"/>
  </r>
  <r>
    <x v="0"/>
    <x v="15"/>
    <x v="15"/>
    <x v="20"/>
    <x v="20"/>
    <x v="20"/>
    <x v="16"/>
    <x v="229"/>
    <x v="238"/>
    <x v="143"/>
    <x v="252"/>
    <x v="167"/>
    <x v="236"/>
    <x v="4"/>
  </r>
  <r>
    <x v="0"/>
    <x v="15"/>
    <x v="15"/>
    <x v="16"/>
    <x v="16"/>
    <x v="16"/>
    <x v="17"/>
    <x v="230"/>
    <x v="17"/>
    <x v="134"/>
    <x v="253"/>
    <x v="135"/>
    <x v="35"/>
    <x v="2"/>
  </r>
  <r>
    <x v="0"/>
    <x v="15"/>
    <x v="15"/>
    <x v="14"/>
    <x v="14"/>
    <x v="14"/>
    <x v="18"/>
    <x v="231"/>
    <x v="239"/>
    <x v="119"/>
    <x v="56"/>
    <x v="146"/>
    <x v="237"/>
    <x v="4"/>
  </r>
  <r>
    <x v="0"/>
    <x v="15"/>
    <x v="15"/>
    <x v="15"/>
    <x v="15"/>
    <x v="15"/>
    <x v="19"/>
    <x v="190"/>
    <x v="121"/>
    <x v="154"/>
    <x v="254"/>
    <x v="49"/>
    <x v="27"/>
    <x v="4"/>
  </r>
  <r>
    <x v="0"/>
    <x v="15"/>
    <x v="15"/>
    <x v="18"/>
    <x v="18"/>
    <x v="18"/>
    <x v="19"/>
    <x v="190"/>
    <x v="121"/>
    <x v="172"/>
    <x v="255"/>
    <x v="163"/>
    <x v="238"/>
    <x v="4"/>
  </r>
  <r>
    <x v="0"/>
    <x v="16"/>
    <x v="16"/>
    <x v="0"/>
    <x v="0"/>
    <x v="0"/>
    <x v="0"/>
    <x v="232"/>
    <x v="240"/>
    <x v="25"/>
    <x v="256"/>
    <x v="169"/>
    <x v="57"/>
    <x v="4"/>
  </r>
  <r>
    <x v="0"/>
    <x v="16"/>
    <x v="16"/>
    <x v="1"/>
    <x v="1"/>
    <x v="1"/>
    <x v="1"/>
    <x v="47"/>
    <x v="241"/>
    <x v="179"/>
    <x v="257"/>
    <x v="186"/>
    <x v="13"/>
    <x v="4"/>
  </r>
  <r>
    <x v="0"/>
    <x v="16"/>
    <x v="16"/>
    <x v="3"/>
    <x v="3"/>
    <x v="3"/>
    <x v="2"/>
    <x v="233"/>
    <x v="242"/>
    <x v="180"/>
    <x v="258"/>
    <x v="187"/>
    <x v="239"/>
    <x v="4"/>
  </r>
  <r>
    <x v="0"/>
    <x v="16"/>
    <x v="16"/>
    <x v="4"/>
    <x v="4"/>
    <x v="4"/>
    <x v="3"/>
    <x v="119"/>
    <x v="243"/>
    <x v="181"/>
    <x v="259"/>
    <x v="53"/>
    <x v="240"/>
    <x v="4"/>
  </r>
  <r>
    <x v="0"/>
    <x v="16"/>
    <x v="16"/>
    <x v="5"/>
    <x v="5"/>
    <x v="5"/>
    <x v="4"/>
    <x v="234"/>
    <x v="79"/>
    <x v="83"/>
    <x v="260"/>
    <x v="47"/>
    <x v="241"/>
    <x v="4"/>
  </r>
  <r>
    <x v="0"/>
    <x v="16"/>
    <x v="16"/>
    <x v="6"/>
    <x v="6"/>
    <x v="6"/>
    <x v="5"/>
    <x v="208"/>
    <x v="244"/>
    <x v="182"/>
    <x v="261"/>
    <x v="169"/>
    <x v="57"/>
    <x v="4"/>
  </r>
  <r>
    <x v="0"/>
    <x v="16"/>
    <x v="16"/>
    <x v="8"/>
    <x v="8"/>
    <x v="8"/>
    <x v="6"/>
    <x v="144"/>
    <x v="245"/>
    <x v="177"/>
    <x v="262"/>
    <x v="124"/>
    <x v="140"/>
    <x v="4"/>
  </r>
  <r>
    <x v="0"/>
    <x v="16"/>
    <x v="16"/>
    <x v="2"/>
    <x v="2"/>
    <x v="2"/>
    <x v="7"/>
    <x v="158"/>
    <x v="246"/>
    <x v="64"/>
    <x v="263"/>
    <x v="85"/>
    <x v="95"/>
    <x v="4"/>
  </r>
  <r>
    <x v="0"/>
    <x v="16"/>
    <x v="16"/>
    <x v="7"/>
    <x v="7"/>
    <x v="7"/>
    <x v="8"/>
    <x v="58"/>
    <x v="81"/>
    <x v="183"/>
    <x v="264"/>
    <x v="158"/>
    <x v="48"/>
    <x v="7"/>
  </r>
  <r>
    <x v="0"/>
    <x v="16"/>
    <x v="16"/>
    <x v="10"/>
    <x v="10"/>
    <x v="10"/>
    <x v="9"/>
    <x v="172"/>
    <x v="247"/>
    <x v="184"/>
    <x v="265"/>
    <x v="184"/>
    <x v="242"/>
    <x v="4"/>
  </r>
  <r>
    <x v="0"/>
    <x v="16"/>
    <x v="16"/>
    <x v="9"/>
    <x v="9"/>
    <x v="9"/>
    <x v="10"/>
    <x v="211"/>
    <x v="248"/>
    <x v="185"/>
    <x v="266"/>
    <x v="130"/>
    <x v="210"/>
    <x v="4"/>
  </r>
  <r>
    <x v="0"/>
    <x v="16"/>
    <x v="16"/>
    <x v="12"/>
    <x v="12"/>
    <x v="12"/>
    <x v="11"/>
    <x v="161"/>
    <x v="99"/>
    <x v="35"/>
    <x v="267"/>
    <x v="145"/>
    <x v="243"/>
    <x v="4"/>
  </r>
  <r>
    <x v="0"/>
    <x v="16"/>
    <x v="16"/>
    <x v="13"/>
    <x v="13"/>
    <x v="13"/>
    <x v="12"/>
    <x v="163"/>
    <x v="249"/>
    <x v="64"/>
    <x v="263"/>
    <x v="49"/>
    <x v="238"/>
    <x v="4"/>
  </r>
  <r>
    <x v="0"/>
    <x v="16"/>
    <x v="16"/>
    <x v="15"/>
    <x v="15"/>
    <x v="15"/>
    <x v="13"/>
    <x v="235"/>
    <x v="250"/>
    <x v="133"/>
    <x v="130"/>
    <x v="152"/>
    <x v="20"/>
    <x v="4"/>
  </r>
  <r>
    <x v="0"/>
    <x v="16"/>
    <x v="16"/>
    <x v="19"/>
    <x v="19"/>
    <x v="19"/>
    <x v="14"/>
    <x v="148"/>
    <x v="85"/>
    <x v="152"/>
    <x v="268"/>
    <x v="170"/>
    <x v="244"/>
    <x v="4"/>
  </r>
  <r>
    <x v="0"/>
    <x v="16"/>
    <x v="16"/>
    <x v="11"/>
    <x v="11"/>
    <x v="11"/>
    <x v="15"/>
    <x v="189"/>
    <x v="251"/>
    <x v="34"/>
    <x v="269"/>
    <x v="172"/>
    <x v="245"/>
    <x v="4"/>
  </r>
  <r>
    <x v="0"/>
    <x v="16"/>
    <x v="16"/>
    <x v="21"/>
    <x v="21"/>
    <x v="21"/>
    <x v="16"/>
    <x v="236"/>
    <x v="252"/>
    <x v="55"/>
    <x v="270"/>
    <x v="87"/>
    <x v="246"/>
    <x v="4"/>
  </r>
  <r>
    <x v="0"/>
    <x v="16"/>
    <x v="16"/>
    <x v="18"/>
    <x v="18"/>
    <x v="18"/>
    <x v="17"/>
    <x v="150"/>
    <x v="16"/>
    <x v="57"/>
    <x v="271"/>
    <x v="188"/>
    <x v="185"/>
    <x v="4"/>
  </r>
  <r>
    <x v="0"/>
    <x v="16"/>
    <x v="16"/>
    <x v="16"/>
    <x v="16"/>
    <x v="16"/>
    <x v="18"/>
    <x v="169"/>
    <x v="253"/>
    <x v="145"/>
    <x v="200"/>
    <x v="135"/>
    <x v="247"/>
    <x v="4"/>
  </r>
  <r>
    <x v="0"/>
    <x v="16"/>
    <x v="16"/>
    <x v="26"/>
    <x v="26"/>
    <x v="26"/>
    <x v="19"/>
    <x v="237"/>
    <x v="254"/>
    <x v="53"/>
    <x v="272"/>
    <x v="168"/>
    <x v="248"/>
    <x v="4"/>
  </r>
  <r>
    <x v="0"/>
    <x v="17"/>
    <x v="17"/>
    <x v="0"/>
    <x v="0"/>
    <x v="0"/>
    <x v="0"/>
    <x v="238"/>
    <x v="255"/>
    <x v="186"/>
    <x v="273"/>
    <x v="59"/>
    <x v="143"/>
    <x v="4"/>
  </r>
  <r>
    <x v="0"/>
    <x v="17"/>
    <x v="17"/>
    <x v="1"/>
    <x v="1"/>
    <x v="1"/>
    <x v="1"/>
    <x v="239"/>
    <x v="256"/>
    <x v="187"/>
    <x v="274"/>
    <x v="145"/>
    <x v="179"/>
    <x v="7"/>
  </r>
  <r>
    <x v="0"/>
    <x v="17"/>
    <x v="17"/>
    <x v="2"/>
    <x v="2"/>
    <x v="2"/>
    <x v="2"/>
    <x v="88"/>
    <x v="257"/>
    <x v="188"/>
    <x v="161"/>
    <x v="47"/>
    <x v="249"/>
    <x v="4"/>
  </r>
  <r>
    <x v="0"/>
    <x v="17"/>
    <x v="17"/>
    <x v="6"/>
    <x v="6"/>
    <x v="6"/>
    <x v="3"/>
    <x v="240"/>
    <x v="123"/>
    <x v="189"/>
    <x v="275"/>
    <x v="72"/>
    <x v="250"/>
    <x v="4"/>
  </r>
  <r>
    <x v="0"/>
    <x v="17"/>
    <x v="17"/>
    <x v="30"/>
    <x v="30"/>
    <x v="30"/>
    <x v="4"/>
    <x v="241"/>
    <x v="38"/>
    <x v="190"/>
    <x v="276"/>
    <x v="189"/>
    <x v="251"/>
    <x v="4"/>
  </r>
  <r>
    <x v="0"/>
    <x v="17"/>
    <x v="17"/>
    <x v="3"/>
    <x v="3"/>
    <x v="3"/>
    <x v="5"/>
    <x v="122"/>
    <x v="258"/>
    <x v="191"/>
    <x v="277"/>
    <x v="177"/>
    <x v="252"/>
    <x v="4"/>
  </r>
  <r>
    <x v="0"/>
    <x v="17"/>
    <x v="17"/>
    <x v="4"/>
    <x v="4"/>
    <x v="4"/>
    <x v="6"/>
    <x v="132"/>
    <x v="139"/>
    <x v="192"/>
    <x v="278"/>
    <x v="103"/>
    <x v="253"/>
    <x v="4"/>
  </r>
  <r>
    <x v="0"/>
    <x v="17"/>
    <x v="17"/>
    <x v="5"/>
    <x v="5"/>
    <x v="5"/>
    <x v="7"/>
    <x v="242"/>
    <x v="259"/>
    <x v="125"/>
    <x v="279"/>
    <x v="74"/>
    <x v="229"/>
    <x v="4"/>
  </r>
  <r>
    <x v="0"/>
    <x v="17"/>
    <x v="17"/>
    <x v="8"/>
    <x v="8"/>
    <x v="8"/>
    <x v="8"/>
    <x v="243"/>
    <x v="82"/>
    <x v="146"/>
    <x v="280"/>
    <x v="76"/>
    <x v="254"/>
    <x v="4"/>
  </r>
  <r>
    <x v="0"/>
    <x v="17"/>
    <x v="17"/>
    <x v="7"/>
    <x v="7"/>
    <x v="7"/>
    <x v="8"/>
    <x v="243"/>
    <x v="82"/>
    <x v="118"/>
    <x v="281"/>
    <x v="144"/>
    <x v="35"/>
    <x v="10"/>
  </r>
  <r>
    <x v="0"/>
    <x v="17"/>
    <x v="17"/>
    <x v="10"/>
    <x v="10"/>
    <x v="10"/>
    <x v="8"/>
    <x v="243"/>
    <x v="82"/>
    <x v="107"/>
    <x v="282"/>
    <x v="154"/>
    <x v="255"/>
    <x v="4"/>
  </r>
  <r>
    <x v="0"/>
    <x v="17"/>
    <x v="17"/>
    <x v="12"/>
    <x v="12"/>
    <x v="12"/>
    <x v="11"/>
    <x v="244"/>
    <x v="235"/>
    <x v="137"/>
    <x v="283"/>
    <x v="169"/>
    <x v="136"/>
    <x v="4"/>
  </r>
  <r>
    <x v="0"/>
    <x v="17"/>
    <x v="17"/>
    <x v="17"/>
    <x v="17"/>
    <x v="17"/>
    <x v="12"/>
    <x v="245"/>
    <x v="260"/>
    <x v="39"/>
    <x v="284"/>
    <x v="30"/>
    <x v="256"/>
    <x v="4"/>
  </r>
  <r>
    <x v="0"/>
    <x v="17"/>
    <x v="17"/>
    <x v="9"/>
    <x v="9"/>
    <x v="9"/>
    <x v="13"/>
    <x v="246"/>
    <x v="159"/>
    <x v="132"/>
    <x v="83"/>
    <x v="133"/>
    <x v="257"/>
    <x v="4"/>
  </r>
  <r>
    <x v="0"/>
    <x v="17"/>
    <x v="17"/>
    <x v="13"/>
    <x v="13"/>
    <x v="13"/>
    <x v="14"/>
    <x v="247"/>
    <x v="161"/>
    <x v="154"/>
    <x v="106"/>
    <x v="130"/>
    <x v="233"/>
    <x v="4"/>
  </r>
  <r>
    <x v="0"/>
    <x v="17"/>
    <x v="17"/>
    <x v="31"/>
    <x v="31"/>
    <x v="31"/>
    <x v="15"/>
    <x v="149"/>
    <x v="261"/>
    <x v="172"/>
    <x v="227"/>
    <x v="169"/>
    <x v="136"/>
    <x v="4"/>
  </r>
  <r>
    <x v="0"/>
    <x v="17"/>
    <x v="17"/>
    <x v="11"/>
    <x v="11"/>
    <x v="11"/>
    <x v="15"/>
    <x v="149"/>
    <x v="261"/>
    <x v="54"/>
    <x v="137"/>
    <x v="172"/>
    <x v="258"/>
    <x v="4"/>
  </r>
  <r>
    <x v="0"/>
    <x v="17"/>
    <x v="17"/>
    <x v="32"/>
    <x v="32"/>
    <x v="32"/>
    <x v="17"/>
    <x v="151"/>
    <x v="262"/>
    <x v="90"/>
    <x v="19"/>
    <x v="162"/>
    <x v="259"/>
    <x v="4"/>
  </r>
  <r>
    <x v="0"/>
    <x v="17"/>
    <x v="17"/>
    <x v="24"/>
    <x v="24"/>
    <x v="24"/>
    <x v="18"/>
    <x v="237"/>
    <x v="15"/>
    <x v="121"/>
    <x v="285"/>
    <x v="163"/>
    <x v="123"/>
    <x v="4"/>
  </r>
  <r>
    <x v="0"/>
    <x v="17"/>
    <x v="17"/>
    <x v="21"/>
    <x v="21"/>
    <x v="21"/>
    <x v="18"/>
    <x v="237"/>
    <x v="15"/>
    <x v="55"/>
    <x v="286"/>
    <x v="167"/>
    <x v="55"/>
    <x v="7"/>
  </r>
  <r>
    <x v="0"/>
    <x v="18"/>
    <x v="18"/>
    <x v="1"/>
    <x v="1"/>
    <x v="1"/>
    <x v="0"/>
    <x v="48"/>
    <x v="263"/>
    <x v="193"/>
    <x v="287"/>
    <x v="190"/>
    <x v="37"/>
    <x v="4"/>
  </r>
  <r>
    <x v="0"/>
    <x v="18"/>
    <x v="18"/>
    <x v="0"/>
    <x v="0"/>
    <x v="0"/>
    <x v="1"/>
    <x v="119"/>
    <x v="264"/>
    <x v="194"/>
    <x v="288"/>
    <x v="144"/>
    <x v="222"/>
    <x v="4"/>
  </r>
  <r>
    <x v="0"/>
    <x v="18"/>
    <x v="18"/>
    <x v="3"/>
    <x v="3"/>
    <x v="3"/>
    <x v="2"/>
    <x v="248"/>
    <x v="38"/>
    <x v="38"/>
    <x v="289"/>
    <x v="90"/>
    <x v="260"/>
    <x v="4"/>
  </r>
  <r>
    <x v="0"/>
    <x v="18"/>
    <x v="18"/>
    <x v="2"/>
    <x v="2"/>
    <x v="2"/>
    <x v="3"/>
    <x v="249"/>
    <x v="265"/>
    <x v="71"/>
    <x v="290"/>
    <x v="134"/>
    <x v="223"/>
    <x v="4"/>
  </r>
  <r>
    <x v="0"/>
    <x v="18"/>
    <x v="18"/>
    <x v="6"/>
    <x v="6"/>
    <x v="6"/>
    <x v="4"/>
    <x v="131"/>
    <x v="266"/>
    <x v="195"/>
    <x v="291"/>
    <x v="190"/>
    <x v="37"/>
    <x v="4"/>
  </r>
  <r>
    <x v="0"/>
    <x v="18"/>
    <x v="18"/>
    <x v="4"/>
    <x v="4"/>
    <x v="4"/>
    <x v="5"/>
    <x v="72"/>
    <x v="267"/>
    <x v="136"/>
    <x v="292"/>
    <x v="191"/>
    <x v="261"/>
    <x v="4"/>
  </r>
  <r>
    <x v="0"/>
    <x v="18"/>
    <x v="18"/>
    <x v="5"/>
    <x v="5"/>
    <x v="5"/>
    <x v="5"/>
    <x v="72"/>
    <x v="267"/>
    <x v="170"/>
    <x v="293"/>
    <x v="192"/>
    <x v="5"/>
    <x v="4"/>
  </r>
  <r>
    <x v="0"/>
    <x v="18"/>
    <x v="18"/>
    <x v="7"/>
    <x v="7"/>
    <x v="7"/>
    <x v="7"/>
    <x v="126"/>
    <x v="26"/>
    <x v="45"/>
    <x v="294"/>
    <x v="89"/>
    <x v="191"/>
    <x v="4"/>
  </r>
  <r>
    <x v="0"/>
    <x v="18"/>
    <x v="18"/>
    <x v="8"/>
    <x v="8"/>
    <x v="8"/>
    <x v="8"/>
    <x v="94"/>
    <x v="27"/>
    <x v="168"/>
    <x v="175"/>
    <x v="128"/>
    <x v="262"/>
    <x v="4"/>
  </r>
  <r>
    <x v="0"/>
    <x v="18"/>
    <x v="18"/>
    <x v="9"/>
    <x v="9"/>
    <x v="9"/>
    <x v="9"/>
    <x v="139"/>
    <x v="268"/>
    <x v="52"/>
    <x v="295"/>
    <x v="145"/>
    <x v="162"/>
    <x v="4"/>
  </r>
  <r>
    <x v="0"/>
    <x v="18"/>
    <x v="18"/>
    <x v="12"/>
    <x v="12"/>
    <x v="12"/>
    <x v="10"/>
    <x v="216"/>
    <x v="269"/>
    <x v="192"/>
    <x v="268"/>
    <x v="84"/>
    <x v="17"/>
    <x v="4"/>
  </r>
  <r>
    <x v="0"/>
    <x v="18"/>
    <x v="18"/>
    <x v="10"/>
    <x v="10"/>
    <x v="10"/>
    <x v="10"/>
    <x v="216"/>
    <x v="269"/>
    <x v="196"/>
    <x v="237"/>
    <x v="161"/>
    <x v="263"/>
    <x v="4"/>
  </r>
  <r>
    <x v="0"/>
    <x v="18"/>
    <x v="18"/>
    <x v="13"/>
    <x v="13"/>
    <x v="13"/>
    <x v="12"/>
    <x v="147"/>
    <x v="270"/>
    <x v="168"/>
    <x v="175"/>
    <x v="144"/>
    <x v="222"/>
    <x v="4"/>
  </r>
  <r>
    <x v="0"/>
    <x v="18"/>
    <x v="18"/>
    <x v="18"/>
    <x v="18"/>
    <x v="18"/>
    <x v="13"/>
    <x v="189"/>
    <x v="249"/>
    <x v="143"/>
    <x v="37"/>
    <x v="155"/>
    <x v="264"/>
    <x v="4"/>
  </r>
  <r>
    <x v="0"/>
    <x v="18"/>
    <x v="18"/>
    <x v="11"/>
    <x v="11"/>
    <x v="11"/>
    <x v="14"/>
    <x v="217"/>
    <x v="31"/>
    <x v="168"/>
    <x v="175"/>
    <x v="141"/>
    <x v="151"/>
    <x v="4"/>
  </r>
  <r>
    <x v="0"/>
    <x v="18"/>
    <x v="18"/>
    <x v="29"/>
    <x v="29"/>
    <x v="29"/>
    <x v="15"/>
    <x v="167"/>
    <x v="271"/>
    <x v="143"/>
    <x v="37"/>
    <x v="163"/>
    <x v="52"/>
    <x v="0"/>
  </r>
  <r>
    <x v="0"/>
    <x v="18"/>
    <x v="18"/>
    <x v="15"/>
    <x v="15"/>
    <x v="15"/>
    <x v="16"/>
    <x v="169"/>
    <x v="188"/>
    <x v="143"/>
    <x v="37"/>
    <x v="84"/>
    <x v="17"/>
    <x v="4"/>
  </r>
  <r>
    <x v="0"/>
    <x v="18"/>
    <x v="18"/>
    <x v="21"/>
    <x v="21"/>
    <x v="21"/>
    <x v="17"/>
    <x v="237"/>
    <x v="272"/>
    <x v="55"/>
    <x v="251"/>
    <x v="167"/>
    <x v="265"/>
    <x v="4"/>
  </r>
  <r>
    <x v="0"/>
    <x v="18"/>
    <x v="18"/>
    <x v="34"/>
    <x v="34"/>
    <x v="34"/>
    <x v="18"/>
    <x v="152"/>
    <x v="273"/>
    <x v="149"/>
    <x v="296"/>
    <x v="135"/>
    <x v="266"/>
    <x v="7"/>
  </r>
  <r>
    <x v="0"/>
    <x v="18"/>
    <x v="18"/>
    <x v="16"/>
    <x v="16"/>
    <x v="16"/>
    <x v="19"/>
    <x v="153"/>
    <x v="274"/>
    <x v="134"/>
    <x v="118"/>
    <x v="163"/>
    <x v="52"/>
    <x v="4"/>
  </r>
  <r>
    <x v="0"/>
    <x v="19"/>
    <x v="19"/>
    <x v="0"/>
    <x v="0"/>
    <x v="0"/>
    <x v="0"/>
    <x v="250"/>
    <x v="275"/>
    <x v="197"/>
    <x v="297"/>
    <x v="193"/>
    <x v="267"/>
    <x v="4"/>
  </r>
  <r>
    <x v="0"/>
    <x v="19"/>
    <x v="19"/>
    <x v="1"/>
    <x v="1"/>
    <x v="1"/>
    <x v="1"/>
    <x v="251"/>
    <x v="276"/>
    <x v="198"/>
    <x v="298"/>
    <x v="54"/>
    <x v="43"/>
    <x v="4"/>
  </r>
  <r>
    <x v="0"/>
    <x v="19"/>
    <x v="19"/>
    <x v="2"/>
    <x v="2"/>
    <x v="2"/>
    <x v="2"/>
    <x v="252"/>
    <x v="277"/>
    <x v="199"/>
    <x v="299"/>
    <x v="194"/>
    <x v="268"/>
    <x v="4"/>
  </r>
  <r>
    <x v="0"/>
    <x v="19"/>
    <x v="19"/>
    <x v="4"/>
    <x v="4"/>
    <x v="4"/>
    <x v="3"/>
    <x v="106"/>
    <x v="278"/>
    <x v="200"/>
    <x v="300"/>
    <x v="195"/>
    <x v="269"/>
    <x v="4"/>
  </r>
  <r>
    <x v="0"/>
    <x v="19"/>
    <x v="19"/>
    <x v="3"/>
    <x v="3"/>
    <x v="3"/>
    <x v="4"/>
    <x v="253"/>
    <x v="279"/>
    <x v="201"/>
    <x v="64"/>
    <x v="99"/>
    <x v="270"/>
    <x v="4"/>
  </r>
  <r>
    <x v="0"/>
    <x v="19"/>
    <x v="19"/>
    <x v="5"/>
    <x v="5"/>
    <x v="5"/>
    <x v="5"/>
    <x v="254"/>
    <x v="217"/>
    <x v="202"/>
    <x v="211"/>
    <x v="196"/>
    <x v="271"/>
    <x v="4"/>
  </r>
  <r>
    <x v="0"/>
    <x v="19"/>
    <x v="19"/>
    <x v="8"/>
    <x v="8"/>
    <x v="8"/>
    <x v="6"/>
    <x v="110"/>
    <x v="280"/>
    <x v="165"/>
    <x v="301"/>
    <x v="26"/>
    <x v="272"/>
    <x v="4"/>
  </r>
  <r>
    <x v="0"/>
    <x v="19"/>
    <x v="19"/>
    <x v="7"/>
    <x v="7"/>
    <x v="7"/>
    <x v="7"/>
    <x v="255"/>
    <x v="281"/>
    <x v="114"/>
    <x v="302"/>
    <x v="137"/>
    <x v="257"/>
    <x v="4"/>
  </r>
  <r>
    <x v="0"/>
    <x v="19"/>
    <x v="19"/>
    <x v="6"/>
    <x v="6"/>
    <x v="6"/>
    <x v="8"/>
    <x v="256"/>
    <x v="282"/>
    <x v="203"/>
    <x v="22"/>
    <x v="74"/>
    <x v="273"/>
    <x v="10"/>
  </r>
  <r>
    <x v="0"/>
    <x v="19"/>
    <x v="19"/>
    <x v="9"/>
    <x v="9"/>
    <x v="9"/>
    <x v="9"/>
    <x v="170"/>
    <x v="283"/>
    <x v="204"/>
    <x v="292"/>
    <x v="193"/>
    <x v="267"/>
    <x v="4"/>
  </r>
  <r>
    <x v="0"/>
    <x v="19"/>
    <x v="19"/>
    <x v="10"/>
    <x v="10"/>
    <x v="10"/>
    <x v="10"/>
    <x v="120"/>
    <x v="284"/>
    <x v="135"/>
    <x v="49"/>
    <x v="70"/>
    <x v="255"/>
    <x v="4"/>
  </r>
  <r>
    <x v="0"/>
    <x v="19"/>
    <x v="19"/>
    <x v="11"/>
    <x v="11"/>
    <x v="11"/>
    <x v="11"/>
    <x v="180"/>
    <x v="285"/>
    <x v="205"/>
    <x v="303"/>
    <x v="186"/>
    <x v="274"/>
    <x v="4"/>
  </r>
  <r>
    <x v="0"/>
    <x v="19"/>
    <x v="19"/>
    <x v="13"/>
    <x v="13"/>
    <x v="13"/>
    <x v="12"/>
    <x v="257"/>
    <x v="132"/>
    <x v="206"/>
    <x v="304"/>
    <x v="75"/>
    <x v="91"/>
    <x v="4"/>
  </r>
  <r>
    <x v="0"/>
    <x v="19"/>
    <x v="19"/>
    <x v="12"/>
    <x v="12"/>
    <x v="12"/>
    <x v="13"/>
    <x v="144"/>
    <x v="237"/>
    <x v="206"/>
    <x v="304"/>
    <x v="160"/>
    <x v="45"/>
    <x v="4"/>
  </r>
  <r>
    <x v="0"/>
    <x v="19"/>
    <x v="19"/>
    <x v="16"/>
    <x v="16"/>
    <x v="16"/>
    <x v="14"/>
    <x v="258"/>
    <x v="185"/>
    <x v="90"/>
    <x v="18"/>
    <x v="126"/>
    <x v="275"/>
    <x v="9"/>
  </r>
  <r>
    <x v="0"/>
    <x v="19"/>
    <x v="19"/>
    <x v="19"/>
    <x v="19"/>
    <x v="19"/>
    <x v="15"/>
    <x v="55"/>
    <x v="117"/>
    <x v="147"/>
    <x v="305"/>
    <x v="145"/>
    <x v="276"/>
    <x v="4"/>
  </r>
  <r>
    <x v="0"/>
    <x v="19"/>
    <x v="19"/>
    <x v="18"/>
    <x v="18"/>
    <x v="18"/>
    <x v="16"/>
    <x v="56"/>
    <x v="147"/>
    <x v="178"/>
    <x v="306"/>
    <x v="124"/>
    <x v="277"/>
    <x v="4"/>
  </r>
  <r>
    <x v="0"/>
    <x v="19"/>
    <x v="19"/>
    <x v="17"/>
    <x v="17"/>
    <x v="17"/>
    <x v="17"/>
    <x v="259"/>
    <x v="52"/>
    <x v="132"/>
    <x v="71"/>
    <x v="182"/>
    <x v="278"/>
    <x v="4"/>
  </r>
  <r>
    <x v="0"/>
    <x v="19"/>
    <x v="19"/>
    <x v="15"/>
    <x v="15"/>
    <x v="15"/>
    <x v="18"/>
    <x v="76"/>
    <x v="262"/>
    <x v="141"/>
    <x v="307"/>
    <x v="160"/>
    <x v="45"/>
    <x v="4"/>
  </r>
  <r>
    <x v="0"/>
    <x v="19"/>
    <x v="19"/>
    <x v="14"/>
    <x v="14"/>
    <x v="14"/>
    <x v="19"/>
    <x v="172"/>
    <x v="119"/>
    <x v="66"/>
    <x v="308"/>
    <x v="185"/>
    <x v="34"/>
    <x v="4"/>
  </r>
  <r>
    <x v="0"/>
    <x v="20"/>
    <x v="20"/>
    <x v="1"/>
    <x v="1"/>
    <x v="1"/>
    <x v="0"/>
    <x v="260"/>
    <x v="286"/>
    <x v="207"/>
    <x v="309"/>
    <x v="137"/>
    <x v="279"/>
    <x v="4"/>
  </r>
  <r>
    <x v="0"/>
    <x v="20"/>
    <x v="20"/>
    <x v="0"/>
    <x v="0"/>
    <x v="0"/>
    <x v="1"/>
    <x v="261"/>
    <x v="287"/>
    <x v="208"/>
    <x v="310"/>
    <x v="167"/>
    <x v="74"/>
    <x v="4"/>
  </r>
  <r>
    <x v="0"/>
    <x v="20"/>
    <x v="20"/>
    <x v="2"/>
    <x v="2"/>
    <x v="2"/>
    <x v="2"/>
    <x v="204"/>
    <x v="288"/>
    <x v="209"/>
    <x v="311"/>
    <x v="197"/>
    <x v="280"/>
    <x v="4"/>
  </r>
  <r>
    <x v="0"/>
    <x v="20"/>
    <x v="20"/>
    <x v="4"/>
    <x v="4"/>
    <x v="4"/>
    <x v="3"/>
    <x v="262"/>
    <x v="125"/>
    <x v="210"/>
    <x v="225"/>
    <x v="198"/>
    <x v="281"/>
    <x v="4"/>
  </r>
  <r>
    <x v="0"/>
    <x v="20"/>
    <x v="20"/>
    <x v="3"/>
    <x v="3"/>
    <x v="3"/>
    <x v="4"/>
    <x v="249"/>
    <x v="289"/>
    <x v="107"/>
    <x v="5"/>
    <x v="199"/>
    <x v="112"/>
    <x v="4"/>
  </r>
  <r>
    <x v="0"/>
    <x v="20"/>
    <x v="20"/>
    <x v="5"/>
    <x v="5"/>
    <x v="5"/>
    <x v="5"/>
    <x v="71"/>
    <x v="128"/>
    <x v="107"/>
    <x v="5"/>
    <x v="177"/>
    <x v="282"/>
    <x v="4"/>
  </r>
  <r>
    <x v="0"/>
    <x v="20"/>
    <x v="20"/>
    <x v="6"/>
    <x v="6"/>
    <x v="6"/>
    <x v="6"/>
    <x v="263"/>
    <x v="41"/>
    <x v="69"/>
    <x v="94"/>
    <x v="120"/>
    <x v="267"/>
    <x v="4"/>
  </r>
  <r>
    <x v="0"/>
    <x v="20"/>
    <x v="20"/>
    <x v="9"/>
    <x v="9"/>
    <x v="9"/>
    <x v="7"/>
    <x v="264"/>
    <x v="42"/>
    <x v="107"/>
    <x v="5"/>
    <x v="50"/>
    <x v="283"/>
    <x v="4"/>
  </r>
  <r>
    <x v="0"/>
    <x v="20"/>
    <x v="20"/>
    <x v="7"/>
    <x v="7"/>
    <x v="7"/>
    <x v="8"/>
    <x v="258"/>
    <x v="246"/>
    <x v="67"/>
    <x v="312"/>
    <x v="188"/>
    <x v="152"/>
    <x v="4"/>
  </r>
  <r>
    <x v="0"/>
    <x v="20"/>
    <x v="20"/>
    <x v="10"/>
    <x v="10"/>
    <x v="10"/>
    <x v="9"/>
    <x v="265"/>
    <x v="290"/>
    <x v="139"/>
    <x v="313"/>
    <x v="143"/>
    <x v="284"/>
    <x v="4"/>
  </r>
  <r>
    <x v="0"/>
    <x v="20"/>
    <x v="20"/>
    <x v="8"/>
    <x v="8"/>
    <x v="8"/>
    <x v="10"/>
    <x v="59"/>
    <x v="9"/>
    <x v="132"/>
    <x v="314"/>
    <x v="177"/>
    <x v="282"/>
    <x v="4"/>
  </r>
  <r>
    <x v="0"/>
    <x v="20"/>
    <x v="20"/>
    <x v="12"/>
    <x v="12"/>
    <x v="12"/>
    <x v="11"/>
    <x v="91"/>
    <x v="29"/>
    <x v="74"/>
    <x v="61"/>
    <x v="30"/>
    <x v="116"/>
    <x v="4"/>
  </r>
  <r>
    <x v="0"/>
    <x v="20"/>
    <x v="20"/>
    <x v="21"/>
    <x v="21"/>
    <x v="21"/>
    <x v="12"/>
    <x v="145"/>
    <x v="291"/>
    <x v="156"/>
    <x v="201"/>
    <x v="186"/>
    <x v="174"/>
    <x v="4"/>
  </r>
  <r>
    <x v="0"/>
    <x v="20"/>
    <x v="20"/>
    <x v="11"/>
    <x v="11"/>
    <x v="11"/>
    <x v="13"/>
    <x v="266"/>
    <x v="292"/>
    <x v="35"/>
    <x v="315"/>
    <x v="158"/>
    <x v="259"/>
    <x v="4"/>
  </r>
  <r>
    <x v="0"/>
    <x v="20"/>
    <x v="20"/>
    <x v="15"/>
    <x v="15"/>
    <x v="15"/>
    <x v="14"/>
    <x v="139"/>
    <x v="293"/>
    <x v="130"/>
    <x v="316"/>
    <x v="192"/>
    <x v="51"/>
    <x v="4"/>
  </r>
  <r>
    <x v="0"/>
    <x v="20"/>
    <x v="20"/>
    <x v="27"/>
    <x v="27"/>
    <x v="27"/>
    <x v="15"/>
    <x v="140"/>
    <x v="171"/>
    <x v="62"/>
    <x v="317"/>
    <x v="163"/>
    <x v="285"/>
    <x v="4"/>
  </r>
  <r>
    <x v="0"/>
    <x v="20"/>
    <x v="20"/>
    <x v="18"/>
    <x v="18"/>
    <x v="18"/>
    <x v="15"/>
    <x v="140"/>
    <x v="171"/>
    <x v="172"/>
    <x v="35"/>
    <x v="200"/>
    <x v="286"/>
    <x v="4"/>
  </r>
  <r>
    <x v="0"/>
    <x v="20"/>
    <x v="20"/>
    <x v="13"/>
    <x v="13"/>
    <x v="13"/>
    <x v="17"/>
    <x v="141"/>
    <x v="294"/>
    <x v="90"/>
    <x v="318"/>
    <x v="159"/>
    <x v="148"/>
    <x v="4"/>
  </r>
  <r>
    <x v="0"/>
    <x v="20"/>
    <x v="20"/>
    <x v="25"/>
    <x v="25"/>
    <x v="25"/>
    <x v="18"/>
    <x v="267"/>
    <x v="118"/>
    <x v="130"/>
    <x v="316"/>
    <x v="155"/>
    <x v="210"/>
    <x v="4"/>
  </r>
  <r>
    <x v="0"/>
    <x v="20"/>
    <x v="20"/>
    <x v="19"/>
    <x v="19"/>
    <x v="19"/>
    <x v="19"/>
    <x v="217"/>
    <x v="148"/>
    <x v="137"/>
    <x v="319"/>
    <x v="168"/>
    <x v="287"/>
    <x v="4"/>
  </r>
  <r>
    <x v="0"/>
    <x v="21"/>
    <x v="21"/>
    <x v="1"/>
    <x v="1"/>
    <x v="1"/>
    <x v="0"/>
    <x v="81"/>
    <x v="295"/>
    <x v="211"/>
    <x v="320"/>
    <x v="183"/>
    <x v="288"/>
    <x v="4"/>
  </r>
  <r>
    <x v="0"/>
    <x v="21"/>
    <x v="21"/>
    <x v="0"/>
    <x v="0"/>
    <x v="0"/>
    <x v="1"/>
    <x v="45"/>
    <x v="296"/>
    <x v="212"/>
    <x v="321"/>
    <x v="146"/>
    <x v="236"/>
    <x v="4"/>
  </r>
  <r>
    <x v="0"/>
    <x v="21"/>
    <x v="21"/>
    <x v="3"/>
    <x v="3"/>
    <x v="3"/>
    <x v="2"/>
    <x v="268"/>
    <x v="297"/>
    <x v="167"/>
    <x v="322"/>
    <x v="140"/>
    <x v="289"/>
    <x v="4"/>
  </r>
  <r>
    <x v="0"/>
    <x v="21"/>
    <x v="21"/>
    <x v="6"/>
    <x v="6"/>
    <x v="6"/>
    <x v="3"/>
    <x v="269"/>
    <x v="298"/>
    <x v="213"/>
    <x v="323"/>
    <x v="58"/>
    <x v="86"/>
    <x v="7"/>
  </r>
  <r>
    <x v="0"/>
    <x v="21"/>
    <x v="21"/>
    <x v="4"/>
    <x v="4"/>
    <x v="4"/>
    <x v="4"/>
    <x v="270"/>
    <x v="299"/>
    <x v="206"/>
    <x v="324"/>
    <x v="201"/>
    <x v="290"/>
    <x v="4"/>
  </r>
  <r>
    <x v="0"/>
    <x v="21"/>
    <x v="21"/>
    <x v="2"/>
    <x v="2"/>
    <x v="2"/>
    <x v="5"/>
    <x v="121"/>
    <x v="300"/>
    <x v="214"/>
    <x v="325"/>
    <x v="177"/>
    <x v="291"/>
    <x v="4"/>
  </r>
  <r>
    <x v="0"/>
    <x v="21"/>
    <x v="21"/>
    <x v="5"/>
    <x v="5"/>
    <x v="5"/>
    <x v="6"/>
    <x v="248"/>
    <x v="301"/>
    <x v="37"/>
    <x v="326"/>
    <x v="149"/>
    <x v="208"/>
    <x v="4"/>
  </r>
  <r>
    <x v="0"/>
    <x v="21"/>
    <x v="21"/>
    <x v="7"/>
    <x v="7"/>
    <x v="7"/>
    <x v="7"/>
    <x v="53"/>
    <x v="302"/>
    <x v="215"/>
    <x v="109"/>
    <x v="157"/>
    <x v="292"/>
    <x v="7"/>
  </r>
  <r>
    <x v="0"/>
    <x v="21"/>
    <x v="21"/>
    <x v="8"/>
    <x v="8"/>
    <x v="8"/>
    <x v="8"/>
    <x v="55"/>
    <x v="303"/>
    <x v="216"/>
    <x v="103"/>
    <x v="72"/>
    <x v="293"/>
    <x v="4"/>
  </r>
  <r>
    <x v="0"/>
    <x v="21"/>
    <x v="21"/>
    <x v="9"/>
    <x v="9"/>
    <x v="9"/>
    <x v="9"/>
    <x v="215"/>
    <x v="44"/>
    <x v="165"/>
    <x v="327"/>
    <x v="61"/>
    <x v="294"/>
    <x v="4"/>
  </r>
  <r>
    <x v="0"/>
    <x v="21"/>
    <x v="21"/>
    <x v="31"/>
    <x v="31"/>
    <x v="31"/>
    <x v="10"/>
    <x v="271"/>
    <x v="304"/>
    <x v="56"/>
    <x v="328"/>
    <x v="202"/>
    <x v="295"/>
    <x v="4"/>
  </r>
  <r>
    <x v="0"/>
    <x v="21"/>
    <x v="21"/>
    <x v="10"/>
    <x v="10"/>
    <x v="10"/>
    <x v="11"/>
    <x v="76"/>
    <x v="196"/>
    <x v="217"/>
    <x v="131"/>
    <x v="162"/>
    <x v="133"/>
    <x v="4"/>
  </r>
  <r>
    <x v="0"/>
    <x v="21"/>
    <x v="21"/>
    <x v="24"/>
    <x v="24"/>
    <x v="24"/>
    <x v="12"/>
    <x v="211"/>
    <x v="305"/>
    <x v="57"/>
    <x v="329"/>
    <x v="59"/>
    <x v="296"/>
    <x v="4"/>
  </r>
  <r>
    <x v="0"/>
    <x v="21"/>
    <x v="21"/>
    <x v="12"/>
    <x v="12"/>
    <x v="12"/>
    <x v="13"/>
    <x v="140"/>
    <x v="306"/>
    <x v="177"/>
    <x v="330"/>
    <x v="188"/>
    <x v="297"/>
    <x v="4"/>
  </r>
  <r>
    <x v="0"/>
    <x v="21"/>
    <x v="21"/>
    <x v="18"/>
    <x v="18"/>
    <x v="18"/>
    <x v="14"/>
    <x v="187"/>
    <x v="159"/>
    <x v="130"/>
    <x v="331"/>
    <x v="61"/>
    <x v="294"/>
    <x v="4"/>
  </r>
  <r>
    <x v="0"/>
    <x v="21"/>
    <x v="21"/>
    <x v="11"/>
    <x v="11"/>
    <x v="11"/>
    <x v="15"/>
    <x v="141"/>
    <x v="198"/>
    <x v="127"/>
    <x v="82"/>
    <x v="143"/>
    <x v="298"/>
    <x v="4"/>
  </r>
  <r>
    <x v="0"/>
    <x v="21"/>
    <x v="21"/>
    <x v="13"/>
    <x v="13"/>
    <x v="13"/>
    <x v="16"/>
    <x v="147"/>
    <x v="307"/>
    <x v="141"/>
    <x v="51"/>
    <x v="158"/>
    <x v="122"/>
    <x v="4"/>
  </r>
  <r>
    <x v="0"/>
    <x v="21"/>
    <x v="21"/>
    <x v="15"/>
    <x v="15"/>
    <x v="15"/>
    <x v="17"/>
    <x v="217"/>
    <x v="238"/>
    <x v="133"/>
    <x v="332"/>
    <x v="169"/>
    <x v="299"/>
    <x v="4"/>
  </r>
  <r>
    <x v="0"/>
    <x v="21"/>
    <x v="21"/>
    <x v="20"/>
    <x v="20"/>
    <x v="20"/>
    <x v="18"/>
    <x v="246"/>
    <x v="119"/>
    <x v="121"/>
    <x v="91"/>
    <x v="159"/>
    <x v="300"/>
    <x v="4"/>
  </r>
  <r>
    <x v="0"/>
    <x v="21"/>
    <x v="21"/>
    <x v="16"/>
    <x v="16"/>
    <x v="16"/>
    <x v="19"/>
    <x v="184"/>
    <x v="308"/>
    <x v="145"/>
    <x v="333"/>
    <x v="159"/>
    <x v="300"/>
    <x v="4"/>
  </r>
  <r>
    <x v="0"/>
    <x v="22"/>
    <x v="22"/>
    <x v="0"/>
    <x v="0"/>
    <x v="0"/>
    <x v="0"/>
    <x v="37"/>
    <x v="309"/>
    <x v="218"/>
    <x v="334"/>
    <x v="152"/>
    <x v="163"/>
    <x v="4"/>
  </r>
  <r>
    <x v="0"/>
    <x v="22"/>
    <x v="22"/>
    <x v="1"/>
    <x v="1"/>
    <x v="1"/>
    <x v="1"/>
    <x v="272"/>
    <x v="310"/>
    <x v="219"/>
    <x v="335"/>
    <x v="146"/>
    <x v="33"/>
    <x v="4"/>
  </r>
  <r>
    <x v="0"/>
    <x v="22"/>
    <x v="22"/>
    <x v="4"/>
    <x v="4"/>
    <x v="4"/>
    <x v="2"/>
    <x v="52"/>
    <x v="242"/>
    <x v="220"/>
    <x v="336"/>
    <x v="203"/>
    <x v="301"/>
    <x v="4"/>
  </r>
  <r>
    <x v="0"/>
    <x v="22"/>
    <x v="22"/>
    <x v="3"/>
    <x v="3"/>
    <x v="3"/>
    <x v="3"/>
    <x v="68"/>
    <x v="311"/>
    <x v="189"/>
    <x v="43"/>
    <x v="75"/>
    <x v="302"/>
    <x v="4"/>
  </r>
  <r>
    <x v="0"/>
    <x v="22"/>
    <x v="22"/>
    <x v="5"/>
    <x v="5"/>
    <x v="5"/>
    <x v="4"/>
    <x v="57"/>
    <x v="204"/>
    <x v="75"/>
    <x v="337"/>
    <x v="77"/>
    <x v="303"/>
    <x v="4"/>
  </r>
  <r>
    <x v="0"/>
    <x v="22"/>
    <x v="22"/>
    <x v="6"/>
    <x v="6"/>
    <x v="6"/>
    <x v="5"/>
    <x v="273"/>
    <x v="168"/>
    <x v="83"/>
    <x v="338"/>
    <x v="163"/>
    <x v="304"/>
    <x v="4"/>
  </r>
  <r>
    <x v="0"/>
    <x v="22"/>
    <x v="22"/>
    <x v="7"/>
    <x v="7"/>
    <x v="7"/>
    <x v="6"/>
    <x v="125"/>
    <x v="312"/>
    <x v="37"/>
    <x v="116"/>
    <x v="143"/>
    <x v="305"/>
    <x v="10"/>
  </r>
  <r>
    <x v="0"/>
    <x v="22"/>
    <x v="22"/>
    <x v="10"/>
    <x v="10"/>
    <x v="10"/>
    <x v="7"/>
    <x v="212"/>
    <x v="111"/>
    <x v="123"/>
    <x v="45"/>
    <x v="156"/>
    <x v="306"/>
    <x v="4"/>
  </r>
  <r>
    <x v="0"/>
    <x v="22"/>
    <x v="22"/>
    <x v="8"/>
    <x v="8"/>
    <x v="8"/>
    <x v="8"/>
    <x v="137"/>
    <x v="313"/>
    <x v="73"/>
    <x v="339"/>
    <x v="200"/>
    <x v="307"/>
    <x v="4"/>
  </r>
  <r>
    <x v="0"/>
    <x v="22"/>
    <x v="22"/>
    <x v="2"/>
    <x v="2"/>
    <x v="2"/>
    <x v="9"/>
    <x v="266"/>
    <x v="112"/>
    <x v="172"/>
    <x v="340"/>
    <x v="90"/>
    <x v="308"/>
    <x v="4"/>
  </r>
  <r>
    <x v="0"/>
    <x v="22"/>
    <x v="22"/>
    <x v="9"/>
    <x v="9"/>
    <x v="9"/>
    <x v="10"/>
    <x v="274"/>
    <x v="314"/>
    <x v="178"/>
    <x v="82"/>
    <x v="120"/>
    <x v="246"/>
    <x v="4"/>
  </r>
  <r>
    <x v="0"/>
    <x v="22"/>
    <x v="22"/>
    <x v="13"/>
    <x v="13"/>
    <x v="13"/>
    <x v="11"/>
    <x v="139"/>
    <x v="10"/>
    <x v="142"/>
    <x v="341"/>
    <x v="155"/>
    <x v="309"/>
    <x v="4"/>
  </r>
  <r>
    <x v="0"/>
    <x v="22"/>
    <x v="22"/>
    <x v="12"/>
    <x v="12"/>
    <x v="12"/>
    <x v="12"/>
    <x v="275"/>
    <x v="48"/>
    <x v="164"/>
    <x v="342"/>
    <x v="49"/>
    <x v="310"/>
    <x v="4"/>
  </r>
  <r>
    <x v="0"/>
    <x v="22"/>
    <x v="22"/>
    <x v="11"/>
    <x v="11"/>
    <x v="11"/>
    <x v="13"/>
    <x v="165"/>
    <x v="249"/>
    <x v="74"/>
    <x v="343"/>
    <x v="162"/>
    <x v="285"/>
    <x v="4"/>
  </r>
  <r>
    <x v="0"/>
    <x v="22"/>
    <x v="22"/>
    <x v="29"/>
    <x v="29"/>
    <x v="29"/>
    <x v="14"/>
    <x v="168"/>
    <x v="315"/>
    <x v="121"/>
    <x v="230"/>
    <x v="145"/>
    <x v="148"/>
    <x v="4"/>
  </r>
  <r>
    <x v="0"/>
    <x v="22"/>
    <x v="22"/>
    <x v="16"/>
    <x v="16"/>
    <x v="16"/>
    <x v="15"/>
    <x v="190"/>
    <x v="211"/>
    <x v="149"/>
    <x v="344"/>
    <x v="134"/>
    <x v="49"/>
    <x v="4"/>
  </r>
  <r>
    <x v="0"/>
    <x v="22"/>
    <x v="22"/>
    <x v="17"/>
    <x v="17"/>
    <x v="17"/>
    <x v="15"/>
    <x v="190"/>
    <x v="211"/>
    <x v="144"/>
    <x v="118"/>
    <x v="130"/>
    <x v="158"/>
    <x v="4"/>
  </r>
  <r>
    <x v="0"/>
    <x v="22"/>
    <x v="22"/>
    <x v="26"/>
    <x v="26"/>
    <x v="26"/>
    <x v="17"/>
    <x v="169"/>
    <x v="35"/>
    <x v="143"/>
    <x v="247"/>
    <x v="84"/>
    <x v="150"/>
    <x v="4"/>
  </r>
  <r>
    <x v="0"/>
    <x v="22"/>
    <x v="22"/>
    <x v="15"/>
    <x v="15"/>
    <x v="15"/>
    <x v="18"/>
    <x v="154"/>
    <x v="316"/>
    <x v="66"/>
    <x v="345"/>
    <x v="144"/>
    <x v="311"/>
    <x v="4"/>
  </r>
  <r>
    <x v="0"/>
    <x v="22"/>
    <x v="22"/>
    <x v="21"/>
    <x v="21"/>
    <x v="21"/>
    <x v="18"/>
    <x v="154"/>
    <x v="316"/>
    <x v="55"/>
    <x v="286"/>
    <x v="163"/>
    <x v="304"/>
    <x v="7"/>
  </r>
  <r>
    <x v="0"/>
    <x v="23"/>
    <x v="23"/>
    <x v="1"/>
    <x v="1"/>
    <x v="1"/>
    <x v="0"/>
    <x v="253"/>
    <x v="317"/>
    <x v="207"/>
    <x v="346"/>
    <x v="183"/>
    <x v="312"/>
    <x v="7"/>
  </r>
  <r>
    <x v="0"/>
    <x v="23"/>
    <x v="23"/>
    <x v="0"/>
    <x v="0"/>
    <x v="0"/>
    <x v="1"/>
    <x v="276"/>
    <x v="318"/>
    <x v="221"/>
    <x v="241"/>
    <x v="69"/>
    <x v="33"/>
    <x v="4"/>
  </r>
  <r>
    <x v="0"/>
    <x v="23"/>
    <x v="23"/>
    <x v="3"/>
    <x v="3"/>
    <x v="3"/>
    <x v="2"/>
    <x v="129"/>
    <x v="278"/>
    <x v="200"/>
    <x v="347"/>
    <x v="193"/>
    <x v="289"/>
    <x v="4"/>
  </r>
  <r>
    <x v="0"/>
    <x v="23"/>
    <x v="23"/>
    <x v="5"/>
    <x v="5"/>
    <x v="5"/>
    <x v="3"/>
    <x v="155"/>
    <x v="266"/>
    <x v="222"/>
    <x v="348"/>
    <x v="185"/>
    <x v="76"/>
    <x v="4"/>
  </r>
  <r>
    <x v="0"/>
    <x v="23"/>
    <x v="23"/>
    <x v="2"/>
    <x v="2"/>
    <x v="2"/>
    <x v="4"/>
    <x v="277"/>
    <x v="319"/>
    <x v="223"/>
    <x v="349"/>
    <x v="189"/>
    <x v="313"/>
    <x v="7"/>
  </r>
  <r>
    <x v="0"/>
    <x v="23"/>
    <x v="23"/>
    <x v="4"/>
    <x v="4"/>
    <x v="4"/>
    <x v="5"/>
    <x v="67"/>
    <x v="320"/>
    <x v="136"/>
    <x v="95"/>
    <x v="204"/>
    <x v="314"/>
    <x v="4"/>
  </r>
  <r>
    <x v="0"/>
    <x v="23"/>
    <x v="23"/>
    <x v="7"/>
    <x v="7"/>
    <x v="7"/>
    <x v="6"/>
    <x v="278"/>
    <x v="321"/>
    <x v="224"/>
    <x v="350"/>
    <x v="146"/>
    <x v="315"/>
    <x v="4"/>
  </r>
  <r>
    <x v="0"/>
    <x v="23"/>
    <x v="23"/>
    <x v="6"/>
    <x v="6"/>
    <x v="6"/>
    <x v="7"/>
    <x v="70"/>
    <x v="244"/>
    <x v="225"/>
    <x v="2"/>
    <x v="133"/>
    <x v="97"/>
    <x v="7"/>
  </r>
  <r>
    <x v="0"/>
    <x v="23"/>
    <x v="23"/>
    <x v="8"/>
    <x v="8"/>
    <x v="8"/>
    <x v="8"/>
    <x v="209"/>
    <x v="322"/>
    <x v="34"/>
    <x v="164"/>
    <x v="160"/>
    <x v="316"/>
    <x v="4"/>
  </r>
  <r>
    <x v="0"/>
    <x v="23"/>
    <x v="23"/>
    <x v="9"/>
    <x v="9"/>
    <x v="9"/>
    <x v="9"/>
    <x v="227"/>
    <x v="323"/>
    <x v="138"/>
    <x v="351"/>
    <x v="61"/>
    <x v="63"/>
    <x v="4"/>
  </r>
  <r>
    <x v="0"/>
    <x v="23"/>
    <x v="23"/>
    <x v="10"/>
    <x v="10"/>
    <x v="10"/>
    <x v="10"/>
    <x v="92"/>
    <x v="247"/>
    <x v="184"/>
    <x v="352"/>
    <x v="166"/>
    <x v="317"/>
    <x v="4"/>
  </r>
  <r>
    <x v="0"/>
    <x v="23"/>
    <x v="23"/>
    <x v="11"/>
    <x v="11"/>
    <x v="11"/>
    <x v="11"/>
    <x v="279"/>
    <x v="324"/>
    <x v="63"/>
    <x v="4"/>
    <x v="144"/>
    <x v="191"/>
    <x v="4"/>
  </r>
  <r>
    <x v="0"/>
    <x v="23"/>
    <x v="23"/>
    <x v="12"/>
    <x v="12"/>
    <x v="12"/>
    <x v="12"/>
    <x v="94"/>
    <x v="47"/>
    <x v="196"/>
    <x v="220"/>
    <x v="158"/>
    <x v="318"/>
    <x v="4"/>
  </r>
  <r>
    <x v="0"/>
    <x v="23"/>
    <x v="23"/>
    <x v="13"/>
    <x v="13"/>
    <x v="13"/>
    <x v="13"/>
    <x v="267"/>
    <x v="101"/>
    <x v="137"/>
    <x v="184"/>
    <x v="157"/>
    <x v="147"/>
    <x v="4"/>
  </r>
  <r>
    <x v="0"/>
    <x v="23"/>
    <x v="23"/>
    <x v="22"/>
    <x v="22"/>
    <x v="22"/>
    <x v="14"/>
    <x v="183"/>
    <x v="251"/>
    <x v="141"/>
    <x v="121"/>
    <x v="89"/>
    <x v="319"/>
    <x v="4"/>
  </r>
  <r>
    <x v="0"/>
    <x v="23"/>
    <x v="23"/>
    <x v="24"/>
    <x v="24"/>
    <x v="24"/>
    <x v="15"/>
    <x v="185"/>
    <x v="35"/>
    <x v="158"/>
    <x v="353"/>
    <x v="151"/>
    <x v="320"/>
    <x v="4"/>
  </r>
  <r>
    <x v="0"/>
    <x v="23"/>
    <x v="23"/>
    <x v="17"/>
    <x v="17"/>
    <x v="17"/>
    <x v="15"/>
    <x v="185"/>
    <x v="35"/>
    <x v="72"/>
    <x v="124"/>
    <x v="169"/>
    <x v="176"/>
    <x v="4"/>
  </r>
  <r>
    <x v="0"/>
    <x v="23"/>
    <x v="23"/>
    <x v="15"/>
    <x v="15"/>
    <x v="15"/>
    <x v="17"/>
    <x v="150"/>
    <x v="325"/>
    <x v="72"/>
    <x v="124"/>
    <x v="135"/>
    <x v="321"/>
    <x v="4"/>
  </r>
  <r>
    <x v="0"/>
    <x v="23"/>
    <x v="23"/>
    <x v="29"/>
    <x v="29"/>
    <x v="29"/>
    <x v="18"/>
    <x v="151"/>
    <x v="274"/>
    <x v="66"/>
    <x v="253"/>
    <x v="169"/>
    <x v="176"/>
    <x v="7"/>
  </r>
  <r>
    <x v="0"/>
    <x v="23"/>
    <x v="23"/>
    <x v="16"/>
    <x v="16"/>
    <x v="16"/>
    <x v="19"/>
    <x v="230"/>
    <x v="326"/>
    <x v="145"/>
    <x v="354"/>
    <x v="130"/>
    <x v="322"/>
    <x v="4"/>
  </r>
  <r>
    <x v="0"/>
    <x v="23"/>
    <x v="23"/>
    <x v="14"/>
    <x v="14"/>
    <x v="14"/>
    <x v="19"/>
    <x v="230"/>
    <x v="326"/>
    <x v="121"/>
    <x v="355"/>
    <x v="167"/>
    <x v="323"/>
    <x v="4"/>
  </r>
  <r>
    <x v="0"/>
    <x v="24"/>
    <x v="24"/>
    <x v="0"/>
    <x v="0"/>
    <x v="0"/>
    <x v="0"/>
    <x v="87"/>
    <x v="327"/>
    <x v="117"/>
    <x v="356"/>
    <x v="120"/>
    <x v="324"/>
    <x v="4"/>
  </r>
  <r>
    <x v="0"/>
    <x v="24"/>
    <x v="24"/>
    <x v="1"/>
    <x v="1"/>
    <x v="1"/>
    <x v="1"/>
    <x v="51"/>
    <x v="328"/>
    <x v="124"/>
    <x v="357"/>
    <x v="135"/>
    <x v="34"/>
    <x v="4"/>
  </r>
  <r>
    <x v="0"/>
    <x v="24"/>
    <x v="24"/>
    <x v="2"/>
    <x v="2"/>
    <x v="2"/>
    <x v="2"/>
    <x v="280"/>
    <x v="329"/>
    <x v="128"/>
    <x v="191"/>
    <x v="56"/>
    <x v="325"/>
    <x v="4"/>
  </r>
  <r>
    <x v="0"/>
    <x v="24"/>
    <x v="24"/>
    <x v="4"/>
    <x v="4"/>
    <x v="4"/>
    <x v="3"/>
    <x v="56"/>
    <x v="330"/>
    <x v="150"/>
    <x v="101"/>
    <x v="205"/>
    <x v="326"/>
    <x v="4"/>
  </r>
  <r>
    <x v="0"/>
    <x v="24"/>
    <x v="24"/>
    <x v="3"/>
    <x v="3"/>
    <x v="3"/>
    <x v="4"/>
    <x v="75"/>
    <x v="39"/>
    <x v="109"/>
    <x v="358"/>
    <x v="74"/>
    <x v="327"/>
    <x v="4"/>
  </r>
  <r>
    <x v="0"/>
    <x v="24"/>
    <x v="24"/>
    <x v="12"/>
    <x v="12"/>
    <x v="12"/>
    <x v="5"/>
    <x v="266"/>
    <x v="331"/>
    <x v="56"/>
    <x v="87"/>
    <x v="136"/>
    <x v="112"/>
    <x v="4"/>
  </r>
  <r>
    <x v="0"/>
    <x v="24"/>
    <x v="24"/>
    <x v="5"/>
    <x v="5"/>
    <x v="5"/>
    <x v="6"/>
    <x v="138"/>
    <x v="332"/>
    <x v="168"/>
    <x v="100"/>
    <x v="151"/>
    <x v="286"/>
    <x v="4"/>
  </r>
  <r>
    <x v="0"/>
    <x v="24"/>
    <x v="24"/>
    <x v="7"/>
    <x v="7"/>
    <x v="7"/>
    <x v="7"/>
    <x v="141"/>
    <x v="97"/>
    <x v="226"/>
    <x v="359"/>
    <x v="141"/>
    <x v="56"/>
    <x v="7"/>
  </r>
  <r>
    <x v="0"/>
    <x v="24"/>
    <x v="24"/>
    <x v="9"/>
    <x v="9"/>
    <x v="9"/>
    <x v="8"/>
    <x v="147"/>
    <x v="44"/>
    <x v="146"/>
    <x v="86"/>
    <x v="190"/>
    <x v="328"/>
    <x v="4"/>
  </r>
  <r>
    <x v="0"/>
    <x v="24"/>
    <x v="24"/>
    <x v="6"/>
    <x v="6"/>
    <x v="6"/>
    <x v="9"/>
    <x v="245"/>
    <x v="333"/>
    <x v="227"/>
    <x v="67"/>
    <x v="130"/>
    <x v="43"/>
    <x v="4"/>
  </r>
  <r>
    <x v="0"/>
    <x v="24"/>
    <x v="24"/>
    <x v="10"/>
    <x v="10"/>
    <x v="10"/>
    <x v="10"/>
    <x v="148"/>
    <x v="313"/>
    <x v="52"/>
    <x v="322"/>
    <x v="166"/>
    <x v="329"/>
    <x v="4"/>
  </r>
  <r>
    <x v="0"/>
    <x v="24"/>
    <x v="24"/>
    <x v="8"/>
    <x v="8"/>
    <x v="8"/>
    <x v="11"/>
    <x v="183"/>
    <x v="334"/>
    <x v="72"/>
    <x v="360"/>
    <x v="159"/>
    <x v="160"/>
    <x v="4"/>
  </r>
  <r>
    <x v="0"/>
    <x v="24"/>
    <x v="24"/>
    <x v="13"/>
    <x v="13"/>
    <x v="13"/>
    <x v="12"/>
    <x v="174"/>
    <x v="172"/>
    <x v="72"/>
    <x v="360"/>
    <x v="168"/>
    <x v="10"/>
    <x v="4"/>
  </r>
  <r>
    <x v="0"/>
    <x v="24"/>
    <x v="24"/>
    <x v="19"/>
    <x v="19"/>
    <x v="19"/>
    <x v="13"/>
    <x v="152"/>
    <x v="335"/>
    <x v="155"/>
    <x v="83"/>
    <x v="143"/>
    <x v="124"/>
    <x v="4"/>
  </r>
  <r>
    <x v="0"/>
    <x v="24"/>
    <x v="24"/>
    <x v="17"/>
    <x v="17"/>
    <x v="17"/>
    <x v="14"/>
    <x v="154"/>
    <x v="52"/>
    <x v="39"/>
    <x v="361"/>
    <x v="188"/>
    <x v="53"/>
    <x v="4"/>
  </r>
  <r>
    <x v="0"/>
    <x v="24"/>
    <x v="24"/>
    <x v="11"/>
    <x v="11"/>
    <x v="11"/>
    <x v="15"/>
    <x v="281"/>
    <x v="35"/>
    <x v="154"/>
    <x v="362"/>
    <x v="141"/>
    <x v="56"/>
    <x v="4"/>
  </r>
  <r>
    <x v="0"/>
    <x v="24"/>
    <x v="24"/>
    <x v="16"/>
    <x v="16"/>
    <x v="16"/>
    <x v="16"/>
    <x v="282"/>
    <x v="121"/>
    <x v="151"/>
    <x v="253"/>
    <x v="168"/>
    <x v="10"/>
    <x v="4"/>
  </r>
  <r>
    <x v="0"/>
    <x v="24"/>
    <x v="24"/>
    <x v="32"/>
    <x v="32"/>
    <x v="32"/>
    <x v="16"/>
    <x v="282"/>
    <x v="121"/>
    <x v="119"/>
    <x v="329"/>
    <x v="89"/>
    <x v="134"/>
    <x v="4"/>
  </r>
  <r>
    <x v="0"/>
    <x v="24"/>
    <x v="24"/>
    <x v="30"/>
    <x v="30"/>
    <x v="30"/>
    <x v="18"/>
    <x v="194"/>
    <x v="336"/>
    <x v="149"/>
    <x v="17"/>
    <x v="172"/>
    <x v="145"/>
    <x v="4"/>
  </r>
  <r>
    <x v="0"/>
    <x v="24"/>
    <x v="24"/>
    <x v="26"/>
    <x v="26"/>
    <x v="26"/>
    <x v="18"/>
    <x v="194"/>
    <x v="336"/>
    <x v="145"/>
    <x v="363"/>
    <x v="154"/>
    <x v="330"/>
    <x v="7"/>
  </r>
  <r>
    <x v="0"/>
    <x v="24"/>
    <x v="24"/>
    <x v="21"/>
    <x v="21"/>
    <x v="21"/>
    <x v="18"/>
    <x v="194"/>
    <x v="336"/>
    <x v="55"/>
    <x v="364"/>
    <x v="143"/>
    <x v="124"/>
    <x v="7"/>
  </r>
  <r>
    <x v="0"/>
    <x v="24"/>
    <x v="24"/>
    <x v="33"/>
    <x v="33"/>
    <x v="33"/>
    <x v="18"/>
    <x v="194"/>
    <x v="336"/>
    <x v="228"/>
    <x v="365"/>
    <x v="143"/>
    <x v="124"/>
    <x v="4"/>
  </r>
  <r>
    <x v="0"/>
    <x v="25"/>
    <x v="25"/>
    <x v="1"/>
    <x v="1"/>
    <x v="1"/>
    <x v="0"/>
    <x v="269"/>
    <x v="337"/>
    <x v="229"/>
    <x v="366"/>
    <x v="163"/>
    <x v="331"/>
    <x v="7"/>
  </r>
  <r>
    <x v="0"/>
    <x v="25"/>
    <x v="25"/>
    <x v="2"/>
    <x v="2"/>
    <x v="2"/>
    <x v="1"/>
    <x v="283"/>
    <x v="338"/>
    <x v="230"/>
    <x v="367"/>
    <x v="155"/>
    <x v="332"/>
    <x v="4"/>
  </r>
  <r>
    <x v="0"/>
    <x v="25"/>
    <x v="25"/>
    <x v="0"/>
    <x v="0"/>
    <x v="0"/>
    <x v="2"/>
    <x v="241"/>
    <x v="122"/>
    <x v="161"/>
    <x v="368"/>
    <x v="49"/>
    <x v="86"/>
    <x v="4"/>
  </r>
  <r>
    <x v="0"/>
    <x v="25"/>
    <x v="25"/>
    <x v="4"/>
    <x v="4"/>
    <x v="4"/>
    <x v="3"/>
    <x v="181"/>
    <x v="339"/>
    <x v="196"/>
    <x v="369"/>
    <x v="189"/>
    <x v="333"/>
    <x v="4"/>
  </r>
  <r>
    <x v="0"/>
    <x v="25"/>
    <x v="25"/>
    <x v="3"/>
    <x v="3"/>
    <x v="3"/>
    <x v="4"/>
    <x v="77"/>
    <x v="340"/>
    <x v="62"/>
    <x v="370"/>
    <x v="88"/>
    <x v="334"/>
    <x v="7"/>
  </r>
  <r>
    <x v="0"/>
    <x v="25"/>
    <x v="25"/>
    <x v="5"/>
    <x v="5"/>
    <x v="5"/>
    <x v="5"/>
    <x v="135"/>
    <x v="228"/>
    <x v="128"/>
    <x v="371"/>
    <x v="152"/>
    <x v="335"/>
    <x v="4"/>
  </r>
  <r>
    <x v="0"/>
    <x v="25"/>
    <x v="25"/>
    <x v="9"/>
    <x v="9"/>
    <x v="9"/>
    <x v="6"/>
    <x v="188"/>
    <x v="181"/>
    <x v="62"/>
    <x v="370"/>
    <x v="49"/>
    <x v="86"/>
    <x v="4"/>
  </r>
  <r>
    <x v="0"/>
    <x v="25"/>
    <x v="25"/>
    <x v="7"/>
    <x v="7"/>
    <x v="7"/>
    <x v="7"/>
    <x v="141"/>
    <x v="233"/>
    <x v="127"/>
    <x v="372"/>
    <x v="143"/>
    <x v="336"/>
    <x v="4"/>
  </r>
  <r>
    <x v="0"/>
    <x v="25"/>
    <x v="25"/>
    <x v="6"/>
    <x v="6"/>
    <x v="6"/>
    <x v="8"/>
    <x v="147"/>
    <x v="25"/>
    <x v="64"/>
    <x v="373"/>
    <x v="70"/>
    <x v="337"/>
    <x v="4"/>
  </r>
  <r>
    <x v="0"/>
    <x v="25"/>
    <x v="25"/>
    <x v="8"/>
    <x v="8"/>
    <x v="8"/>
    <x v="9"/>
    <x v="164"/>
    <x v="334"/>
    <x v="155"/>
    <x v="27"/>
    <x v="155"/>
    <x v="332"/>
    <x v="4"/>
  </r>
  <r>
    <x v="0"/>
    <x v="25"/>
    <x v="25"/>
    <x v="10"/>
    <x v="10"/>
    <x v="10"/>
    <x v="10"/>
    <x v="229"/>
    <x v="12"/>
    <x v="164"/>
    <x v="374"/>
    <x v="154"/>
    <x v="338"/>
    <x v="4"/>
  </r>
  <r>
    <x v="0"/>
    <x v="25"/>
    <x v="25"/>
    <x v="13"/>
    <x v="13"/>
    <x v="13"/>
    <x v="11"/>
    <x v="149"/>
    <x v="341"/>
    <x v="133"/>
    <x v="375"/>
    <x v="49"/>
    <x v="86"/>
    <x v="4"/>
  </r>
  <r>
    <x v="0"/>
    <x v="25"/>
    <x v="25"/>
    <x v="11"/>
    <x v="11"/>
    <x v="11"/>
    <x v="12"/>
    <x v="151"/>
    <x v="69"/>
    <x v="150"/>
    <x v="376"/>
    <x v="175"/>
    <x v="115"/>
    <x v="4"/>
  </r>
  <r>
    <x v="0"/>
    <x v="25"/>
    <x v="25"/>
    <x v="12"/>
    <x v="12"/>
    <x v="12"/>
    <x v="13"/>
    <x v="237"/>
    <x v="72"/>
    <x v="133"/>
    <x v="375"/>
    <x v="147"/>
    <x v="318"/>
    <x v="4"/>
  </r>
  <r>
    <x v="0"/>
    <x v="25"/>
    <x v="25"/>
    <x v="19"/>
    <x v="19"/>
    <x v="19"/>
    <x v="14"/>
    <x v="174"/>
    <x v="294"/>
    <x v="92"/>
    <x v="377"/>
    <x v="175"/>
    <x v="115"/>
    <x v="4"/>
  </r>
  <r>
    <x v="0"/>
    <x v="25"/>
    <x v="25"/>
    <x v="21"/>
    <x v="21"/>
    <x v="21"/>
    <x v="15"/>
    <x v="177"/>
    <x v="187"/>
    <x v="156"/>
    <x v="201"/>
    <x v="135"/>
    <x v="70"/>
    <x v="4"/>
  </r>
  <r>
    <x v="0"/>
    <x v="25"/>
    <x v="25"/>
    <x v="17"/>
    <x v="17"/>
    <x v="17"/>
    <x v="16"/>
    <x v="192"/>
    <x v="274"/>
    <x v="119"/>
    <x v="34"/>
    <x v="168"/>
    <x v="168"/>
    <x v="4"/>
  </r>
  <r>
    <x v="0"/>
    <x v="25"/>
    <x v="25"/>
    <x v="15"/>
    <x v="15"/>
    <x v="15"/>
    <x v="17"/>
    <x v="284"/>
    <x v="316"/>
    <x v="149"/>
    <x v="253"/>
    <x v="168"/>
    <x v="168"/>
    <x v="4"/>
  </r>
  <r>
    <x v="0"/>
    <x v="25"/>
    <x v="25"/>
    <x v="16"/>
    <x v="16"/>
    <x v="16"/>
    <x v="17"/>
    <x v="284"/>
    <x v="316"/>
    <x v="151"/>
    <x v="378"/>
    <x v="70"/>
    <x v="337"/>
    <x v="4"/>
  </r>
  <r>
    <x v="0"/>
    <x v="25"/>
    <x v="25"/>
    <x v="14"/>
    <x v="14"/>
    <x v="14"/>
    <x v="19"/>
    <x v="193"/>
    <x v="342"/>
    <x v="39"/>
    <x v="379"/>
    <x v="168"/>
    <x v="168"/>
    <x v="4"/>
  </r>
  <r>
    <x v="0"/>
    <x v="25"/>
    <x v="25"/>
    <x v="26"/>
    <x v="26"/>
    <x v="26"/>
    <x v="19"/>
    <x v="193"/>
    <x v="342"/>
    <x v="66"/>
    <x v="380"/>
    <x v="166"/>
    <x v="339"/>
    <x v="4"/>
  </r>
  <r>
    <x v="0"/>
    <x v="26"/>
    <x v="26"/>
    <x v="0"/>
    <x v="0"/>
    <x v="0"/>
    <x v="0"/>
    <x v="53"/>
    <x v="343"/>
    <x v="161"/>
    <x v="381"/>
    <x v="141"/>
    <x v="340"/>
    <x v="4"/>
  </r>
  <r>
    <x v="0"/>
    <x v="26"/>
    <x v="26"/>
    <x v="30"/>
    <x v="30"/>
    <x v="30"/>
    <x v="1"/>
    <x v="124"/>
    <x v="344"/>
    <x v="231"/>
    <x v="382"/>
    <x v="163"/>
    <x v="341"/>
    <x v="4"/>
  </r>
  <r>
    <x v="0"/>
    <x v="26"/>
    <x v="26"/>
    <x v="1"/>
    <x v="1"/>
    <x v="1"/>
    <x v="2"/>
    <x v="146"/>
    <x v="345"/>
    <x v="91"/>
    <x v="383"/>
    <x v="154"/>
    <x v="236"/>
    <x v="4"/>
  </r>
  <r>
    <x v="0"/>
    <x v="26"/>
    <x v="26"/>
    <x v="3"/>
    <x v="3"/>
    <x v="3"/>
    <x v="3"/>
    <x v="211"/>
    <x v="346"/>
    <x v="109"/>
    <x v="384"/>
    <x v="186"/>
    <x v="342"/>
    <x v="4"/>
  </r>
  <r>
    <x v="0"/>
    <x v="26"/>
    <x v="26"/>
    <x v="2"/>
    <x v="2"/>
    <x v="2"/>
    <x v="4"/>
    <x v="243"/>
    <x v="339"/>
    <x v="148"/>
    <x v="385"/>
    <x v="147"/>
    <x v="343"/>
    <x v="7"/>
  </r>
  <r>
    <x v="0"/>
    <x v="26"/>
    <x v="26"/>
    <x v="6"/>
    <x v="6"/>
    <x v="6"/>
    <x v="5"/>
    <x v="212"/>
    <x v="347"/>
    <x v="89"/>
    <x v="386"/>
    <x v="144"/>
    <x v="251"/>
    <x v="4"/>
  </r>
  <r>
    <x v="0"/>
    <x v="26"/>
    <x v="26"/>
    <x v="4"/>
    <x v="4"/>
    <x v="4"/>
    <x v="6"/>
    <x v="149"/>
    <x v="348"/>
    <x v="73"/>
    <x v="283"/>
    <x v="163"/>
    <x v="341"/>
    <x v="4"/>
  </r>
  <r>
    <x v="0"/>
    <x v="26"/>
    <x v="26"/>
    <x v="5"/>
    <x v="5"/>
    <x v="5"/>
    <x v="7"/>
    <x v="167"/>
    <x v="109"/>
    <x v="133"/>
    <x v="387"/>
    <x v="144"/>
    <x v="251"/>
    <x v="4"/>
  </r>
  <r>
    <x v="0"/>
    <x v="26"/>
    <x v="26"/>
    <x v="12"/>
    <x v="12"/>
    <x v="12"/>
    <x v="8"/>
    <x v="231"/>
    <x v="61"/>
    <x v="157"/>
    <x v="388"/>
    <x v="166"/>
    <x v="344"/>
    <x v="4"/>
  </r>
  <r>
    <x v="0"/>
    <x v="26"/>
    <x v="26"/>
    <x v="7"/>
    <x v="7"/>
    <x v="7"/>
    <x v="9"/>
    <x v="153"/>
    <x v="66"/>
    <x v="76"/>
    <x v="389"/>
    <x v="176"/>
    <x v="72"/>
    <x v="4"/>
  </r>
  <r>
    <x v="0"/>
    <x v="26"/>
    <x v="26"/>
    <x v="9"/>
    <x v="9"/>
    <x v="9"/>
    <x v="10"/>
    <x v="186"/>
    <x v="218"/>
    <x v="53"/>
    <x v="390"/>
    <x v="147"/>
    <x v="343"/>
    <x v="4"/>
  </r>
  <r>
    <x v="0"/>
    <x v="26"/>
    <x v="26"/>
    <x v="11"/>
    <x v="11"/>
    <x v="11"/>
    <x v="11"/>
    <x v="218"/>
    <x v="349"/>
    <x v="133"/>
    <x v="387"/>
    <x v="171"/>
    <x v="319"/>
    <x v="4"/>
  </r>
  <r>
    <x v="0"/>
    <x v="26"/>
    <x v="26"/>
    <x v="32"/>
    <x v="32"/>
    <x v="32"/>
    <x v="12"/>
    <x v="191"/>
    <x v="350"/>
    <x v="73"/>
    <x v="283"/>
    <x v="171"/>
    <x v="319"/>
    <x v="4"/>
  </r>
  <r>
    <x v="0"/>
    <x v="26"/>
    <x v="26"/>
    <x v="8"/>
    <x v="8"/>
    <x v="8"/>
    <x v="13"/>
    <x v="284"/>
    <x v="351"/>
    <x v="66"/>
    <x v="331"/>
    <x v="147"/>
    <x v="343"/>
    <x v="4"/>
  </r>
  <r>
    <x v="0"/>
    <x v="26"/>
    <x v="26"/>
    <x v="10"/>
    <x v="10"/>
    <x v="10"/>
    <x v="13"/>
    <x v="284"/>
    <x v="351"/>
    <x v="133"/>
    <x v="387"/>
    <x v="173"/>
    <x v="345"/>
    <x v="4"/>
  </r>
  <r>
    <x v="0"/>
    <x v="26"/>
    <x v="26"/>
    <x v="24"/>
    <x v="24"/>
    <x v="24"/>
    <x v="15"/>
    <x v="193"/>
    <x v="118"/>
    <x v="134"/>
    <x v="391"/>
    <x v="141"/>
    <x v="340"/>
    <x v="4"/>
  </r>
  <r>
    <x v="0"/>
    <x v="26"/>
    <x v="26"/>
    <x v="31"/>
    <x v="31"/>
    <x v="31"/>
    <x v="16"/>
    <x v="285"/>
    <x v="272"/>
    <x v="144"/>
    <x v="392"/>
    <x v="184"/>
    <x v="71"/>
    <x v="4"/>
  </r>
  <r>
    <x v="0"/>
    <x v="26"/>
    <x v="26"/>
    <x v="17"/>
    <x v="17"/>
    <x v="17"/>
    <x v="17"/>
    <x v="196"/>
    <x v="325"/>
    <x v="39"/>
    <x v="308"/>
    <x v="172"/>
    <x v="346"/>
    <x v="4"/>
  </r>
  <r>
    <x v="0"/>
    <x v="26"/>
    <x v="26"/>
    <x v="13"/>
    <x v="13"/>
    <x v="13"/>
    <x v="17"/>
    <x v="196"/>
    <x v="325"/>
    <x v="121"/>
    <x v="393"/>
    <x v="174"/>
    <x v="255"/>
    <x v="4"/>
  </r>
  <r>
    <x v="0"/>
    <x v="26"/>
    <x v="26"/>
    <x v="35"/>
    <x v="35"/>
    <x v="35"/>
    <x v="19"/>
    <x v="197"/>
    <x v="352"/>
    <x v="151"/>
    <x v="118"/>
    <x v="184"/>
    <x v="71"/>
    <x v="4"/>
  </r>
  <r>
    <x v="0"/>
    <x v="27"/>
    <x v="27"/>
    <x v="2"/>
    <x v="2"/>
    <x v="2"/>
    <x v="0"/>
    <x v="271"/>
    <x v="353"/>
    <x v="123"/>
    <x v="394"/>
    <x v="58"/>
    <x v="347"/>
    <x v="4"/>
  </r>
  <r>
    <x v="0"/>
    <x v="27"/>
    <x v="27"/>
    <x v="1"/>
    <x v="1"/>
    <x v="1"/>
    <x v="1"/>
    <x v="134"/>
    <x v="354"/>
    <x v="87"/>
    <x v="76"/>
    <x v="143"/>
    <x v="50"/>
    <x v="4"/>
  </r>
  <r>
    <x v="0"/>
    <x v="27"/>
    <x v="27"/>
    <x v="4"/>
    <x v="4"/>
    <x v="4"/>
    <x v="2"/>
    <x v="211"/>
    <x v="355"/>
    <x v="77"/>
    <x v="64"/>
    <x v="183"/>
    <x v="348"/>
    <x v="4"/>
  </r>
  <r>
    <x v="0"/>
    <x v="27"/>
    <x v="27"/>
    <x v="0"/>
    <x v="0"/>
    <x v="0"/>
    <x v="3"/>
    <x v="78"/>
    <x v="356"/>
    <x v="206"/>
    <x v="395"/>
    <x v="172"/>
    <x v="315"/>
    <x v="4"/>
  </r>
  <r>
    <x v="0"/>
    <x v="27"/>
    <x v="27"/>
    <x v="8"/>
    <x v="8"/>
    <x v="8"/>
    <x v="4"/>
    <x v="184"/>
    <x v="357"/>
    <x v="131"/>
    <x v="396"/>
    <x v="167"/>
    <x v="349"/>
    <x v="4"/>
  </r>
  <r>
    <x v="0"/>
    <x v="27"/>
    <x v="27"/>
    <x v="5"/>
    <x v="5"/>
    <x v="5"/>
    <x v="5"/>
    <x v="236"/>
    <x v="301"/>
    <x v="92"/>
    <x v="397"/>
    <x v="49"/>
    <x v="350"/>
    <x v="4"/>
  </r>
  <r>
    <x v="0"/>
    <x v="27"/>
    <x v="27"/>
    <x v="3"/>
    <x v="3"/>
    <x v="3"/>
    <x v="5"/>
    <x v="236"/>
    <x v="301"/>
    <x v="73"/>
    <x v="388"/>
    <x v="167"/>
    <x v="349"/>
    <x v="4"/>
  </r>
  <r>
    <x v="0"/>
    <x v="27"/>
    <x v="27"/>
    <x v="7"/>
    <x v="7"/>
    <x v="7"/>
    <x v="7"/>
    <x v="185"/>
    <x v="358"/>
    <x v="77"/>
    <x v="64"/>
    <x v="89"/>
    <x v="234"/>
    <x v="4"/>
  </r>
  <r>
    <x v="0"/>
    <x v="27"/>
    <x v="27"/>
    <x v="6"/>
    <x v="6"/>
    <x v="6"/>
    <x v="8"/>
    <x v="169"/>
    <x v="195"/>
    <x v="90"/>
    <x v="131"/>
    <x v="141"/>
    <x v="12"/>
    <x v="4"/>
  </r>
  <r>
    <x v="0"/>
    <x v="27"/>
    <x v="27"/>
    <x v="10"/>
    <x v="10"/>
    <x v="10"/>
    <x v="9"/>
    <x v="153"/>
    <x v="63"/>
    <x v="90"/>
    <x v="131"/>
    <x v="175"/>
    <x v="351"/>
    <x v="4"/>
  </r>
  <r>
    <x v="0"/>
    <x v="27"/>
    <x v="27"/>
    <x v="9"/>
    <x v="9"/>
    <x v="9"/>
    <x v="10"/>
    <x v="154"/>
    <x v="359"/>
    <x v="72"/>
    <x v="398"/>
    <x v="143"/>
    <x v="50"/>
    <x v="4"/>
  </r>
  <r>
    <x v="0"/>
    <x v="27"/>
    <x v="27"/>
    <x v="11"/>
    <x v="11"/>
    <x v="11"/>
    <x v="11"/>
    <x v="176"/>
    <x v="360"/>
    <x v="73"/>
    <x v="388"/>
    <x v="184"/>
    <x v="352"/>
    <x v="4"/>
  </r>
  <r>
    <x v="0"/>
    <x v="27"/>
    <x v="27"/>
    <x v="13"/>
    <x v="13"/>
    <x v="13"/>
    <x v="12"/>
    <x v="191"/>
    <x v="361"/>
    <x v="158"/>
    <x v="399"/>
    <x v="172"/>
    <x v="315"/>
    <x v="4"/>
  </r>
  <r>
    <x v="0"/>
    <x v="27"/>
    <x v="27"/>
    <x v="18"/>
    <x v="18"/>
    <x v="18"/>
    <x v="13"/>
    <x v="220"/>
    <x v="102"/>
    <x v="149"/>
    <x v="227"/>
    <x v="147"/>
    <x v="158"/>
    <x v="4"/>
  </r>
  <r>
    <x v="0"/>
    <x v="27"/>
    <x v="27"/>
    <x v="21"/>
    <x v="21"/>
    <x v="21"/>
    <x v="14"/>
    <x v="194"/>
    <x v="173"/>
    <x v="156"/>
    <x v="201"/>
    <x v="172"/>
    <x v="315"/>
    <x v="10"/>
  </r>
  <r>
    <x v="0"/>
    <x v="27"/>
    <x v="27"/>
    <x v="12"/>
    <x v="12"/>
    <x v="12"/>
    <x v="15"/>
    <x v="195"/>
    <x v="53"/>
    <x v="144"/>
    <x v="400"/>
    <x v="156"/>
    <x v="147"/>
    <x v="4"/>
  </r>
  <r>
    <x v="0"/>
    <x v="27"/>
    <x v="27"/>
    <x v="15"/>
    <x v="15"/>
    <x v="15"/>
    <x v="16"/>
    <x v="196"/>
    <x v="174"/>
    <x v="144"/>
    <x v="400"/>
    <x v="175"/>
    <x v="351"/>
    <x v="4"/>
  </r>
  <r>
    <x v="0"/>
    <x v="27"/>
    <x v="27"/>
    <x v="26"/>
    <x v="26"/>
    <x v="26"/>
    <x v="16"/>
    <x v="196"/>
    <x v="174"/>
    <x v="134"/>
    <x v="181"/>
    <x v="154"/>
    <x v="353"/>
    <x v="4"/>
  </r>
  <r>
    <x v="0"/>
    <x v="27"/>
    <x v="27"/>
    <x v="19"/>
    <x v="19"/>
    <x v="19"/>
    <x v="16"/>
    <x v="196"/>
    <x v="174"/>
    <x v="158"/>
    <x v="399"/>
    <x v="170"/>
    <x v="47"/>
    <x v="4"/>
  </r>
  <r>
    <x v="0"/>
    <x v="27"/>
    <x v="27"/>
    <x v="14"/>
    <x v="14"/>
    <x v="14"/>
    <x v="19"/>
    <x v="197"/>
    <x v="316"/>
    <x v="39"/>
    <x v="344"/>
    <x v="166"/>
    <x v="214"/>
    <x v="4"/>
  </r>
  <r>
    <x v="0"/>
    <x v="27"/>
    <x v="27"/>
    <x v="30"/>
    <x v="30"/>
    <x v="30"/>
    <x v="19"/>
    <x v="197"/>
    <x v="316"/>
    <x v="134"/>
    <x v="181"/>
    <x v="176"/>
    <x v="245"/>
    <x v="4"/>
  </r>
  <r>
    <x v="0"/>
    <x v="28"/>
    <x v="28"/>
    <x v="2"/>
    <x v="2"/>
    <x v="2"/>
    <x v="0"/>
    <x v="286"/>
    <x v="362"/>
    <x v="67"/>
    <x v="401"/>
    <x v="167"/>
    <x v="291"/>
    <x v="4"/>
  </r>
  <r>
    <x v="0"/>
    <x v="28"/>
    <x v="28"/>
    <x v="1"/>
    <x v="1"/>
    <x v="1"/>
    <x v="1"/>
    <x v="215"/>
    <x v="363"/>
    <x v="231"/>
    <x v="402"/>
    <x v="147"/>
    <x v="210"/>
    <x v="4"/>
  </r>
  <r>
    <x v="0"/>
    <x v="28"/>
    <x v="28"/>
    <x v="0"/>
    <x v="0"/>
    <x v="0"/>
    <x v="2"/>
    <x v="92"/>
    <x v="364"/>
    <x v="183"/>
    <x v="403"/>
    <x v="147"/>
    <x v="210"/>
    <x v="4"/>
  </r>
  <r>
    <x v="0"/>
    <x v="28"/>
    <x v="28"/>
    <x v="6"/>
    <x v="6"/>
    <x v="6"/>
    <x v="3"/>
    <x v="138"/>
    <x v="365"/>
    <x v="118"/>
    <x v="404"/>
    <x v="133"/>
    <x v="209"/>
    <x v="4"/>
  </r>
  <r>
    <x v="0"/>
    <x v="28"/>
    <x v="28"/>
    <x v="4"/>
    <x v="4"/>
    <x v="4"/>
    <x v="4"/>
    <x v="187"/>
    <x v="366"/>
    <x v="133"/>
    <x v="405"/>
    <x v="142"/>
    <x v="354"/>
    <x v="4"/>
  </r>
  <r>
    <x v="0"/>
    <x v="28"/>
    <x v="28"/>
    <x v="3"/>
    <x v="3"/>
    <x v="3"/>
    <x v="5"/>
    <x v="244"/>
    <x v="321"/>
    <x v="137"/>
    <x v="406"/>
    <x v="169"/>
    <x v="355"/>
    <x v="4"/>
  </r>
  <r>
    <x v="0"/>
    <x v="28"/>
    <x v="28"/>
    <x v="25"/>
    <x v="25"/>
    <x v="25"/>
    <x v="6"/>
    <x v="267"/>
    <x v="301"/>
    <x v="130"/>
    <x v="95"/>
    <x v="155"/>
    <x v="157"/>
    <x v="4"/>
  </r>
  <r>
    <x v="0"/>
    <x v="28"/>
    <x v="28"/>
    <x v="7"/>
    <x v="7"/>
    <x v="7"/>
    <x v="7"/>
    <x v="235"/>
    <x v="60"/>
    <x v="52"/>
    <x v="407"/>
    <x v="166"/>
    <x v="85"/>
    <x v="4"/>
  </r>
  <r>
    <x v="0"/>
    <x v="28"/>
    <x v="28"/>
    <x v="5"/>
    <x v="5"/>
    <x v="5"/>
    <x v="8"/>
    <x v="149"/>
    <x v="322"/>
    <x v="131"/>
    <x v="408"/>
    <x v="158"/>
    <x v="264"/>
    <x v="4"/>
  </r>
  <r>
    <x v="0"/>
    <x v="28"/>
    <x v="28"/>
    <x v="9"/>
    <x v="9"/>
    <x v="9"/>
    <x v="8"/>
    <x v="149"/>
    <x v="322"/>
    <x v="133"/>
    <x v="405"/>
    <x v="49"/>
    <x v="356"/>
    <x v="4"/>
  </r>
  <r>
    <x v="0"/>
    <x v="28"/>
    <x v="28"/>
    <x v="8"/>
    <x v="8"/>
    <x v="8"/>
    <x v="10"/>
    <x v="190"/>
    <x v="66"/>
    <x v="134"/>
    <x v="228"/>
    <x v="167"/>
    <x v="291"/>
    <x v="4"/>
  </r>
  <r>
    <x v="0"/>
    <x v="28"/>
    <x v="28"/>
    <x v="10"/>
    <x v="10"/>
    <x v="10"/>
    <x v="11"/>
    <x v="237"/>
    <x v="360"/>
    <x v="132"/>
    <x v="409"/>
    <x v="176"/>
    <x v="357"/>
    <x v="4"/>
  </r>
  <r>
    <x v="0"/>
    <x v="28"/>
    <x v="28"/>
    <x v="13"/>
    <x v="13"/>
    <x v="13"/>
    <x v="12"/>
    <x v="153"/>
    <x v="12"/>
    <x v="143"/>
    <x v="148"/>
    <x v="89"/>
    <x v="71"/>
    <x v="4"/>
  </r>
  <r>
    <x v="0"/>
    <x v="28"/>
    <x v="28"/>
    <x v="18"/>
    <x v="18"/>
    <x v="18"/>
    <x v="13"/>
    <x v="218"/>
    <x v="146"/>
    <x v="149"/>
    <x v="329"/>
    <x v="133"/>
    <x v="209"/>
    <x v="4"/>
  </r>
  <r>
    <x v="0"/>
    <x v="28"/>
    <x v="28"/>
    <x v="15"/>
    <x v="15"/>
    <x v="15"/>
    <x v="14"/>
    <x v="191"/>
    <x v="172"/>
    <x v="119"/>
    <x v="380"/>
    <x v="70"/>
    <x v="358"/>
    <x v="4"/>
  </r>
  <r>
    <x v="0"/>
    <x v="28"/>
    <x v="28"/>
    <x v="12"/>
    <x v="12"/>
    <x v="12"/>
    <x v="14"/>
    <x v="191"/>
    <x v="172"/>
    <x v="154"/>
    <x v="24"/>
    <x v="156"/>
    <x v="7"/>
    <x v="4"/>
  </r>
  <r>
    <x v="0"/>
    <x v="28"/>
    <x v="28"/>
    <x v="34"/>
    <x v="34"/>
    <x v="34"/>
    <x v="16"/>
    <x v="193"/>
    <x v="148"/>
    <x v="151"/>
    <x v="34"/>
    <x v="89"/>
    <x v="71"/>
    <x v="4"/>
  </r>
  <r>
    <x v="0"/>
    <x v="28"/>
    <x v="28"/>
    <x v="17"/>
    <x v="17"/>
    <x v="17"/>
    <x v="17"/>
    <x v="194"/>
    <x v="223"/>
    <x v="134"/>
    <x v="228"/>
    <x v="156"/>
    <x v="7"/>
    <x v="4"/>
  </r>
  <r>
    <x v="0"/>
    <x v="28"/>
    <x v="28"/>
    <x v="11"/>
    <x v="11"/>
    <x v="11"/>
    <x v="17"/>
    <x v="194"/>
    <x v="223"/>
    <x v="72"/>
    <x v="164"/>
    <x v="174"/>
    <x v="359"/>
    <x v="4"/>
  </r>
  <r>
    <x v="0"/>
    <x v="28"/>
    <x v="28"/>
    <x v="14"/>
    <x v="14"/>
    <x v="14"/>
    <x v="19"/>
    <x v="195"/>
    <x v="17"/>
    <x v="228"/>
    <x v="410"/>
    <x v="147"/>
    <x v="210"/>
    <x v="4"/>
  </r>
  <r>
    <x v="0"/>
    <x v="29"/>
    <x v="29"/>
    <x v="0"/>
    <x v="0"/>
    <x v="0"/>
    <x v="0"/>
    <x v="182"/>
    <x v="367"/>
    <x v="83"/>
    <x v="411"/>
    <x v="166"/>
    <x v="360"/>
    <x v="4"/>
  </r>
  <r>
    <x v="0"/>
    <x v="29"/>
    <x v="29"/>
    <x v="2"/>
    <x v="2"/>
    <x v="2"/>
    <x v="1"/>
    <x v="78"/>
    <x v="368"/>
    <x v="232"/>
    <x v="232"/>
    <x v="141"/>
    <x v="109"/>
    <x v="4"/>
  </r>
  <r>
    <x v="0"/>
    <x v="29"/>
    <x v="29"/>
    <x v="1"/>
    <x v="1"/>
    <x v="1"/>
    <x v="2"/>
    <x v="212"/>
    <x v="369"/>
    <x v="232"/>
    <x v="232"/>
    <x v="154"/>
    <x v="166"/>
    <x v="7"/>
  </r>
  <r>
    <x v="0"/>
    <x v="29"/>
    <x v="29"/>
    <x v="4"/>
    <x v="4"/>
    <x v="4"/>
    <x v="3"/>
    <x v="140"/>
    <x v="370"/>
    <x v="90"/>
    <x v="412"/>
    <x v="87"/>
    <x v="361"/>
    <x v="4"/>
  </r>
  <r>
    <x v="0"/>
    <x v="29"/>
    <x v="29"/>
    <x v="3"/>
    <x v="3"/>
    <x v="3"/>
    <x v="4"/>
    <x v="187"/>
    <x v="371"/>
    <x v="120"/>
    <x v="413"/>
    <x v="146"/>
    <x v="362"/>
    <x v="4"/>
  </r>
  <r>
    <x v="0"/>
    <x v="29"/>
    <x v="29"/>
    <x v="5"/>
    <x v="5"/>
    <x v="5"/>
    <x v="5"/>
    <x v="216"/>
    <x v="372"/>
    <x v="34"/>
    <x v="414"/>
    <x v="158"/>
    <x v="363"/>
    <x v="4"/>
  </r>
  <r>
    <x v="0"/>
    <x v="29"/>
    <x v="29"/>
    <x v="6"/>
    <x v="6"/>
    <x v="6"/>
    <x v="6"/>
    <x v="165"/>
    <x v="373"/>
    <x v="150"/>
    <x v="415"/>
    <x v="133"/>
    <x v="364"/>
    <x v="4"/>
  </r>
  <r>
    <x v="0"/>
    <x v="29"/>
    <x v="29"/>
    <x v="30"/>
    <x v="30"/>
    <x v="30"/>
    <x v="7"/>
    <x v="150"/>
    <x v="80"/>
    <x v="54"/>
    <x v="416"/>
    <x v="175"/>
    <x v="16"/>
    <x v="7"/>
  </r>
  <r>
    <x v="0"/>
    <x v="29"/>
    <x v="29"/>
    <x v="8"/>
    <x v="8"/>
    <x v="8"/>
    <x v="8"/>
    <x v="176"/>
    <x v="374"/>
    <x v="158"/>
    <x v="417"/>
    <x v="162"/>
    <x v="219"/>
    <x v="4"/>
  </r>
  <r>
    <x v="0"/>
    <x v="29"/>
    <x v="29"/>
    <x v="7"/>
    <x v="7"/>
    <x v="7"/>
    <x v="9"/>
    <x v="219"/>
    <x v="375"/>
    <x v="154"/>
    <x v="341"/>
    <x v="171"/>
    <x v="365"/>
    <x v="4"/>
  </r>
  <r>
    <x v="0"/>
    <x v="29"/>
    <x v="29"/>
    <x v="9"/>
    <x v="9"/>
    <x v="9"/>
    <x v="10"/>
    <x v="193"/>
    <x v="220"/>
    <x v="57"/>
    <x v="377"/>
    <x v="161"/>
    <x v="366"/>
    <x v="4"/>
  </r>
  <r>
    <x v="0"/>
    <x v="29"/>
    <x v="29"/>
    <x v="31"/>
    <x v="31"/>
    <x v="31"/>
    <x v="11"/>
    <x v="220"/>
    <x v="158"/>
    <x v="144"/>
    <x v="418"/>
    <x v="166"/>
    <x v="360"/>
    <x v="4"/>
  </r>
  <r>
    <x v="0"/>
    <x v="29"/>
    <x v="29"/>
    <x v="13"/>
    <x v="13"/>
    <x v="13"/>
    <x v="11"/>
    <x v="220"/>
    <x v="158"/>
    <x v="144"/>
    <x v="418"/>
    <x v="166"/>
    <x v="360"/>
    <x v="4"/>
  </r>
  <r>
    <x v="0"/>
    <x v="29"/>
    <x v="29"/>
    <x v="10"/>
    <x v="10"/>
    <x v="10"/>
    <x v="13"/>
    <x v="194"/>
    <x v="186"/>
    <x v="72"/>
    <x v="419"/>
    <x v="174"/>
    <x v="367"/>
    <x v="4"/>
  </r>
  <r>
    <x v="0"/>
    <x v="29"/>
    <x v="29"/>
    <x v="12"/>
    <x v="12"/>
    <x v="12"/>
    <x v="14"/>
    <x v="195"/>
    <x v="85"/>
    <x v="66"/>
    <x v="138"/>
    <x v="175"/>
    <x v="16"/>
    <x v="4"/>
  </r>
  <r>
    <x v="0"/>
    <x v="29"/>
    <x v="29"/>
    <x v="24"/>
    <x v="24"/>
    <x v="24"/>
    <x v="15"/>
    <x v="287"/>
    <x v="103"/>
    <x v="228"/>
    <x v="200"/>
    <x v="166"/>
    <x v="360"/>
    <x v="4"/>
  </r>
  <r>
    <x v="0"/>
    <x v="29"/>
    <x v="29"/>
    <x v="32"/>
    <x v="32"/>
    <x v="32"/>
    <x v="16"/>
    <x v="288"/>
    <x v="17"/>
    <x v="119"/>
    <x v="37"/>
    <x v="176"/>
    <x v="368"/>
    <x v="7"/>
  </r>
  <r>
    <x v="0"/>
    <x v="29"/>
    <x v="29"/>
    <x v="19"/>
    <x v="19"/>
    <x v="19"/>
    <x v="16"/>
    <x v="288"/>
    <x v="17"/>
    <x v="145"/>
    <x v="162"/>
    <x v="174"/>
    <x v="367"/>
    <x v="4"/>
  </r>
  <r>
    <x v="0"/>
    <x v="29"/>
    <x v="29"/>
    <x v="11"/>
    <x v="11"/>
    <x v="11"/>
    <x v="18"/>
    <x v="289"/>
    <x v="199"/>
    <x v="134"/>
    <x v="420"/>
    <x v="174"/>
    <x v="367"/>
    <x v="4"/>
  </r>
  <r>
    <x v="0"/>
    <x v="29"/>
    <x v="29"/>
    <x v="36"/>
    <x v="36"/>
    <x v="36"/>
    <x v="19"/>
    <x v="198"/>
    <x v="336"/>
    <x v="39"/>
    <x v="56"/>
    <x v="154"/>
    <x v="166"/>
    <x v="4"/>
  </r>
  <r>
    <x v="0"/>
    <x v="30"/>
    <x v="30"/>
    <x v="1"/>
    <x v="1"/>
    <x v="1"/>
    <x v="0"/>
    <x v="290"/>
    <x v="376"/>
    <x v="116"/>
    <x v="421"/>
    <x v="141"/>
    <x v="84"/>
    <x v="4"/>
  </r>
  <r>
    <x v="0"/>
    <x v="30"/>
    <x v="30"/>
    <x v="0"/>
    <x v="0"/>
    <x v="0"/>
    <x v="1"/>
    <x v="92"/>
    <x v="377"/>
    <x v="140"/>
    <x v="422"/>
    <x v="141"/>
    <x v="84"/>
    <x v="4"/>
  </r>
  <r>
    <x v="0"/>
    <x v="30"/>
    <x v="30"/>
    <x v="4"/>
    <x v="4"/>
    <x v="4"/>
    <x v="2"/>
    <x v="126"/>
    <x v="378"/>
    <x v="120"/>
    <x v="404"/>
    <x v="58"/>
    <x v="369"/>
    <x v="4"/>
  </r>
  <r>
    <x v="0"/>
    <x v="30"/>
    <x v="30"/>
    <x v="5"/>
    <x v="5"/>
    <x v="5"/>
    <x v="3"/>
    <x v="275"/>
    <x v="379"/>
    <x v="74"/>
    <x v="81"/>
    <x v="163"/>
    <x v="370"/>
    <x v="4"/>
  </r>
  <r>
    <x v="0"/>
    <x v="30"/>
    <x v="30"/>
    <x v="3"/>
    <x v="3"/>
    <x v="3"/>
    <x v="4"/>
    <x v="183"/>
    <x v="380"/>
    <x v="157"/>
    <x v="128"/>
    <x v="145"/>
    <x v="371"/>
    <x v="4"/>
  </r>
  <r>
    <x v="0"/>
    <x v="30"/>
    <x v="30"/>
    <x v="8"/>
    <x v="8"/>
    <x v="8"/>
    <x v="5"/>
    <x v="149"/>
    <x v="381"/>
    <x v="57"/>
    <x v="419"/>
    <x v="130"/>
    <x v="372"/>
    <x v="4"/>
  </r>
  <r>
    <x v="0"/>
    <x v="30"/>
    <x v="30"/>
    <x v="9"/>
    <x v="9"/>
    <x v="9"/>
    <x v="6"/>
    <x v="174"/>
    <x v="129"/>
    <x v="56"/>
    <x v="423"/>
    <x v="166"/>
    <x v="211"/>
    <x v="4"/>
  </r>
  <r>
    <x v="0"/>
    <x v="30"/>
    <x v="30"/>
    <x v="7"/>
    <x v="7"/>
    <x v="7"/>
    <x v="7"/>
    <x v="153"/>
    <x v="382"/>
    <x v="155"/>
    <x v="424"/>
    <x v="176"/>
    <x v="319"/>
    <x v="4"/>
  </r>
  <r>
    <x v="0"/>
    <x v="30"/>
    <x v="30"/>
    <x v="10"/>
    <x v="10"/>
    <x v="10"/>
    <x v="8"/>
    <x v="218"/>
    <x v="383"/>
    <x v="130"/>
    <x v="425"/>
    <x v="170"/>
    <x v="330"/>
    <x v="4"/>
  </r>
  <r>
    <x v="0"/>
    <x v="30"/>
    <x v="30"/>
    <x v="6"/>
    <x v="6"/>
    <x v="6"/>
    <x v="9"/>
    <x v="192"/>
    <x v="235"/>
    <x v="143"/>
    <x v="426"/>
    <x v="154"/>
    <x v="161"/>
    <x v="4"/>
  </r>
  <r>
    <x v="0"/>
    <x v="30"/>
    <x v="30"/>
    <x v="13"/>
    <x v="13"/>
    <x v="13"/>
    <x v="10"/>
    <x v="284"/>
    <x v="12"/>
    <x v="121"/>
    <x v="427"/>
    <x v="166"/>
    <x v="211"/>
    <x v="4"/>
  </r>
  <r>
    <x v="0"/>
    <x v="30"/>
    <x v="30"/>
    <x v="15"/>
    <x v="15"/>
    <x v="15"/>
    <x v="11"/>
    <x v="193"/>
    <x v="249"/>
    <x v="144"/>
    <x v="428"/>
    <x v="172"/>
    <x v="265"/>
    <x v="4"/>
  </r>
  <r>
    <x v="0"/>
    <x v="30"/>
    <x v="30"/>
    <x v="12"/>
    <x v="12"/>
    <x v="12"/>
    <x v="12"/>
    <x v="285"/>
    <x v="251"/>
    <x v="145"/>
    <x v="375"/>
    <x v="161"/>
    <x v="373"/>
    <x v="4"/>
  </r>
  <r>
    <x v="0"/>
    <x v="30"/>
    <x v="30"/>
    <x v="25"/>
    <x v="25"/>
    <x v="25"/>
    <x v="13"/>
    <x v="196"/>
    <x v="222"/>
    <x v="228"/>
    <x v="429"/>
    <x v="141"/>
    <x v="84"/>
    <x v="4"/>
  </r>
  <r>
    <x v="0"/>
    <x v="30"/>
    <x v="30"/>
    <x v="30"/>
    <x v="30"/>
    <x v="30"/>
    <x v="13"/>
    <x v="196"/>
    <x v="222"/>
    <x v="121"/>
    <x v="427"/>
    <x v="171"/>
    <x v="101"/>
    <x v="4"/>
  </r>
  <r>
    <x v="0"/>
    <x v="30"/>
    <x v="30"/>
    <x v="21"/>
    <x v="21"/>
    <x v="21"/>
    <x v="13"/>
    <x v="196"/>
    <x v="222"/>
    <x v="156"/>
    <x v="201"/>
    <x v="143"/>
    <x v="374"/>
    <x v="4"/>
  </r>
  <r>
    <x v="0"/>
    <x v="30"/>
    <x v="30"/>
    <x v="31"/>
    <x v="31"/>
    <x v="31"/>
    <x v="16"/>
    <x v="287"/>
    <x v="148"/>
    <x v="39"/>
    <x v="229"/>
    <x v="141"/>
    <x v="84"/>
    <x v="4"/>
  </r>
  <r>
    <x v="0"/>
    <x v="30"/>
    <x v="30"/>
    <x v="29"/>
    <x v="29"/>
    <x v="29"/>
    <x v="16"/>
    <x v="287"/>
    <x v="148"/>
    <x v="149"/>
    <x v="391"/>
    <x v="184"/>
    <x v="214"/>
    <x v="4"/>
  </r>
  <r>
    <x v="0"/>
    <x v="30"/>
    <x v="30"/>
    <x v="18"/>
    <x v="18"/>
    <x v="18"/>
    <x v="16"/>
    <x v="287"/>
    <x v="148"/>
    <x v="228"/>
    <x v="429"/>
    <x v="166"/>
    <x v="211"/>
    <x v="4"/>
  </r>
  <r>
    <x v="0"/>
    <x v="30"/>
    <x v="30"/>
    <x v="2"/>
    <x v="2"/>
    <x v="2"/>
    <x v="19"/>
    <x v="197"/>
    <x v="174"/>
    <x v="55"/>
    <x v="430"/>
    <x v="141"/>
    <x v="84"/>
    <x v="4"/>
  </r>
  <r>
    <x v="0"/>
    <x v="31"/>
    <x v="31"/>
    <x v="1"/>
    <x v="1"/>
    <x v="1"/>
    <x v="0"/>
    <x v="259"/>
    <x v="384"/>
    <x v="67"/>
    <x v="431"/>
    <x v="166"/>
    <x v="6"/>
    <x v="4"/>
  </r>
  <r>
    <x v="0"/>
    <x v="31"/>
    <x v="31"/>
    <x v="0"/>
    <x v="0"/>
    <x v="0"/>
    <x v="1"/>
    <x v="210"/>
    <x v="385"/>
    <x v="140"/>
    <x v="432"/>
    <x v="176"/>
    <x v="189"/>
    <x v="4"/>
  </r>
  <r>
    <x v="0"/>
    <x v="31"/>
    <x v="31"/>
    <x v="4"/>
    <x v="4"/>
    <x v="4"/>
    <x v="2"/>
    <x v="243"/>
    <x v="386"/>
    <x v="150"/>
    <x v="433"/>
    <x v="61"/>
    <x v="375"/>
    <x v="4"/>
  </r>
  <r>
    <x v="0"/>
    <x v="31"/>
    <x v="31"/>
    <x v="3"/>
    <x v="3"/>
    <x v="3"/>
    <x v="3"/>
    <x v="291"/>
    <x v="387"/>
    <x v="227"/>
    <x v="434"/>
    <x v="145"/>
    <x v="376"/>
    <x v="4"/>
  </r>
  <r>
    <x v="0"/>
    <x v="31"/>
    <x v="31"/>
    <x v="6"/>
    <x v="6"/>
    <x v="6"/>
    <x v="4"/>
    <x v="292"/>
    <x v="388"/>
    <x v="120"/>
    <x v="109"/>
    <x v="156"/>
    <x v="11"/>
    <x v="4"/>
  </r>
  <r>
    <x v="0"/>
    <x v="31"/>
    <x v="31"/>
    <x v="2"/>
    <x v="2"/>
    <x v="2"/>
    <x v="5"/>
    <x v="167"/>
    <x v="389"/>
    <x v="53"/>
    <x v="279"/>
    <x v="163"/>
    <x v="40"/>
    <x v="4"/>
  </r>
  <r>
    <x v="0"/>
    <x v="31"/>
    <x v="31"/>
    <x v="5"/>
    <x v="5"/>
    <x v="5"/>
    <x v="6"/>
    <x v="150"/>
    <x v="280"/>
    <x v="54"/>
    <x v="435"/>
    <x v="166"/>
    <x v="6"/>
    <x v="4"/>
  </r>
  <r>
    <x v="0"/>
    <x v="31"/>
    <x v="31"/>
    <x v="9"/>
    <x v="9"/>
    <x v="9"/>
    <x v="7"/>
    <x v="151"/>
    <x v="390"/>
    <x v="90"/>
    <x v="436"/>
    <x v="162"/>
    <x v="377"/>
    <x v="4"/>
  </r>
  <r>
    <x v="0"/>
    <x v="31"/>
    <x v="31"/>
    <x v="7"/>
    <x v="7"/>
    <x v="7"/>
    <x v="8"/>
    <x v="230"/>
    <x v="281"/>
    <x v="227"/>
    <x v="434"/>
    <x v="175"/>
    <x v="247"/>
    <x v="4"/>
  </r>
  <r>
    <x v="0"/>
    <x v="31"/>
    <x v="31"/>
    <x v="29"/>
    <x v="29"/>
    <x v="29"/>
    <x v="9"/>
    <x v="175"/>
    <x v="247"/>
    <x v="57"/>
    <x v="48"/>
    <x v="89"/>
    <x v="378"/>
    <x v="4"/>
  </r>
  <r>
    <x v="0"/>
    <x v="31"/>
    <x v="31"/>
    <x v="8"/>
    <x v="8"/>
    <x v="8"/>
    <x v="10"/>
    <x v="177"/>
    <x v="29"/>
    <x v="154"/>
    <x v="437"/>
    <x v="172"/>
    <x v="379"/>
    <x v="4"/>
  </r>
  <r>
    <x v="0"/>
    <x v="31"/>
    <x v="31"/>
    <x v="12"/>
    <x v="12"/>
    <x v="12"/>
    <x v="10"/>
    <x v="177"/>
    <x v="29"/>
    <x v="133"/>
    <x v="167"/>
    <x v="161"/>
    <x v="124"/>
    <x v="4"/>
  </r>
  <r>
    <x v="0"/>
    <x v="31"/>
    <x v="31"/>
    <x v="13"/>
    <x v="13"/>
    <x v="13"/>
    <x v="12"/>
    <x v="191"/>
    <x v="236"/>
    <x v="143"/>
    <x v="408"/>
    <x v="154"/>
    <x v="318"/>
    <x v="4"/>
  </r>
  <r>
    <x v="0"/>
    <x v="31"/>
    <x v="31"/>
    <x v="21"/>
    <x v="21"/>
    <x v="21"/>
    <x v="13"/>
    <x v="192"/>
    <x v="391"/>
    <x v="156"/>
    <x v="201"/>
    <x v="133"/>
    <x v="94"/>
    <x v="4"/>
  </r>
  <r>
    <x v="0"/>
    <x v="31"/>
    <x v="31"/>
    <x v="18"/>
    <x v="18"/>
    <x v="18"/>
    <x v="14"/>
    <x v="219"/>
    <x v="13"/>
    <x v="119"/>
    <x v="438"/>
    <x v="143"/>
    <x v="380"/>
    <x v="4"/>
  </r>
  <r>
    <x v="0"/>
    <x v="31"/>
    <x v="31"/>
    <x v="10"/>
    <x v="10"/>
    <x v="10"/>
    <x v="15"/>
    <x v="193"/>
    <x v="351"/>
    <x v="155"/>
    <x v="439"/>
    <x v="173"/>
    <x v="381"/>
    <x v="4"/>
  </r>
  <r>
    <x v="0"/>
    <x v="31"/>
    <x v="31"/>
    <x v="26"/>
    <x v="26"/>
    <x v="26"/>
    <x v="16"/>
    <x v="195"/>
    <x v="271"/>
    <x v="66"/>
    <x v="440"/>
    <x v="161"/>
    <x v="124"/>
    <x v="4"/>
  </r>
  <r>
    <x v="0"/>
    <x v="31"/>
    <x v="31"/>
    <x v="11"/>
    <x v="11"/>
    <x v="11"/>
    <x v="17"/>
    <x v="285"/>
    <x v="262"/>
    <x v="172"/>
    <x v="427"/>
    <x v="170"/>
    <x v="9"/>
    <x v="4"/>
  </r>
  <r>
    <x v="0"/>
    <x v="31"/>
    <x v="31"/>
    <x v="15"/>
    <x v="15"/>
    <x v="15"/>
    <x v="18"/>
    <x v="197"/>
    <x v="325"/>
    <x v="228"/>
    <x v="354"/>
    <x v="156"/>
    <x v="11"/>
    <x v="4"/>
  </r>
  <r>
    <x v="0"/>
    <x v="31"/>
    <x v="31"/>
    <x v="25"/>
    <x v="25"/>
    <x v="25"/>
    <x v="18"/>
    <x v="197"/>
    <x v="325"/>
    <x v="119"/>
    <x v="438"/>
    <x v="154"/>
    <x v="318"/>
    <x v="4"/>
  </r>
  <r>
    <x v="0"/>
    <x v="31"/>
    <x v="31"/>
    <x v="37"/>
    <x v="37"/>
    <x v="37"/>
    <x v="18"/>
    <x v="197"/>
    <x v="325"/>
    <x v="156"/>
    <x v="201"/>
    <x v="206"/>
    <x v="382"/>
    <x v="4"/>
  </r>
  <r>
    <x v="0"/>
    <x v="32"/>
    <x v="32"/>
    <x v="2"/>
    <x v="2"/>
    <x v="2"/>
    <x v="0"/>
    <x v="129"/>
    <x v="392"/>
    <x v="48"/>
    <x v="441"/>
    <x v="144"/>
    <x v="377"/>
    <x v="4"/>
  </r>
  <r>
    <x v="0"/>
    <x v="32"/>
    <x v="32"/>
    <x v="0"/>
    <x v="0"/>
    <x v="0"/>
    <x v="1"/>
    <x v="248"/>
    <x v="393"/>
    <x v="161"/>
    <x v="442"/>
    <x v="133"/>
    <x v="343"/>
    <x v="4"/>
  </r>
  <r>
    <x v="0"/>
    <x v="32"/>
    <x v="32"/>
    <x v="1"/>
    <x v="1"/>
    <x v="1"/>
    <x v="2"/>
    <x v="89"/>
    <x v="394"/>
    <x v="224"/>
    <x v="443"/>
    <x v="143"/>
    <x v="8"/>
    <x v="4"/>
  </r>
  <r>
    <x v="0"/>
    <x v="32"/>
    <x v="32"/>
    <x v="4"/>
    <x v="4"/>
    <x v="4"/>
    <x v="3"/>
    <x v="145"/>
    <x v="395"/>
    <x v="132"/>
    <x v="149"/>
    <x v="86"/>
    <x v="383"/>
    <x v="4"/>
  </r>
  <r>
    <x v="0"/>
    <x v="32"/>
    <x v="32"/>
    <x v="3"/>
    <x v="3"/>
    <x v="3"/>
    <x v="4"/>
    <x v="138"/>
    <x v="340"/>
    <x v="54"/>
    <x v="444"/>
    <x v="73"/>
    <x v="384"/>
    <x v="4"/>
  </r>
  <r>
    <x v="0"/>
    <x v="32"/>
    <x v="32"/>
    <x v="5"/>
    <x v="5"/>
    <x v="5"/>
    <x v="5"/>
    <x v="162"/>
    <x v="396"/>
    <x v="192"/>
    <x v="445"/>
    <x v="158"/>
    <x v="385"/>
    <x v="4"/>
  </r>
  <r>
    <x v="0"/>
    <x v="32"/>
    <x v="32"/>
    <x v="6"/>
    <x v="6"/>
    <x v="6"/>
    <x v="6"/>
    <x v="164"/>
    <x v="397"/>
    <x v="178"/>
    <x v="326"/>
    <x v="49"/>
    <x v="386"/>
    <x v="4"/>
  </r>
  <r>
    <x v="0"/>
    <x v="32"/>
    <x v="32"/>
    <x v="10"/>
    <x v="10"/>
    <x v="10"/>
    <x v="7"/>
    <x v="217"/>
    <x v="246"/>
    <x v="216"/>
    <x v="446"/>
    <x v="171"/>
    <x v="387"/>
    <x v="4"/>
  </r>
  <r>
    <x v="0"/>
    <x v="32"/>
    <x v="32"/>
    <x v="7"/>
    <x v="7"/>
    <x v="7"/>
    <x v="8"/>
    <x v="185"/>
    <x v="398"/>
    <x v="164"/>
    <x v="193"/>
    <x v="176"/>
    <x v="388"/>
    <x v="7"/>
  </r>
  <r>
    <x v="0"/>
    <x v="32"/>
    <x v="32"/>
    <x v="9"/>
    <x v="9"/>
    <x v="9"/>
    <x v="9"/>
    <x v="231"/>
    <x v="399"/>
    <x v="131"/>
    <x v="148"/>
    <x v="70"/>
    <x v="389"/>
    <x v="4"/>
  </r>
  <r>
    <x v="0"/>
    <x v="32"/>
    <x v="32"/>
    <x v="8"/>
    <x v="8"/>
    <x v="8"/>
    <x v="10"/>
    <x v="190"/>
    <x v="400"/>
    <x v="172"/>
    <x v="181"/>
    <x v="163"/>
    <x v="128"/>
    <x v="4"/>
  </r>
  <r>
    <x v="0"/>
    <x v="32"/>
    <x v="32"/>
    <x v="12"/>
    <x v="12"/>
    <x v="12"/>
    <x v="11"/>
    <x v="176"/>
    <x v="401"/>
    <x v="57"/>
    <x v="447"/>
    <x v="143"/>
    <x v="8"/>
    <x v="4"/>
  </r>
  <r>
    <x v="0"/>
    <x v="32"/>
    <x v="32"/>
    <x v="13"/>
    <x v="13"/>
    <x v="13"/>
    <x v="12"/>
    <x v="191"/>
    <x v="161"/>
    <x v="134"/>
    <x v="15"/>
    <x v="89"/>
    <x v="390"/>
    <x v="4"/>
  </r>
  <r>
    <x v="0"/>
    <x v="32"/>
    <x v="32"/>
    <x v="11"/>
    <x v="11"/>
    <x v="11"/>
    <x v="13"/>
    <x v="284"/>
    <x v="222"/>
    <x v="143"/>
    <x v="448"/>
    <x v="161"/>
    <x v="391"/>
    <x v="4"/>
  </r>
  <r>
    <x v="0"/>
    <x v="32"/>
    <x v="32"/>
    <x v="19"/>
    <x v="19"/>
    <x v="19"/>
    <x v="14"/>
    <x v="219"/>
    <x v="187"/>
    <x v="57"/>
    <x v="447"/>
    <x v="154"/>
    <x v="392"/>
    <x v="4"/>
  </r>
  <r>
    <x v="0"/>
    <x v="32"/>
    <x v="32"/>
    <x v="24"/>
    <x v="24"/>
    <x v="24"/>
    <x v="15"/>
    <x v="285"/>
    <x v="352"/>
    <x v="149"/>
    <x v="355"/>
    <x v="166"/>
    <x v="105"/>
    <x v="4"/>
  </r>
  <r>
    <x v="0"/>
    <x v="32"/>
    <x v="32"/>
    <x v="15"/>
    <x v="15"/>
    <x v="15"/>
    <x v="16"/>
    <x v="287"/>
    <x v="402"/>
    <x v="149"/>
    <x v="355"/>
    <x v="184"/>
    <x v="257"/>
    <x v="4"/>
  </r>
  <r>
    <x v="0"/>
    <x v="32"/>
    <x v="32"/>
    <x v="16"/>
    <x v="16"/>
    <x v="16"/>
    <x v="16"/>
    <x v="287"/>
    <x v="402"/>
    <x v="144"/>
    <x v="180"/>
    <x v="154"/>
    <x v="392"/>
    <x v="4"/>
  </r>
  <r>
    <x v="0"/>
    <x v="32"/>
    <x v="32"/>
    <x v="20"/>
    <x v="20"/>
    <x v="20"/>
    <x v="16"/>
    <x v="287"/>
    <x v="402"/>
    <x v="151"/>
    <x v="53"/>
    <x v="156"/>
    <x v="166"/>
    <x v="4"/>
  </r>
  <r>
    <x v="0"/>
    <x v="32"/>
    <x v="32"/>
    <x v="26"/>
    <x v="26"/>
    <x v="26"/>
    <x v="16"/>
    <x v="287"/>
    <x v="402"/>
    <x v="158"/>
    <x v="449"/>
    <x v="174"/>
    <x v="393"/>
    <x v="4"/>
  </r>
  <r>
    <x v="0"/>
    <x v="33"/>
    <x v="33"/>
    <x v="1"/>
    <x v="1"/>
    <x v="1"/>
    <x v="0"/>
    <x v="57"/>
    <x v="256"/>
    <x v="86"/>
    <x v="450"/>
    <x v="175"/>
    <x v="353"/>
    <x v="4"/>
  </r>
  <r>
    <x v="0"/>
    <x v="33"/>
    <x v="33"/>
    <x v="4"/>
    <x v="4"/>
    <x v="4"/>
    <x v="1"/>
    <x v="293"/>
    <x v="403"/>
    <x v="118"/>
    <x v="451"/>
    <x v="61"/>
    <x v="394"/>
    <x v="4"/>
  </r>
  <r>
    <x v="0"/>
    <x v="33"/>
    <x v="33"/>
    <x v="0"/>
    <x v="0"/>
    <x v="0"/>
    <x v="1"/>
    <x v="293"/>
    <x v="403"/>
    <x v="140"/>
    <x v="452"/>
    <x v="84"/>
    <x v="114"/>
    <x v="4"/>
  </r>
  <r>
    <x v="0"/>
    <x v="33"/>
    <x v="33"/>
    <x v="3"/>
    <x v="3"/>
    <x v="3"/>
    <x v="3"/>
    <x v="134"/>
    <x v="288"/>
    <x v="153"/>
    <x v="453"/>
    <x v="159"/>
    <x v="395"/>
    <x v="4"/>
  </r>
  <r>
    <x v="0"/>
    <x v="33"/>
    <x v="33"/>
    <x v="29"/>
    <x v="29"/>
    <x v="29"/>
    <x v="4"/>
    <x v="125"/>
    <x v="404"/>
    <x v="45"/>
    <x v="454"/>
    <x v="186"/>
    <x v="396"/>
    <x v="4"/>
  </r>
  <r>
    <x v="0"/>
    <x v="33"/>
    <x v="33"/>
    <x v="5"/>
    <x v="5"/>
    <x v="5"/>
    <x v="5"/>
    <x v="135"/>
    <x v="405"/>
    <x v="45"/>
    <x v="454"/>
    <x v="146"/>
    <x v="64"/>
    <x v="4"/>
  </r>
  <r>
    <x v="0"/>
    <x v="33"/>
    <x v="33"/>
    <x v="6"/>
    <x v="6"/>
    <x v="6"/>
    <x v="6"/>
    <x v="161"/>
    <x v="320"/>
    <x v="153"/>
    <x v="453"/>
    <x v="70"/>
    <x v="397"/>
    <x v="4"/>
  </r>
  <r>
    <x v="0"/>
    <x v="33"/>
    <x v="33"/>
    <x v="9"/>
    <x v="9"/>
    <x v="9"/>
    <x v="7"/>
    <x v="217"/>
    <x v="406"/>
    <x v="77"/>
    <x v="30"/>
    <x v="158"/>
    <x v="398"/>
    <x v="4"/>
  </r>
  <r>
    <x v="0"/>
    <x v="33"/>
    <x v="33"/>
    <x v="7"/>
    <x v="7"/>
    <x v="7"/>
    <x v="8"/>
    <x v="246"/>
    <x v="407"/>
    <x v="178"/>
    <x v="455"/>
    <x v="172"/>
    <x v="137"/>
    <x v="4"/>
  </r>
  <r>
    <x v="0"/>
    <x v="33"/>
    <x v="33"/>
    <x v="2"/>
    <x v="2"/>
    <x v="2"/>
    <x v="9"/>
    <x v="292"/>
    <x v="170"/>
    <x v="146"/>
    <x v="456"/>
    <x v="133"/>
    <x v="399"/>
    <x v="4"/>
  </r>
  <r>
    <x v="0"/>
    <x v="33"/>
    <x v="33"/>
    <x v="8"/>
    <x v="8"/>
    <x v="8"/>
    <x v="10"/>
    <x v="247"/>
    <x v="207"/>
    <x v="57"/>
    <x v="179"/>
    <x v="169"/>
    <x v="199"/>
    <x v="4"/>
  </r>
  <r>
    <x v="0"/>
    <x v="33"/>
    <x v="33"/>
    <x v="12"/>
    <x v="12"/>
    <x v="12"/>
    <x v="11"/>
    <x v="154"/>
    <x v="220"/>
    <x v="155"/>
    <x v="137"/>
    <x v="141"/>
    <x v="247"/>
    <x v="4"/>
  </r>
  <r>
    <x v="0"/>
    <x v="33"/>
    <x v="33"/>
    <x v="10"/>
    <x v="10"/>
    <x v="10"/>
    <x v="12"/>
    <x v="176"/>
    <x v="408"/>
    <x v="146"/>
    <x v="456"/>
    <x v="173"/>
    <x v="400"/>
    <x v="4"/>
  </r>
  <r>
    <x v="0"/>
    <x v="33"/>
    <x v="33"/>
    <x v="15"/>
    <x v="15"/>
    <x v="15"/>
    <x v="13"/>
    <x v="192"/>
    <x v="409"/>
    <x v="66"/>
    <x v="37"/>
    <x v="143"/>
    <x v="11"/>
    <x v="4"/>
  </r>
  <r>
    <x v="0"/>
    <x v="33"/>
    <x v="33"/>
    <x v="38"/>
    <x v="38"/>
    <x v="38"/>
    <x v="14"/>
    <x v="284"/>
    <x v="53"/>
    <x v="121"/>
    <x v="457"/>
    <x v="141"/>
    <x v="247"/>
    <x v="4"/>
  </r>
  <r>
    <x v="0"/>
    <x v="33"/>
    <x v="33"/>
    <x v="21"/>
    <x v="21"/>
    <x v="21"/>
    <x v="15"/>
    <x v="219"/>
    <x v="35"/>
    <x v="156"/>
    <x v="201"/>
    <x v="143"/>
    <x v="11"/>
    <x v="4"/>
  </r>
  <r>
    <x v="0"/>
    <x v="33"/>
    <x v="33"/>
    <x v="27"/>
    <x v="27"/>
    <x v="27"/>
    <x v="16"/>
    <x v="220"/>
    <x v="273"/>
    <x v="158"/>
    <x v="420"/>
    <x v="154"/>
    <x v="319"/>
    <x v="4"/>
  </r>
  <r>
    <x v="0"/>
    <x v="33"/>
    <x v="33"/>
    <x v="16"/>
    <x v="16"/>
    <x v="16"/>
    <x v="16"/>
    <x v="220"/>
    <x v="273"/>
    <x v="151"/>
    <x v="16"/>
    <x v="143"/>
    <x v="11"/>
    <x v="4"/>
  </r>
  <r>
    <x v="0"/>
    <x v="33"/>
    <x v="33"/>
    <x v="13"/>
    <x v="13"/>
    <x v="13"/>
    <x v="16"/>
    <x v="220"/>
    <x v="273"/>
    <x v="121"/>
    <x v="457"/>
    <x v="175"/>
    <x v="353"/>
    <x v="4"/>
  </r>
  <r>
    <x v="0"/>
    <x v="33"/>
    <x v="33"/>
    <x v="25"/>
    <x v="25"/>
    <x v="25"/>
    <x v="19"/>
    <x v="195"/>
    <x v="410"/>
    <x v="151"/>
    <x v="16"/>
    <x v="172"/>
    <x v="137"/>
    <x v="4"/>
  </r>
  <r>
    <x v="0"/>
    <x v="33"/>
    <x v="33"/>
    <x v="11"/>
    <x v="11"/>
    <x v="11"/>
    <x v="19"/>
    <x v="195"/>
    <x v="410"/>
    <x v="172"/>
    <x v="238"/>
    <x v="171"/>
    <x v="242"/>
    <x v="4"/>
  </r>
  <r>
    <x v="0"/>
    <x v="34"/>
    <x v="34"/>
    <x v="0"/>
    <x v="0"/>
    <x v="0"/>
    <x v="0"/>
    <x v="183"/>
    <x v="411"/>
    <x v="192"/>
    <x v="458"/>
    <x v="156"/>
    <x v="112"/>
    <x v="4"/>
  </r>
  <r>
    <x v="0"/>
    <x v="34"/>
    <x v="34"/>
    <x v="2"/>
    <x v="2"/>
    <x v="2"/>
    <x v="1"/>
    <x v="189"/>
    <x v="412"/>
    <x v="150"/>
    <x v="459"/>
    <x v="144"/>
    <x v="401"/>
    <x v="4"/>
  </r>
  <r>
    <x v="0"/>
    <x v="34"/>
    <x v="34"/>
    <x v="1"/>
    <x v="1"/>
    <x v="1"/>
    <x v="2"/>
    <x v="292"/>
    <x v="413"/>
    <x v="168"/>
    <x v="460"/>
    <x v="161"/>
    <x v="402"/>
    <x v="7"/>
  </r>
  <r>
    <x v="0"/>
    <x v="34"/>
    <x v="34"/>
    <x v="6"/>
    <x v="6"/>
    <x v="6"/>
    <x v="3"/>
    <x v="150"/>
    <x v="414"/>
    <x v="76"/>
    <x v="461"/>
    <x v="162"/>
    <x v="403"/>
    <x v="4"/>
  </r>
  <r>
    <x v="0"/>
    <x v="34"/>
    <x v="34"/>
    <x v="3"/>
    <x v="3"/>
    <x v="3"/>
    <x v="4"/>
    <x v="190"/>
    <x v="415"/>
    <x v="131"/>
    <x v="244"/>
    <x v="162"/>
    <x v="403"/>
    <x v="4"/>
  </r>
  <r>
    <x v="0"/>
    <x v="34"/>
    <x v="34"/>
    <x v="4"/>
    <x v="4"/>
    <x v="4"/>
    <x v="5"/>
    <x v="152"/>
    <x v="416"/>
    <x v="154"/>
    <x v="462"/>
    <x v="70"/>
    <x v="404"/>
    <x v="4"/>
  </r>
  <r>
    <x v="0"/>
    <x v="34"/>
    <x v="34"/>
    <x v="5"/>
    <x v="5"/>
    <x v="5"/>
    <x v="6"/>
    <x v="186"/>
    <x v="265"/>
    <x v="56"/>
    <x v="463"/>
    <x v="175"/>
    <x v="405"/>
    <x v="4"/>
  </r>
  <r>
    <x v="0"/>
    <x v="34"/>
    <x v="34"/>
    <x v="30"/>
    <x v="30"/>
    <x v="30"/>
    <x v="7"/>
    <x v="176"/>
    <x v="417"/>
    <x v="131"/>
    <x v="244"/>
    <x v="175"/>
    <x v="405"/>
    <x v="4"/>
  </r>
  <r>
    <x v="0"/>
    <x v="34"/>
    <x v="34"/>
    <x v="8"/>
    <x v="8"/>
    <x v="8"/>
    <x v="8"/>
    <x v="220"/>
    <x v="418"/>
    <x v="145"/>
    <x v="278"/>
    <x v="184"/>
    <x v="406"/>
    <x v="4"/>
  </r>
  <r>
    <x v="0"/>
    <x v="34"/>
    <x v="34"/>
    <x v="12"/>
    <x v="12"/>
    <x v="12"/>
    <x v="9"/>
    <x v="289"/>
    <x v="401"/>
    <x v="66"/>
    <x v="464"/>
    <x v="173"/>
    <x v="367"/>
    <x v="4"/>
  </r>
  <r>
    <x v="0"/>
    <x v="34"/>
    <x v="34"/>
    <x v="9"/>
    <x v="9"/>
    <x v="9"/>
    <x v="9"/>
    <x v="289"/>
    <x v="401"/>
    <x v="119"/>
    <x v="319"/>
    <x v="171"/>
    <x v="323"/>
    <x v="4"/>
  </r>
  <r>
    <x v="0"/>
    <x v="34"/>
    <x v="34"/>
    <x v="24"/>
    <x v="24"/>
    <x v="24"/>
    <x v="11"/>
    <x v="294"/>
    <x v="419"/>
    <x v="55"/>
    <x v="465"/>
    <x v="154"/>
    <x v="170"/>
    <x v="4"/>
  </r>
  <r>
    <x v="0"/>
    <x v="34"/>
    <x v="34"/>
    <x v="33"/>
    <x v="33"/>
    <x v="33"/>
    <x v="11"/>
    <x v="294"/>
    <x v="419"/>
    <x v="55"/>
    <x v="465"/>
    <x v="154"/>
    <x v="170"/>
    <x v="4"/>
  </r>
  <r>
    <x v="0"/>
    <x v="34"/>
    <x v="34"/>
    <x v="13"/>
    <x v="13"/>
    <x v="13"/>
    <x v="13"/>
    <x v="295"/>
    <x v="188"/>
    <x v="151"/>
    <x v="466"/>
    <x v="170"/>
    <x v="7"/>
    <x v="4"/>
  </r>
  <r>
    <x v="0"/>
    <x v="34"/>
    <x v="34"/>
    <x v="26"/>
    <x v="26"/>
    <x v="26"/>
    <x v="13"/>
    <x v="295"/>
    <x v="188"/>
    <x v="55"/>
    <x v="465"/>
    <x v="171"/>
    <x v="323"/>
    <x v="0"/>
  </r>
  <r>
    <x v="0"/>
    <x v="34"/>
    <x v="34"/>
    <x v="32"/>
    <x v="32"/>
    <x v="32"/>
    <x v="13"/>
    <x v="295"/>
    <x v="188"/>
    <x v="149"/>
    <x v="467"/>
    <x v="174"/>
    <x v="329"/>
    <x v="4"/>
  </r>
  <r>
    <x v="0"/>
    <x v="34"/>
    <x v="34"/>
    <x v="7"/>
    <x v="7"/>
    <x v="7"/>
    <x v="13"/>
    <x v="295"/>
    <x v="188"/>
    <x v="119"/>
    <x v="319"/>
    <x v="173"/>
    <x v="367"/>
    <x v="4"/>
  </r>
  <r>
    <x v="0"/>
    <x v="34"/>
    <x v="34"/>
    <x v="10"/>
    <x v="10"/>
    <x v="10"/>
    <x v="13"/>
    <x v="295"/>
    <x v="188"/>
    <x v="144"/>
    <x v="468"/>
    <x v="206"/>
    <x v="382"/>
    <x v="4"/>
  </r>
  <r>
    <x v="0"/>
    <x v="34"/>
    <x v="34"/>
    <x v="17"/>
    <x v="17"/>
    <x v="17"/>
    <x v="18"/>
    <x v="296"/>
    <x v="420"/>
    <x v="55"/>
    <x v="465"/>
    <x v="176"/>
    <x v="30"/>
    <x v="4"/>
  </r>
  <r>
    <x v="0"/>
    <x v="34"/>
    <x v="34"/>
    <x v="11"/>
    <x v="11"/>
    <x v="11"/>
    <x v="19"/>
    <x v="297"/>
    <x v="421"/>
    <x v="149"/>
    <x v="467"/>
    <x v="206"/>
    <x v="382"/>
    <x v="4"/>
  </r>
  <r>
    <x v="0"/>
    <x v="34"/>
    <x v="34"/>
    <x v="19"/>
    <x v="19"/>
    <x v="19"/>
    <x v="19"/>
    <x v="297"/>
    <x v="421"/>
    <x v="149"/>
    <x v="467"/>
    <x v="206"/>
    <x v="382"/>
    <x v="4"/>
  </r>
  <r>
    <x v="0"/>
    <x v="35"/>
    <x v="35"/>
    <x v="30"/>
    <x v="30"/>
    <x v="30"/>
    <x v="0"/>
    <x v="231"/>
    <x v="422"/>
    <x v="132"/>
    <x v="469"/>
    <x v="184"/>
    <x v="407"/>
    <x v="4"/>
  </r>
  <r>
    <x v="0"/>
    <x v="35"/>
    <x v="35"/>
    <x v="0"/>
    <x v="0"/>
    <x v="0"/>
    <x v="1"/>
    <x v="168"/>
    <x v="423"/>
    <x v="137"/>
    <x v="470"/>
    <x v="170"/>
    <x v="43"/>
    <x v="4"/>
  </r>
  <r>
    <x v="0"/>
    <x v="35"/>
    <x v="35"/>
    <x v="4"/>
    <x v="4"/>
    <x v="4"/>
    <x v="2"/>
    <x v="177"/>
    <x v="424"/>
    <x v="73"/>
    <x v="205"/>
    <x v="175"/>
    <x v="154"/>
    <x v="4"/>
  </r>
  <r>
    <x v="0"/>
    <x v="35"/>
    <x v="35"/>
    <x v="3"/>
    <x v="3"/>
    <x v="3"/>
    <x v="3"/>
    <x v="281"/>
    <x v="425"/>
    <x v="172"/>
    <x v="188"/>
    <x v="147"/>
    <x v="408"/>
    <x v="4"/>
  </r>
  <r>
    <x v="0"/>
    <x v="35"/>
    <x v="35"/>
    <x v="1"/>
    <x v="1"/>
    <x v="1"/>
    <x v="4"/>
    <x v="218"/>
    <x v="426"/>
    <x v="90"/>
    <x v="471"/>
    <x v="173"/>
    <x v="142"/>
    <x v="4"/>
  </r>
  <r>
    <x v="0"/>
    <x v="35"/>
    <x v="35"/>
    <x v="6"/>
    <x v="6"/>
    <x v="6"/>
    <x v="5"/>
    <x v="282"/>
    <x v="427"/>
    <x v="155"/>
    <x v="472"/>
    <x v="170"/>
    <x v="43"/>
    <x v="4"/>
  </r>
  <r>
    <x v="0"/>
    <x v="35"/>
    <x v="35"/>
    <x v="5"/>
    <x v="5"/>
    <x v="5"/>
    <x v="6"/>
    <x v="193"/>
    <x v="428"/>
    <x v="121"/>
    <x v="406"/>
    <x v="184"/>
    <x v="407"/>
    <x v="4"/>
  </r>
  <r>
    <x v="0"/>
    <x v="35"/>
    <x v="35"/>
    <x v="7"/>
    <x v="7"/>
    <x v="7"/>
    <x v="7"/>
    <x v="298"/>
    <x v="333"/>
    <x v="134"/>
    <x v="473"/>
    <x v="170"/>
    <x v="43"/>
    <x v="4"/>
  </r>
  <r>
    <x v="0"/>
    <x v="35"/>
    <x v="35"/>
    <x v="10"/>
    <x v="10"/>
    <x v="10"/>
    <x v="8"/>
    <x v="198"/>
    <x v="399"/>
    <x v="134"/>
    <x v="473"/>
    <x v="173"/>
    <x v="142"/>
    <x v="4"/>
  </r>
  <r>
    <x v="0"/>
    <x v="35"/>
    <x v="35"/>
    <x v="8"/>
    <x v="8"/>
    <x v="8"/>
    <x v="9"/>
    <x v="295"/>
    <x v="30"/>
    <x v="151"/>
    <x v="474"/>
    <x v="170"/>
    <x v="43"/>
    <x v="4"/>
  </r>
  <r>
    <x v="0"/>
    <x v="35"/>
    <x v="35"/>
    <x v="12"/>
    <x v="12"/>
    <x v="12"/>
    <x v="9"/>
    <x v="295"/>
    <x v="30"/>
    <x v="149"/>
    <x v="269"/>
    <x v="174"/>
    <x v="174"/>
    <x v="4"/>
  </r>
  <r>
    <x v="0"/>
    <x v="35"/>
    <x v="35"/>
    <x v="9"/>
    <x v="9"/>
    <x v="9"/>
    <x v="9"/>
    <x v="295"/>
    <x v="30"/>
    <x v="149"/>
    <x v="269"/>
    <x v="174"/>
    <x v="174"/>
    <x v="4"/>
  </r>
  <r>
    <x v="0"/>
    <x v="35"/>
    <x v="35"/>
    <x v="2"/>
    <x v="2"/>
    <x v="2"/>
    <x v="9"/>
    <x v="295"/>
    <x v="30"/>
    <x v="119"/>
    <x v="475"/>
    <x v="173"/>
    <x v="142"/>
    <x v="4"/>
  </r>
  <r>
    <x v="0"/>
    <x v="35"/>
    <x v="35"/>
    <x v="13"/>
    <x v="13"/>
    <x v="13"/>
    <x v="13"/>
    <x v="296"/>
    <x v="101"/>
    <x v="151"/>
    <x v="474"/>
    <x v="174"/>
    <x v="174"/>
    <x v="4"/>
  </r>
  <r>
    <x v="0"/>
    <x v="35"/>
    <x v="35"/>
    <x v="31"/>
    <x v="31"/>
    <x v="31"/>
    <x v="14"/>
    <x v="297"/>
    <x v="86"/>
    <x v="55"/>
    <x v="53"/>
    <x v="171"/>
    <x v="409"/>
    <x v="4"/>
  </r>
  <r>
    <x v="0"/>
    <x v="35"/>
    <x v="35"/>
    <x v="24"/>
    <x v="24"/>
    <x v="24"/>
    <x v="14"/>
    <x v="297"/>
    <x v="86"/>
    <x v="151"/>
    <x v="474"/>
    <x v="173"/>
    <x v="142"/>
    <x v="4"/>
  </r>
  <r>
    <x v="0"/>
    <x v="35"/>
    <x v="35"/>
    <x v="16"/>
    <x v="16"/>
    <x v="16"/>
    <x v="14"/>
    <x v="297"/>
    <x v="86"/>
    <x v="39"/>
    <x v="15"/>
    <x v="170"/>
    <x v="43"/>
    <x v="4"/>
  </r>
  <r>
    <x v="0"/>
    <x v="35"/>
    <x v="35"/>
    <x v="19"/>
    <x v="19"/>
    <x v="19"/>
    <x v="17"/>
    <x v="299"/>
    <x v="239"/>
    <x v="228"/>
    <x v="476"/>
    <x v="173"/>
    <x v="142"/>
    <x v="4"/>
  </r>
  <r>
    <x v="0"/>
    <x v="35"/>
    <x v="35"/>
    <x v="33"/>
    <x v="33"/>
    <x v="33"/>
    <x v="17"/>
    <x v="299"/>
    <x v="239"/>
    <x v="228"/>
    <x v="476"/>
    <x v="173"/>
    <x v="142"/>
    <x v="4"/>
  </r>
  <r>
    <x v="0"/>
    <x v="35"/>
    <x v="35"/>
    <x v="28"/>
    <x v="28"/>
    <x v="28"/>
    <x v="19"/>
    <x v="300"/>
    <x v="429"/>
    <x v="156"/>
    <x v="201"/>
    <x v="170"/>
    <x v="43"/>
    <x v="4"/>
  </r>
  <r>
    <x v="0"/>
    <x v="35"/>
    <x v="35"/>
    <x v="22"/>
    <x v="22"/>
    <x v="22"/>
    <x v="19"/>
    <x v="300"/>
    <x v="429"/>
    <x v="228"/>
    <x v="476"/>
    <x v="206"/>
    <x v="382"/>
    <x v="4"/>
  </r>
  <r>
    <x v="0"/>
    <x v="35"/>
    <x v="35"/>
    <x v="39"/>
    <x v="39"/>
    <x v="39"/>
    <x v="19"/>
    <x v="300"/>
    <x v="429"/>
    <x v="156"/>
    <x v="201"/>
    <x v="170"/>
    <x v="43"/>
    <x v="4"/>
  </r>
  <r>
    <x v="0"/>
    <x v="35"/>
    <x v="35"/>
    <x v="17"/>
    <x v="17"/>
    <x v="17"/>
    <x v="19"/>
    <x v="300"/>
    <x v="429"/>
    <x v="55"/>
    <x v="53"/>
    <x v="174"/>
    <x v="174"/>
    <x v="4"/>
  </r>
  <r>
    <x v="0"/>
    <x v="35"/>
    <x v="35"/>
    <x v="32"/>
    <x v="32"/>
    <x v="32"/>
    <x v="19"/>
    <x v="300"/>
    <x v="429"/>
    <x v="228"/>
    <x v="476"/>
    <x v="206"/>
    <x v="382"/>
    <x v="4"/>
  </r>
  <r>
    <x v="0"/>
    <x v="35"/>
    <x v="35"/>
    <x v="40"/>
    <x v="40"/>
    <x v="40"/>
    <x v="19"/>
    <x v="300"/>
    <x v="429"/>
    <x v="55"/>
    <x v="53"/>
    <x v="174"/>
    <x v="174"/>
    <x v="4"/>
  </r>
  <r>
    <x v="0"/>
    <x v="36"/>
    <x v="36"/>
    <x v="30"/>
    <x v="30"/>
    <x v="30"/>
    <x v="0"/>
    <x v="78"/>
    <x v="430"/>
    <x v="37"/>
    <x v="477"/>
    <x v="161"/>
    <x v="410"/>
    <x v="4"/>
  </r>
  <r>
    <x v="0"/>
    <x v="36"/>
    <x v="36"/>
    <x v="0"/>
    <x v="0"/>
    <x v="0"/>
    <x v="1"/>
    <x v="154"/>
    <x v="431"/>
    <x v="146"/>
    <x v="478"/>
    <x v="170"/>
    <x v="411"/>
    <x v="4"/>
  </r>
  <r>
    <x v="0"/>
    <x v="36"/>
    <x v="36"/>
    <x v="3"/>
    <x v="3"/>
    <x v="3"/>
    <x v="2"/>
    <x v="176"/>
    <x v="432"/>
    <x v="143"/>
    <x v="479"/>
    <x v="141"/>
    <x v="412"/>
    <x v="4"/>
  </r>
  <r>
    <x v="0"/>
    <x v="36"/>
    <x v="36"/>
    <x v="4"/>
    <x v="4"/>
    <x v="4"/>
    <x v="3"/>
    <x v="281"/>
    <x v="433"/>
    <x v="121"/>
    <x v="133"/>
    <x v="89"/>
    <x v="413"/>
    <x v="4"/>
  </r>
  <r>
    <x v="0"/>
    <x v="36"/>
    <x v="36"/>
    <x v="6"/>
    <x v="6"/>
    <x v="6"/>
    <x v="3"/>
    <x v="281"/>
    <x v="433"/>
    <x v="90"/>
    <x v="480"/>
    <x v="174"/>
    <x v="414"/>
    <x v="4"/>
  </r>
  <r>
    <x v="0"/>
    <x v="36"/>
    <x v="36"/>
    <x v="1"/>
    <x v="1"/>
    <x v="1"/>
    <x v="3"/>
    <x v="281"/>
    <x v="433"/>
    <x v="90"/>
    <x v="480"/>
    <x v="174"/>
    <x v="414"/>
    <x v="4"/>
  </r>
  <r>
    <x v="0"/>
    <x v="36"/>
    <x v="36"/>
    <x v="32"/>
    <x v="32"/>
    <x v="32"/>
    <x v="6"/>
    <x v="195"/>
    <x v="229"/>
    <x v="72"/>
    <x v="481"/>
    <x v="173"/>
    <x v="175"/>
    <x v="4"/>
  </r>
  <r>
    <x v="0"/>
    <x v="36"/>
    <x v="36"/>
    <x v="5"/>
    <x v="5"/>
    <x v="5"/>
    <x v="7"/>
    <x v="196"/>
    <x v="434"/>
    <x v="57"/>
    <x v="173"/>
    <x v="173"/>
    <x v="175"/>
    <x v="4"/>
  </r>
  <r>
    <x v="0"/>
    <x v="36"/>
    <x v="36"/>
    <x v="2"/>
    <x v="2"/>
    <x v="2"/>
    <x v="7"/>
    <x v="196"/>
    <x v="434"/>
    <x v="121"/>
    <x v="133"/>
    <x v="171"/>
    <x v="415"/>
    <x v="4"/>
  </r>
  <r>
    <x v="0"/>
    <x v="36"/>
    <x v="36"/>
    <x v="8"/>
    <x v="8"/>
    <x v="8"/>
    <x v="9"/>
    <x v="298"/>
    <x v="268"/>
    <x v="119"/>
    <x v="482"/>
    <x v="176"/>
    <x v="416"/>
    <x v="4"/>
  </r>
  <r>
    <x v="0"/>
    <x v="36"/>
    <x v="36"/>
    <x v="9"/>
    <x v="9"/>
    <x v="9"/>
    <x v="10"/>
    <x v="289"/>
    <x v="324"/>
    <x v="119"/>
    <x v="482"/>
    <x v="171"/>
    <x v="415"/>
    <x v="4"/>
  </r>
  <r>
    <x v="0"/>
    <x v="36"/>
    <x v="36"/>
    <x v="10"/>
    <x v="10"/>
    <x v="10"/>
    <x v="11"/>
    <x v="294"/>
    <x v="435"/>
    <x v="144"/>
    <x v="377"/>
    <x v="173"/>
    <x v="175"/>
    <x v="4"/>
  </r>
  <r>
    <x v="0"/>
    <x v="36"/>
    <x v="36"/>
    <x v="7"/>
    <x v="7"/>
    <x v="7"/>
    <x v="12"/>
    <x v="297"/>
    <x v="16"/>
    <x v="151"/>
    <x v="420"/>
    <x v="173"/>
    <x v="175"/>
    <x v="4"/>
  </r>
  <r>
    <x v="0"/>
    <x v="36"/>
    <x v="36"/>
    <x v="19"/>
    <x v="19"/>
    <x v="19"/>
    <x v="12"/>
    <x v="297"/>
    <x v="16"/>
    <x v="149"/>
    <x v="162"/>
    <x v="206"/>
    <x v="382"/>
    <x v="4"/>
  </r>
  <r>
    <x v="0"/>
    <x v="36"/>
    <x v="36"/>
    <x v="31"/>
    <x v="31"/>
    <x v="31"/>
    <x v="14"/>
    <x v="299"/>
    <x v="436"/>
    <x v="156"/>
    <x v="201"/>
    <x v="171"/>
    <x v="415"/>
    <x v="4"/>
  </r>
  <r>
    <x v="0"/>
    <x v="36"/>
    <x v="36"/>
    <x v="23"/>
    <x v="23"/>
    <x v="23"/>
    <x v="14"/>
    <x v="299"/>
    <x v="436"/>
    <x v="39"/>
    <x v="35"/>
    <x v="174"/>
    <x v="414"/>
    <x v="4"/>
  </r>
  <r>
    <x v="0"/>
    <x v="36"/>
    <x v="36"/>
    <x v="11"/>
    <x v="11"/>
    <x v="11"/>
    <x v="14"/>
    <x v="299"/>
    <x v="436"/>
    <x v="151"/>
    <x v="420"/>
    <x v="206"/>
    <x v="382"/>
    <x v="4"/>
  </r>
  <r>
    <x v="0"/>
    <x v="36"/>
    <x v="36"/>
    <x v="13"/>
    <x v="13"/>
    <x v="13"/>
    <x v="14"/>
    <x v="299"/>
    <x v="436"/>
    <x v="228"/>
    <x v="37"/>
    <x v="173"/>
    <x v="175"/>
    <x v="4"/>
  </r>
  <r>
    <x v="0"/>
    <x v="36"/>
    <x v="36"/>
    <x v="21"/>
    <x v="21"/>
    <x v="21"/>
    <x v="14"/>
    <x v="299"/>
    <x v="436"/>
    <x v="156"/>
    <x v="201"/>
    <x v="174"/>
    <x v="414"/>
    <x v="4"/>
  </r>
  <r>
    <x v="0"/>
    <x v="36"/>
    <x v="36"/>
    <x v="33"/>
    <x v="33"/>
    <x v="33"/>
    <x v="14"/>
    <x v="299"/>
    <x v="436"/>
    <x v="156"/>
    <x v="201"/>
    <x v="171"/>
    <x v="415"/>
    <x v="4"/>
  </r>
  <r>
    <x v="0"/>
    <x v="37"/>
    <x v="37"/>
    <x v="30"/>
    <x v="30"/>
    <x v="30"/>
    <x v="0"/>
    <x v="184"/>
    <x v="437"/>
    <x v="62"/>
    <x v="483"/>
    <x v="174"/>
    <x v="25"/>
    <x v="4"/>
  </r>
  <r>
    <x v="0"/>
    <x v="37"/>
    <x v="37"/>
    <x v="0"/>
    <x v="0"/>
    <x v="0"/>
    <x v="1"/>
    <x v="237"/>
    <x v="438"/>
    <x v="150"/>
    <x v="484"/>
    <x v="174"/>
    <x v="25"/>
    <x v="4"/>
  </r>
  <r>
    <x v="0"/>
    <x v="37"/>
    <x v="37"/>
    <x v="1"/>
    <x v="1"/>
    <x v="1"/>
    <x v="2"/>
    <x v="154"/>
    <x v="439"/>
    <x v="146"/>
    <x v="485"/>
    <x v="170"/>
    <x v="163"/>
    <x v="4"/>
  </r>
  <r>
    <x v="0"/>
    <x v="37"/>
    <x v="37"/>
    <x v="6"/>
    <x v="6"/>
    <x v="6"/>
    <x v="3"/>
    <x v="175"/>
    <x v="440"/>
    <x v="90"/>
    <x v="486"/>
    <x v="176"/>
    <x v="417"/>
    <x v="4"/>
  </r>
  <r>
    <x v="0"/>
    <x v="37"/>
    <x v="37"/>
    <x v="3"/>
    <x v="3"/>
    <x v="3"/>
    <x v="4"/>
    <x v="219"/>
    <x v="441"/>
    <x v="145"/>
    <x v="487"/>
    <x v="166"/>
    <x v="418"/>
    <x v="4"/>
  </r>
  <r>
    <x v="0"/>
    <x v="37"/>
    <x v="37"/>
    <x v="7"/>
    <x v="7"/>
    <x v="7"/>
    <x v="5"/>
    <x v="195"/>
    <x v="442"/>
    <x v="172"/>
    <x v="189"/>
    <x v="171"/>
    <x v="419"/>
    <x v="4"/>
  </r>
  <r>
    <x v="0"/>
    <x v="37"/>
    <x v="37"/>
    <x v="4"/>
    <x v="4"/>
    <x v="4"/>
    <x v="6"/>
    <x v="197"/>
    <x v="443"/>
    <x v="119"/>
    <x v="488"/>
    <x v="154"/>
    <x v="420"/>
    <x v="4"/>
  </r>
  <r>
    <x v="0"/>
    <x v="37"/>
    <x v="37"/>
    <x v="5"/>
    <x v="5"/>
    <x v="5"/>
    <x v="7"/>
    <x v="288"/>
    <x v="444"/>
    <x v="66"/>
    <x v="67"/>
    <x v="170"/>
    <x v="163"/>
    <x v="4"/>
  </r>
  <r>
    <x v="0"/>
    <x v="37"/>
    <x v="37"/>
    <x v="12"/>
    <x v="12"/>
    <x v="12"/>
    <x v="8"/>
    <x v="289"/>
    <x v="247"/>
    <x v="119"/>
    <x v="488"/>
    <x v="171"/>
    <x v="419"/>
    <x v="4"/>
  </r>
  <r>
    <x v="0"/>
    <x v="37"/>
    <x v="37"/>
    <x v="9"/>
    <x v="9"/>
    <x v="9"/>
    <x v="9"/>
    <x v="198"/>
    <x v="445"/>
    <x v="228"/>
    <x v="316"/>
    <x v="161"/>
    <x v="421"/>
    <x v="4"/>
  </r>
  <r>
    <x v="0"/>
    <x v="37"/>
    <x v="37"/>
    <x v="8"/>
    <x v="8"/>
    <x v="8"/>
    <x v="10"/>
    <x v="294"/>
    <x v="391"/>
    <x v="149"/>
    <x v="245"/>
    <x v="170"/>
    <x v="163"/>
    <x v="4"/>
  </r>
  <r>
    <x v="0"/>
    <x v="37"/>
    <x v="37"/>
    <x v="2"/>
    <x v="2"/>
    <x v="2"/>
    <x v="11"/>
    <x v="295"/>
    <x v="13"/>
    <x v="228"/>
    <x v="316"/>
    <x v="171"/>
    <x v="419"/>
    <x v="4"/>
  </r>
  <r>
    <x v="0"/>
    <x v="37"/>
    <x v="37"/>
    <x v="32"/>
    <x v="32"/>
    <x v="32"/>
    <x v="11"/>
    <x v="295"/>
    <x v="13"/>
    <x v="151"/>
    <x v="489"/>
    <x v="170"/>
    <x v="163"/>
    <x v="4"/>
  </r>
  <r>
    <x v="0"/>
    <x v="37"/>
    <x v="37"/>
    <x v="10"/>
    <x v="10"/>
    <x v="10"/>
    <x v="11"/>
    <x v="295"/>
    <x v="13"/>
    <x v="119"/>
    <x v="488"/>
    <x v="173"/>
    <x v="422"/>
    <x v="4"/>
  </r>
  <r>
    <x v="0"/>
    <x v="37"/>
    <x v="37"/>
    <x v="13"/>
    <x v="13"/>
    <x v="13"/>
    <x v="14"/>
    <x v="296"/>
    <x v="198"/>
    <x v="149"/>
    <x v="245"/>
    <x v="173"/>
    <x v="422"/>
    <x v="4"/>
  </r>
  <r>
    <x v="0"/>
    <x v="37"/>
    <x v="37"/>
    <x v="31"/>
    <x v="31"/>
    <x v="31"/>
    <x v="15"/>
    <x v="297"/>
    <x v="103"/>
    <x v="39"/>
    <x v="105"/>
    <x v="170"/>
    <x v="163"/>
    <x v="4"/>
  </r>
  <r>
    <x v="0"/>
    <x v="37"/>
    <x v="37"/>
    <x v="19"/>
    <x v="19"/>
    <x v="19"/>
    <x v="15"/>
    <x v="297"/>
    <x v="103"/>
    <x v="151"/>
    <x v="489"/>
    <x v="173"/>
    <x v="422"/>
    <x v="4"/>
  </r>
  <r>
    <x v="0"/>
    <x v="37"/>
    <x v="37"/>
    <x v="23"/>
    <x v="23"/>
    <x v="23"/>
    <x v="17"/>
    <x v="299"/>
    <x v="120"/>
    <x v="151"/>
    <x v="489"/>
    <x v="206"/>
    <x v="382"/>
    <x v="4"/>
  </r>
  <r>
    <x v="0"/>
    <x v="37"/>
    <x v="37"/>
    <x v="16"/>
    <x v="16"/>
    <x v="16"/>
    <x v="17"/>
    <x v="299"/>
    <x v="120"/>
    <x v="55"/>
    <x v="490"/>
    <x v="170"/>
    <x v="163"/>
    <x v="4"/>
  </r>
  <r>
    <x v="0"/>
    <x v="37"/>
    <x v="37"/>
    <x v="20"/>
    <x v="20"/>
    <x v="20"/>
    <x v="17"/>
    <x v="299"/>
    <x v="120"/>
    <x v="39"/>
    <x v="105"/>
    <x v="174"/>
    <x v="25"/>
    <x v="4"/>
  </r>
  <r>
    <x v="0"/>
    <x v="37"/>
    <x v="37"/>
    <x v="41"/>
    <x v="41"/>
    <x v="41"/>
    <x v="17"/>
    <x v="299"/>
    <x v="120"/>
    <x v="228"/>
    <x v="316"/>
    <x v="173"/>
    <x v="422"/>
    <x v="4"/>
  </r>
  <r>
    <x v="0"/>
    <x v="37"/>
    <x v="37"/>
    <x v="26"/>
    <x v="26"/>
    <x v="26"/>
    <x v="17"/>
    <x v="299"/>
    <x v="120"/>
    <x v="39"/>
    <x v="105"/>
    <x v="174"/>
    <x v="25"/>
    <x v="4"/>
  </r>
  <r>
    <x v="0"/>
    <x v="38"/>
    <x v="38"/>
    <x v="30"/>
    <x v="30"/>
    <x v="30"/>
    <x v="0"/>
    <x v="190"/>
    <x v="446"/>
    <x v="54"/>
    <x v="491"/>
    <x v="161"/>
    <x v="423"/>
    <x v="4"/>
  </r>
  <r>
    <x v="0"/>
    <x v="38"/>
    <x v="38"/>
    <x v="1"/>
    <x v="1"/>
    <x v="1"/>
    <x v="1"/>
    <x v="174"/>
    <x v="447"/>
    <x v="54"/>
    <x v="491"/>
    <x v="206"/>
    <x v="382"/>
    <x v="4"/>
  </r>
  <r>
    <x v="0"/>
    <x v="38"/>
    <x v="38"/>
    <x v="3"/>
    <x v="3"/>
    <x v="3"/>
    <x v="2"/>
    <x v="176"/>
    <x v="448"/>
    <x v="53"/>
    <x v="492"/>
    <x v="166"/>
    <x v="424"/>
    <x v="4"/>
  </r>
  <r>
    <x v="0"/>
    <x v="38"/>
    <x v="38"/>
    <x v="0"/>
    <x v="0"/>
    <x v="0"/>
    <x v="2"/>
    <x v="176"/>
    <x v="448"/>
    <x v="76"/>
    <x v="493"/>
    <x v="170"/>
    <x v="190"/>
    <x v="4"/>
  </r>
  <r>
    <x v="0"/>
    <x v="38"/>
    <x v="38"/>
    <x v="6"/>
    <x v="6"/>
    <x v="6"/>
    <x v="4"/>
    <x v="192"/>
    <x v="311"/>
    <x v="133"/>
    <x v="494"/>
    <x v="174"/>
    <x v="10"/>
    <x v="4"/>
  </r>
  <r>
    <x v="0"/>
    <x v="38"/>
    <x v="38"/>
    <x v="4"/>
    <x v="4"/>
    <x v="4"/>
    <x v="5"/>
    <x v="193"/>
    <x v="139"/>
    <x v="119"/>
    <x v="495"/>
    <x v="147"/>
    <x v="425"/>
    <x v="4"/>
  </r>
  <r>
    <x v="0"/>
    <x v="38"/>
    <x v="38"/>
    <x v="2"/>
    <x v="2"/>
    <x v="2"/>
    <x v="6"/>
    <x v="196"/>
    <x v="206"/>
    <x v="172"/>
    <x v="434"/>
    <x v="174"/>
    <x v="10"/>
    <x v="4"/>
  </r>
  <r>
    <x v="0"/>
    <x v="38"/>
    <x v="38"/>
    <x v="5"/>
    <x v="5"/>
    <x v="5"/>
    <x v="7"/>
    <x v="287"/>
    <x v="180"/>
    <x v="172"/>
    <x v="434"/>
    <x v="173"/>
    <x v="159"/>
    <x v="4"/>
  </r>
  <r>
    <x v="0"/>
    <x v="38"/>
    <x v="38"/>
    <x v="7"/>
    <x v="7"/>
    <x v="7"/>
    <x v="8"/>
    <x v="197"/>
    <x v="449"/>
    <x v="66"/>
    <x v="133"/>
    <x v="171"/>
    <x v="426"/>
    <x v="4"/>
  </r>
  <r>
    <x v="0"/>
    <x v="38"/>
    <x v="38"/>
    <x v="8"/>
    <x v="8"/>
    <x v="8"/>
    <x v="9"/>
    <x v="288"/>
    <x v="450"/>
    <x v="151"/>
    <x v="496"/>
    <x v="175"/>
    <x v="180"/>
    <x v="4"/>
  </r>
  <r>
    <x v="0"/>
    <x v="38"/>
    <x v="38"/>
    <x v="32"/>
    <x v="32"/>
    <x v="32"/>
    <x v="10"/>
    <x v="298"/>
    <x v="207"/>
    <x v="66"/>
    <x v="133"/>
    <x v="174"/>
    <x v="10"/>
    <x v="4"/>
  </r>
  <r>
    <x v="0"/>
    <x v="38"/>
    <x v="38"/>
    <x v="9"/>
    <x v="9"/>
    <x v="9"/>
    <x v="11"/>
    <x v="289"/>
    <x v="46"/>
    <x v="119"/>
    <x v="495"/>
    <x v="171"/>
    <x v="426"/>
    <x v="4"/>
  </r>
  <r>
    <x v="0"/>
    <x v="38"/>
    <x v="38"/>
    <x v="24"/>
    <x v="24"/>
    <x v="24"/>
    <x v="12"/>
    <x v="295"/>
    <x v="306"/>
    <x v="228"/>
    <x v="457"/>
    <x v="171"/>
    <x v="426"/>
    <x v="4"/>
  </r>
  <r>
    <x v="0"/>
    <x v="38"/>
    <x v="38"/>
    <x v="31"/>
    <x v="31"/>
    <x v="31"/>
    <x v="13"/>
    <x v="296"/>
    <x v="251"/>
    <x v="55"/>
    <x v="33"/>
    <x v="176"/>
    <x v="427"/>
    <x v="4"/>
  </r>
  <r>
    <x v="0"/>
    <x v="38"/>
    <x v="38"/>
    <x v="12"/>
    <x v="12"/>
    <x v="12"/>
    <x v="13"/>
    <x v="296"/>
    <x v="251"/>
    <x v="149"/>
    <x v="301"/>
    <x v="173"/>
    <x v="159"/>
    <x v="4"/>
  </r>
  <r>
    <x v="0"/>
    <x v="38"/>
    <x v="38"/>
    <x v="10"/>
    <x v="10"/>
    <x v="10"/>
    <x v="13"/>
    <x v="296"/>
    <x v="251"/>
    <x v="149"/>
    <x v="301"/>
    <x v="173"/>
    <x v="159"/>
    <x v="4"/>
  </r>
  <r>
    <x v="0"/>
    <x v="38"/>
    <x v="38"/>
    <x v="25"/>
    <x v="25"/>
    <x v="25"/>
    <x v="16"/>
    <x v="297"/>
    <x v="54"/>
    <x v="228"/>
    <x v="457"/>
    <x v="174"/>
    <x v="10"/>
    <x v="4"/>
  </r>
  <r>
    <x v="0"/>
    <x v="38"/>
    <x v="38"/>
    <x v="17"/>
    <x v="17"/>
    <x v="17"/>
    <x v="16"/>
    <x v="297"/>
    <x v="54"/>
    <x v="55"/>
    <x v="33"/>
    <x v="171"/>
    <x v="426"/>
    <x v="4"/>
  </r>
  <r>
    <x v="0"/>
    <x v="38"/>
    <x v="38"/>
    <x v="42"/>
    <x v="42"/>
    <x v="42"/>
    <x v="16"/>
    <x v="297"/>
    <x v="54"/>
    <x v="55"/>
    <x v="33"/>
    <x v="170"/>
    <x v="190"/>
    <x v="4"/>
  </r>
  <r>
    <x v="0"/>
    <x v="38"/>
    <x v="38"/>
    <x v="16"/>
    <x v="16"/>
    <x v="16"/>
    <x v="19"/>
    <x v="299"/>
    <x v="451"/>
    <x v="55"/>
    <x v="33"/>
    <x v="170"/>
    <x v="190"/>
    <x v="4"/>
  </r>
  <r>
    <x v="0"/>
    <x v="39"/>
    <x v="39"/>
    <x v="1"/>
    <x v="1"/>
    <x v="1"/>
    <x v="0"/>
    <x v="137"/>
    <x v="452"/>
    <x v="148"/>
    <x v="497"/>
    <x v="141"/>
    <x v="428"/>
    <x v="4"/>
  </r>
  <r>
    <x v="0"/>
    <x v="39"/>
    <x v="39"/>
    <x v="2"/>
    <x v="2"/>
    <x v="2"/>
    <x v="1"/>
    <x v="228"/>
    <x v="453"/>
    <x v="152"/>
    <x v="498"/>
    <x v="158"/>
    <x v="429"/>
    <x v="4"/>
  </r>
  <r>
    <x v="0"/>
    <x v="39"/>
    <x v="39"/>
    <x v="4"/>
    <x v="4"/>
    <x v="4"/>
    <x v="2"/>
    <x v="266"/>
    <x v="454"/>
    <x v="146"/>
    <x v="499"/>
    <x v="142"/>
    <x v="430"/>
    <x v="4"/>
  </r>
  <r>
    <x v="0"/>
    <x v="39"/>
    <x v="39"/>
    <x v="0"/>
    <x v="0"/>
    <x v="0"/>
    <x v="3"/>
    <x v="140"/>
    <x v="455"/>
    <x v="45"/>
    <x v="500"/>
    <x v="154"/>
    <x v="431"/>
    <x v="4"/>
  </r>
  <r>
    <x v="0"/>
    <x v="39"/>
    <x v="39"/>
    <x v="5"/>
    <x v="5"/>
    <x v="5"/>
    <x v="4"/>
    <x v="185"/>
    <x v="456"/>
    <x v="90"/>
    <x v="116"/>
    <x v="49"/>
    <x v="432"/>
    <x v="4"/>
  </r>
  <r>
    <x v="0"/>
    <x v="39"/>
    <x v="39"/>
    <x v="8"/>
    <x v="8"/>
    <x v="8"/>
    <x v="5"/>
    <x v="231"/>
    <x v="457"/>
    <x v="172"/>
    <x v="501"/>
    <x v="135"/>
    <x v="433"/>
    <x v="4"/>
  </r>
  <r>
    <x v="0"/>
    <x v="39"/>
    <x v="39"/>
    <x v="3"/>
    <x v="3"/>
    <x v="3"/>
    <x v="6"/>
    <x v="168"/>
    <x v="458"/>
    <x v="154"/>
    <x v="426"/>
    <x v="158"/>
    <x v="429"/>
    <x v="4"/>
  </r>
  <r>
    <x v="0"/>
    <x v="39"/>
    <x v="39"/>
    <x v="7"/>
    <x v="7"/>
    <x v="7"/>
    <x v="7"/>
    <x v="169"/>
    <x v="168"/>
    <x v="76"/>
    <x v="502"/>
    <x v="156"/>
    <x v="88"/>
    <x v="4"/>
  </r>
  <r>
    <x v="0"/>
    <x v="39"/>
    <x v="39"/>
    <x v="6"/>
    <x v="6"/>
    <x v="6"/>
    <x v="8"/>
    <x v="281"/>
    <x v="459"/>
    <x v="155"/>
    <x v="503"/>
    <x v="175"/>
    <x v="16"/>
    <x v="4"/>
  </r>
  <r>
    <x v="0"/>
    <x v="39"/>
    <x v="39"/>
    <x v="9"/>
    <x v="9"/>
    <x v="9"/>
    <x v="9"/>
    <x v="192"/>
    <x v="10"/>
    <x v="154"/>
    <x v="426"/>
    <x v="184"/>
    <x v="315"/>
    <x v="4"/>
  </r>
  <r>
    <x v="0"/>
    <x v="39"/>
    <x v="39"/>
    <x v="10"/>
    <x v="10"/>
    <x v="10"/>
    <x v="10"/>
    <x v="219"/>
    <x v="460"/>
    <x v="155"/>
    <x v="503"/>
    <x v="174"/>
    <x v="367"/>
    <x v="4"/>
  </r>
  <r>
    <x v="0"/>
    <x v="39"/>
    <x v="39"/>
    <x v="13"/>
    <x v="13"/>
    <x v="13"/>
    <x v="11"/>
    <x v="194"/>
    <x v="461"/>
    <x v="119"/>
    <x v="318"/>
    <x v="141"/>
    <x v="428"/>
    <x v="4"/>
  </r>
  <r>
    <x v="0"/>
    <x v="39"/>
    <x v="39"/>
    <x v="21"/>
    <x v="21"/>
    <x v="21"/>
    <x v="11"/>
    <x v="194"/>
    <x v="461"/>
    <x v="156"/>
    <x v="201"/>
    <x v="175"/>
    <x v="16"/>
    <x v="4"/>
  </r>
  <r>
    <x v="0"/>
    <x v="39"/>
    <x v="39"/>
    <x v="11"/>
    <x v="11"/>
    <x v="11"/>
    <x v="13"/>
    <x v="196"/>
    <x v="250"/>
    <x v="134"/>
    <x v="360"/>
    <x v="154"/>
    <x v="431"/>
    <x v="4"/>
  </r>
  <r>
    <x v="0"/>
    <x v="39"/>
    <x v="39"/>
    <x v="19"/>
    <x v="19"/>
    <x v="19"/>
    <x v="14"/>
    <x v="287"/>
    <x v="118"/>
    <x v="144"/>
    <x v="150"/>
    <x v="154"/>
    <x v="431"/>
    <x v="4"/>
  </r>
  <r>
    <x v="0"/>
    <x v="39"/>
    <x v="39"/>
    <x v="18"/>
    <x v="18"/>
    <x v="18"/>
    <x v="15"/>
    <x v="289"/>
    <x v="326"/>
    <x v="149"/>
    <x v="363"/>
    <x v="176"/>
    <x v="339"/>
    <x v="4"/>
  </r>
  <r>
    <x v="0"/>
    <x v="39"/>
    <x v="39"/>
    <x v="14"/>
    <x v="14"/>
    <x v="14"/>
    <x v="15"/>
    <x v="289"/>
    <x v="326"/>
    <x v="151"/>
    <x v="504"/>
    <x v="161"/>
    <x v="434"/>
    <x v="4"/>
  </r>
  <r>
    <x v="0"/>
    <x v="39"/>
    <x v="39"/>
    <x v="26"/>
    <x v="26"/>
    <x v="26"/>
    <x v="15"/>
    <x v="289"/>
    <x v="326"/>
    <x v="144"/>
    <x v="150"/>
    <x v="170"/>
    <x v="435"/>
    <x v="4"/>
  </r>
  <r>
    <x v="0"/>
    <x v="39"/>
    <x v="39"/>
    <x v="25"/>
    <x v="25"/>
    <x v="25"/>
    <x v="18"/>
    <x v="198"/>
    <x v="254"/>
    <x v="151"/>
    <x v="504"/>
    <x v="176"/>
    <x v="339"/>
    <x v="4"/>
  </r>
  <r>
    <x v="0"/>
    <x v="39"/>
    <x v="39"/>
    <x v="12"/>
    <x v="12"/>
    <x v="12"/>
    <x v="18"/>
    <x v="198"/>
    <x v="254"/>
    <x v="151"/>
    <x v="504"/>
    <x v="176"/>
    <x v="339"/>
    <x v="4"/>
  </r>
  <r>
    <x v="0"/>
    <x v="40"/>
    <x v="40"/>
    <x v="1"/>
    <x v="1"/>
    <x v="1"/>
    <x v="0"/>
    <x v="173"/>
    <x v="462"/>
    <x v="129"/>
    <x v="483"/>
    <x v="172"/>
    <x v="436"/>
    <x v="4"/>
  </r>
  <r>
    <x v="0"/>
    <x v="40"/>
    <x v="40"/>
    <x v="0"/>
    <x v="0"/>
    <x v="0"/>
    <x v="1"/>
    <x v="163"/>
    <x v="463"/>
    <x v="89"/>
    <x v="505"/>
    <x v="156"/>
    <x v="113"/>
    <x v="4"/>
  </r>
  <r>
    <x v="0"/>
    <x v="40"/>
    <x v="40"/>
    <x v="3"/>
    <x v="3"/>
    <x v="3"/>
    <x v="2"/>
    <x v="184"/>
    <x v="464"/>
    <x v="130"/>
    <x v="506"/>
    <x v="145"/>
    <x v="437"/>
    <x v="4"/>
  </r>
  <r>
    <x v="0"/>
    <x v="40"/>
    <x v="40"/>
    <x v="4"/>
    <x v="4"/>
    <x v="4"/>
    <x v="3"/>
    <x v="247"/>
    <x v="465"/>
    <x v="134"/>
    <x v="304"/>
    <x v="152"/>
    <x v="438"/>
    <x v="4"/>
  </r>
  <r>
    <x v="0"/>
    <x v="40"/>
    <x v="40"/>
    <x v="2"/>
    <x v="2"/>
    <x v="2"/>
    <x v="4"/>
    <x v="167"/>
    <x v="466"/>
    <x v="57"/>
    <x v="211"/>
    <x v="167"/>
    <x v="439"/>
    <x v="4"/>
  </r>
  <r>
    <x v="0"/>
    <x v="40"/>
    <x v="40"/>
    <x v="5"/>
    <x v="5"/>
    <x v="5"/>
    <x v="5"/>
    <x v="150"/>
    <x v="108"/>
    <x v="130"/>
    <x v="506"/>
    <x v="84"/>
    <x v="440"/>
    <x v="4"/>
  </r>
  <r>
    <x v="0"/>
    <x v="40"/>
    <x v="40"/>
    <x v="10"/>
    <x v="10"/>
    <x v="10"/>
    <x v="6"/>
    <x v="230"/>
    <x v="467"/>
    <x v="178"/>
    <x v="507"/>
    <x v="161"/>
    <x v="145"/>
    <x v="4"/>
  </r>
  <r>
    <x v="0"/>
    <x v="40"/>
    <x v="40"/>
    <x v="6"/>
    <x v="6"/>
    <x v="6"/>
    <x v="7"/>
    <x v="169"/>
    <x v="217"/>
    <x v="131"/>
    <x v="113"/>
    <x v="89"/>
    <x v="146"/>
    <x v="4"/>
  </r>
  <r>
    <x v="0"/>
    <x v="40"/>
    <x v="40"/>
    <x v="8"/>
    <x v="8"/>
    <x v="8"/>
    <x v="8"/>
    <x v="152"/>
    <x v="468"/>
    <x v="134"/>
    <x v="304"/>
    <x v="157"/>
    <x v="313"/>
    <x v="4"/>
  </r>
  <r>
    <x v="0"/>
    <x v="40"/>
    <x v="40"/>
    <x v="7"/>
    <x v="7"/>
    <x v="7"/>
    <x v="9"/>
    <x v="153"/>
    <x v="282"/>
    <x v="131"/>
    <x v="113"/>
    <x v="141"/>
    <x v="102"/>
    <x v="4"/>
  </r>
  <r>
    <x v="0"/>
    <x v="40"/>
    <x v="40"/>
    <x v="9"/>
    <x v="9"/>
    <x v="9"/>
    <x v="10"/>
    <x v="154"/>
    <x v="96"/>
    <x v="57"/>
    <x v="211"/>
    <x v="162"/>
    <x v="389"/>
    <x v="4"/>
  </r>
  <r>
    <x v="0"/>
    <x v="40"/>
    <x v="40"/>
    <x v="13"/>
    <x v="13"/>
    <x v="13"/>
    <x v="11"/>
    <x v="284"/>
    <x v="145"/>
    <x v="144"/>
    <x v="19"/>
    <x v="89"/>
    <x v="146"/>
    <x v="4"/>
  </r>
  <r>
    <x v="0"/>
    <x v="40"/>
    <x v="40"/>
    <x v="17"/>
    <x v="17"/>
    <x v="17"/>
    <x v="12"/>
    <x v="219"/>
    <x v="48"/>
    <x v="228"/>
    <x v="255"/>
    <x v="168"/>
    <x v="441"/>
    <x v="4"/>
  </r>
  <r>
    <x v="0"/>
    <x v="40"/>
    <x v="40"/>
    <x v="12"/>
    <x v="12"/>
    <x v="12"/>
    <x v="13"/>
    <x v="193"/>
    <x v="469"/>
    <x v="151"/>
    <x v="508"/>
    <x v="89"/>
    <x v="146"/>
    <x v="4"/>
  </r>
  <r>
    <x v="0"/>
    <x v="40"/>
    <x v="40"/>
    <x v="11"/>
    <x v="11"/>
    <x v="11"/>
    <x v="14"/>
    <x v="195"/>
    <x v="351"/>
    <x v="66"/>
    <x v="89"/>
    <x v="175"/>
    <x v="297"/>
    <x v="4"/>
  </r>
  <r>
    <x v="0"/>
    <x v="40"/>
    <x v="40"/>
    <x v="18"/>
    <x v="18"/>
    <x v="18"/>
    <x v="15"/>
    <x v="285"/>
    <x v="101"/>
    <x v="151"/>
    <x v="508"/>
    <x v="141"/>
    <x v="102"/>
    <x v="4"/>
  </r>
  <r>
    <x v="0"/>
    <x v="40"/>
    <x v="40"/>
    <x v="25"/>
    <x v="25"/>
    <x v="25"/>
    <x v="15"/>
    <x v="285"/>
    <x v="101"/>
    <x v="149"/>
    <x v="509"/>
    <x v="166"/>
    <x v="337"/>
    <x v="4"/>
  </r>
  <r>
    <x v="0"/>
    <x v="40"/>
    <x v="40"/>
    <x v="24"/>
    <x v="24"/>
    <x v="24"/>
    <x v="17"/>
    <x v="196"/>
    <x v="161"/>
    <x v="149"/>
    <x v="509"/>
    <x v="156"/>
    <x v="113"/>
    <x v="4"/>
  </r>
  <r>
    <x v="0"/>
    <x v="40"/>
    <x v="40"/>
    <x v="15"/>
    <x v="15"/>
    <x v="15"/>
    <x v="18"/>
    <x v="287"/>
    <x v="419"/>
    <x v="151"/>
    <x v="508"/>
    <x v="156"/>
    <x v="113"/>
    <x v="4"/>
  </r>
  <r>
    <x v="0"/>
    <x v="40"/>
    <x v="40"/>
    <x v="14"/>
    <x v="14"/>
    <x v="14"/>
    <x v="18"/>
    <x v="287"/>
    <x v="419"/>
    <x v="228"/>
    <x v="255"/>
    <x v="166"/>
    <x v="337"/>
    <x v="4"/>
  </r>
  <r>
    <x v="0"/>
    <x v="40"/>
    <x v="40"/>
    <x v="19"/>
    <x v="19"/>
    <x v="19"/>
    <x v="18"/>
    <x v="287"/>
    <x v="419"/>
    <x v="121"/>
    <x v="510"/>
    <x v="170"/>
    <x v="442"/>
    <x v="4"/>
  </r>
  <r>
    <x v="0"/>
    <x v="41"/>
    <x v="41"/>
    <x v="2"/>
    <x v="2"/>
    <x v="2"/>
    <x v="0"/>
    <x v="259"/>
    <x v="470"/>
    <x v="89"/>
    <x v="511"/>
    <x v="136"/>
    <x v="443"/>
    <x v="4"/>
  </r>
  <r>
    <x v="0"/>
    <x v="41"/>
    <x v="41"/>
    <x v="1"/>
    <x v="1"/>
    <x v="1"/>
    <x v="1"/>
    <x v="274"/>
    <x v="149"/>
    <x v="63"/>
    <x v="512"/>
    <x v="166"/>
    <x v="99"/>
    <x v="4"/>
  </r>
  <r>
    <x v="0"/>
    <x v="41"/>
    <x v="41"/>
    <x v="4"/>
    <x v="4"/>
    <x v="4"/>
    <x v="2"/>
    <x v="292"/>
    <x v="373"/>
    <x v="134"/>
    <x v="83"/>
    <x v="159"/>
    <x v="444"/>
    <x v="4"/>
  </r>
  <r>
    <x v="0"/>
    <x v="41"/>
    <x v="41"/>
    <x v="7"/>
    <x v="7"/>
    <x v="7"/>
    <x v="3"/>
    <x v="185"/>
    <x v="471"/>
    <x v="227"/>
    <x v="513"/>
    <x v="172"/>
    <x v="6"/>
    <x v="4"/>
  </r>
  <r>
    <x v="0"/>
    <x v="41"/>
    <x v="41"/>
    <x v="0"/>
    <x v="0"/>
    <x v="0"/>
    <x v="4"/>
    <x v="151"/>
    <x v="472"/>
    <x v="150"/>
    <x v="514"/>
    <x v="175"/>
    <x v="238"/>
    <x v="4"/>
  </r>
  <r>
    <x v="0"/>
    <x v="41"/>
    <x v="41"/>
    <x v="3"/>
    <x v="3"/>
    <x v="3"/>
    <x v="5"/>
    <x v="231"/>
    <x v="473"/>
    <x v="155"/>
    <x v="45"/>
    <x v="133"/>
    <x v="386"/>
    <x v="4"/>
  </r>
  <r>
    <x v="0"/>
    <x v="41"/>
    <x v="41"/>
    <x v="8"/>
    <x v="8"/>
    <x v="8"/>
    <x v="6"/>
    <x v="169"/>
    <x v="128"/>
    <x v="66"/>
    <x v="12"/>
    <x v="145"/>
    <x v="289"/>
    <x v="4"/>
  </r>
  <r>
    <x v="0"/>
    <x v="41"/>
    <x v="41"/>
    <x v="5"/>
    <x v="5"/>
    <x v="5"/>
    <x v="7"/>
    <x v="153"/>
    <x v="143"/>
    <x v="57"/>
    <x v="515"/>
    <x v="70"/>
    <x v="445"/>
    <x v="4"/>
  </r>
  <r>
    <x v="0"/>
    <x v="41"/>
    <x v="41"/>
    <x v="9"/>
    <x v="9"/>
    <x v="9"/>
    <x v="8"/>
    <x v="175"/>
    <x v="444"/>
    <x v="57"/>
    <x v="515"/>
    <x v="89"/>
    <x v="446"/>
    <x v="4"/>
  </r>
  <r>
    <x v="0"/>
    <x v="41"/>
    <x v="41"/>
    <x v="6"/>
    <x v="6"/>
    <x v="6"/>
    <x v="9"/>
    <x v="177"/>
    <x v="474"/>
    <x v="155"/>
    <x v="45"/>
    <x v="184"/>
    <x v="147"/>
    <x v="4"/>
  </r>
  <r>
    <x v="0"/>
    <x v="41"/>
    <x v="41"/>
    <x v="10"/>
    <x v="10"/>
    <x v="10"/>
    <x v="10"/>
    <x v="218"/>
    <x v="475"/>
    <x v="56"/>
    <x v="516"/>
    <x v="174"/>
    <x v="447"/>
    <x v="4"/>
  </r>
  <r>
    <x v="0"/>
    <x v="41"/>
    <x v="41"/>
    <x v="18"/>
    <x v="18"/>
    <x v="18"/>
    <x v="11"/>
    <x v="191"/>
    <x v="476"/>
    <x v="119"/>
    <x v="57"/>
    <x v="70"/>
    <x v="445"/>
    <x v="4"/>
  </r>
  <r>
    <x v="0"/>
    <x v="41"/>
    <x v="41"/>
    <x v="14"/>
    <x v="14"/>
    <x v="14"/>
    <x v="12"/>
    <x v="219"/>
    <x v="219"/>
    <x v="55"/>
    <x v="104"/>
    <x v="84"/>
    <x v="117"/>
    <x v="4"/>
  </r>
  <r>
    <x v="0"/>
    <x v="41"/>
    <x v="41"/>
    <x v="11"/>
    <x v="11"/>
    <x v="11"/>
    <x v="13"/>
    <x v="193"/>
    <x v="67"/>
    <x v="172"/>
    <x v="517"/>
    <x v="154"/>
    <x v="66"/>
    <x v="4"/>
  </r>
  <r>
    <x v="0"/>
    <x v="41"/>
    <x v="41"/>
    <x v="13"/>
    <x v="13"/>
    <x v="13"/>
    <x v="14"/>
    <x v="195"/>
    <x v="401"/>
    <x v="66"/>
    <x v="12"/>
    <x v="175"/>
    <x v="238"/>
    <x v="4"/>
  </r>
  <r>
    <x v="0"/>
    <x v="41"/>
    <x v="41"/>
    <x v="17"/>
    <x v="17"/>
    <x v="17"/>
    <x v="15"/>
    <x v="285"/>
    <x v="186"/>
    <x v="156"/>
    <x v="201"/>
    <x v="89"/>
    <x v="446"/>
    <x v="4"/>
  </r>
  <r>
    <x v="0"/>
    <x v="41"/>
    <x v="41"/>
    <x v="15"/>
    <x v="15"/>
    <x v="15"/>
    <x v="16"/>
    <x v="287"/>
    <x v="173"/>
    <x v="55"/>
    <x v="104"/>
    <x v="172"/>
    <x v="6"/>
    <x v="4"/>
  </r>
  <r>
    <x v="0"/>
    <x v="41"/>
    <x v="41"/>
    <x v="33"/>
    <x v="33"/>
    <x v="33"/>
    <x v="17"/>
    <x v="197"/>
    <x v="87"/>
    <x v="228"/>
    <x v="518"/>
    <x v="156"/>
    <x v="45"/>
    <x v="4"/>
  </r>
  <r>
    <x v="0"/>
    <x v="41"/>
    <x v="41"/>
    <x v="43"/>
    <x v="43"/>
    <x v="43"/>
    <x v="18"/>
    <x v="288"/>
    <x v="54"/>
    <x v="228"/>
    <x v="518"/>
    <x v="184"/>
    <x v="147"/>
    <x v="4"/>
  </r>
  <r>
    <x v="0"/>
    <x v="41"/>
    <x v="41"/>
    <x v="19"/>
    <x v="19"/>
    <x v="19"/>
    <x v="18"/>
    <x v="288"/>
    <x v="54"/>
    <x v="66"/>
    <x v="12"/>
    <x v="170"/>
    <x v="448"/>
    <x v="4"/>
  </r>
  <r>
    <x v="0"/>
    <x v="41"/>
    <x v="41"/>
    <x v="40"/>
    <x v="40"/>
    <x v="40"/>
    <x v="18"/>
    <x v="288"/>
    <x v="54"/>
    <x v="39"/>
    <x v="91"/>
    <x v="156"/>
    <x v="45"/>
    <x v="4"/>
  </r>
  <r>
    <x v="0"/>
    <x v="42"/>
    <x v="42"/>
    <x v="0"/>
    <x v="0"/>
    <x v="0"/>
    <x v="0"/>
    <x v="151"/>
    <x v="328"/>
    <x v="137"/>
    <x v="519"/>
    <x v="161"/>
    <x v="344"/>
    <x v="4"/>
  </r>
  <r>
    <x v="0"/>
    <x v="42"/>
    <x v="42"/>
    <x v="4"/>
    <x v="4"/>
    <x v="4"/>
    <x v="1"/>
    <x v="174"/>
    <x v="477"/>
    <x v="134"/>
    <x v="5"/>
    <x v="135"/>
    <x v="449"/>
    <x v="4"/>
  </r>
  <r>
    <x v="0"/>
    <x v="42"/>
    <x v="42"/>
    <x v="6"/>
    <x v="6"/>
    <x v="6"/>
    <x v="2"/>
    <x v="153"/>
    <x v="478"/>
    <x v="76"/>
    <x v="520"/>
    <x v="154"/>
    <x v="32"/>
    <x v="4"/>
  </r>
  <r>
    <x v="0"/>
    <x v="42"/>
    <x v="42"/>
    <x v="1"/>
    <x v="1"/>
    <x v="1"/>
    <x v="2"/>
    <x v="153"/>
    <x v="478"/>
    <x v="146"/>
    <x v="521"/>
    <x v="171"/>
    <x v="75"/>
    <x v="4"/>
  </r>
  <r>
    <x v="0"/>
    <x v="42"/>
    <x v="42"/>
    <x v="3"/>
    <x v="3"/>
    <x v="3"/>
    <x v="4"/>
    <x v="176"/>
    <x v="479"/>
    <x v="172"/>
    <x v="522"/>
    <x v="89"/>
    <x v="450"/>
    <x v="4"/>
  </r>
  <r>
    <x v="0"/>
    <x v="42"/>
    <x v="42"/>
    <x v="2"/>
    <x v="2"/>
    <x v="2"/>
    <x v="5"/>
    <x v="218"/>
    <x v="480"/>
    <x v="154"/>
    <x v="523"/>
    <x v="184"/>
    <x v="451"/>
    <x v="4"/>
  </r>
  <r>
    <x v="0"/>
    <x v="42"/>
    <x v="42"/>
    <x v="30"/>
    <x v="30"/>
    <x v="30"/>
    <x v="6"/>
    <x v="287"/>
    <x v="481"/>
    <x v="151"/>
    <x v="121"/>
    <x v="156"/>
    <x v="96"/>
    <x v="4"/>
  </r>
  <r>
    <x v="0"/>
    <x v="42"/>
    <x v="42"/>
    <x v="5"/>
    <x v="5"/>
    <x v="5"/>
    <x v="7"/>
    <x v="197"/>
    <x v="110"/>
    <x v="144"/>
    <x v="524"/>
    <x v="161"/>
    <x v="344"/>
    <x v="4"/>
  </r>
  <r>
    <x v="0"/>
    <x v="42"/>
    <x v="42"/>
    <x v="7"/>
    <x v="7"/>
    <x v="7"/>
    <x v="7"/>
    <x v="197"/>
    <x v="110"/>
    <x v="158"/>
    <x v="525"/>
    <x v="173"/>
    <x v="452"/>
    <x v="4"/>
  </r>
  <r>
    <x v="0"/>
    <x v="42"/>
    <x v="42"/>
    <x v="9"/>
    <x v="9"/>
    <x v="9"/>
    <x v="9"/>
    <x v="289"/>
    <x v="157"/>
    <x v="151"/>
    <x v="121"/>
    <x v="161"/>
    <x v="344"/>
    <x v="4"/>
  </r>
  <r>
    <x v="0"/>
    <x v="42"/>
    <x v="42"/>
    <x v="11"/>
    <x v="11"/>
    <x v="11"/>
    <x v="10"/>
    <x v="198"/>
    <x v="84"/>
    <x v="151"/>
    <x v="121"/>
    <x v="176"/>
    <x v="453"/>
    <x v="4"/>
  </r>
  <r>
    <x v="0"/>
    <x v="42"/>
    <x v="42"/>
    <x v="13"/>
    <x v="13"/>
    <x v="13"/>
    <x v="11"/>
    <x v="294"/>
    <x v="70"/>
    <x v="228"/>
    <x v="196"/>
    <x v="170"/>
    <x v="454"/>
    <x v="4"/>
  </r>
  <r>
    <x v="0"/>
    <x v="42"/>
    <x v="42"/>
    <x v="19"/>
    <x v="19"/>
    <x v="19"/>
    <x v="11"/>
    <x v="294"/>
    <x v="70"/>
    <x v="151"/>
    <x v="121"/>
    <x v="171"/>
    <x v="75"/>
    <x v="4"/>
  </r>
  <r>
    <x v="0"/>
    <x v="42"/>
    <x v="42"/>
    <x v="25"/>
    <x v="25"/>
    <x v="25"/>
    <x v="13"/>
    <x v="295"/>
    <x v="335"/>
    <x v="156"/>
    <x v="201"/>
    <x v="154"/>
    <x v="32"/>
    <x v="4"/>
  </r>
  <r>
    <x v="0"/>
    <x v="42"/>
    <x v="42"/>
    <x v="22"/>
    <x v="22"/>
    <x v="22"/>
    <x v="14"/>
    <x v="296"/>
    <x v="86"/>
    <x v="39"/>
    <x v="106"/>
    <x v="171"/>
    <x v="75"/>
    <x v="4"/>
  </r>
  <r>
    <x v="0"/>
    <x v="42"/>
    <x v="42"/>
    <x v="12"/>
    <x v="12"/>
    <x v="12"/>
    <x v="14"/>
    <x v="296"/>
    <x v="86"/>
    <x v="228"/>
    <x v="196"/>
    <x v="170"/>
    <x v="454"/>
    <x v="4"/>
  </r>
  <r>
    <x v="0"/>
    <x v="42"/>
    <x v="42"/>
    <x v="33"/>
    <x v="33"/>
    <x v="33"/>
    <x v="14"/>
    <x v="296"/>
    <x v="86"/>
    <x v="39"/>
    <x v="106"/>
    <x v="171"/>
    <x v="75"/>
    <x v="4"/>
  </r>
  <r>
    <x v="0"/>
    <x v="42"/>
    <x v="42"/>
    <x v="24"/>
    <x v="24"/>
    <x v="24"/>
    <x v="17"/>
    <x v="297"/>
    <x v="273"/>
    <x v="156"/>
    <x v="201"/>
    <x v="176"/>
    <x v="453"/>
    <x v="4"/>
  </r>
  <r>
    <x v="0"/>
    <x v="42"/>
    <x v="42"/>
    <x v="41"/>
    <x v="41"/>
    <x v="41"/>
    <x v="17"/>
    <x v="297"/>
    <x v="273"/>
    <x v="55"/>
    <x v="200"/>
    <x v="171"/>
    <x v="75"/>
    <x v="4"/>
  </r>
  <r>
    <x v="0"/>
    <x v="42"/>
    <x v="42"/>
    <x v="26"/>
    <x v="26"/>
    <x v="26"/>
    <x v="17"/>
    <x v="297"/>
    <x v="273"/>
    <x v="228"/>
    <x v="196"/>
    <x v="174"/>
    <x v="287"/>
    <x v="4"/>
  </r>
  <r>
    <x v="0"/>
    <x v="42"/>
    <x v="42"/>
    <x v="21"/>
    <x v="21"/>
    <x v="21"/>
    <x v="17"/>
    <x v="297"/>
    <x v="273"/>
    <x v="156"/>
    <x v="201"/>
    <x v="170"/>
    <x v="454"/>
    <x v="0"/>
  </r>
  <r>
    <x v="0"/>
    <x v="43"/>
    <x v="43"/>
    <x v="1"/>
    <x v="1"/>
    <x v="1"/>
    <x v="0"/>
    <x v="301"/>
    <x v="482"/>
    <x v="128"/>
    <x v="526"/>
    <x v="141"/>
    <x v="184"/>
    <x v="4"/>
  </r>
  <r>
    <x v="0"/>
    <x v="43"/>
    <x v="43"/>
    <x v="0"/>
    <x v="0"/>
    <x v="0"/>
    <x v="1"/>
    <x v="189"/>
    <x v="483"/>
    <x v="62"/>
    <x v="527"/>
    <x v="154"/>
    <x v="336"/>
    <x v="4"/>
  </r>
  <r>
    <x v="0"/>
    <x v="43"/>
    <x v="43"/>
    <x v="4"/>
    <x v="4"/>
    <x v="4"/>
    <x v="2"/>
    <x v="236"/>
    <x v="484"/>
    <x v="131"/>
    <x v="208"/>
    <x v="188"/>
    <x v="455"/>
    <x v="4"/>
  </r>
  <r>
    <x v="0"/>
    <x v="43"/>
    <x v="43"/>
    <x v="6"/>
    <x v="6"/>
    <x v="6"/>
    <x v="3"/>
    <x v="151"/>
    <x v="298"/>
    <x v="132"/>
    <x v="528"/>
    <x v="166"/>
    <x v="456"/>
    <x v="4"/>
  </r>
  <r>
    <x v="0"/>
    <x v="43"/>
    <x v="43"/>
    <x v="3"/>
    <x v="3"/>
    <x v="3"/>
    <x v="3"/>
    <x v="151"/>
    <x v="298"/>
    <x v="131"/>
    <x v="208"/>
    <x v="84"/>
    <x v="457"/>
    <x v="4"/>
  </r>
  <r>
    <x v="0"/>
    <x v="43"/>
    <x v="43"/>
    <x v="5"/>
    <x v="5"/>
    <x v="5"/>
    <x v="5"/>
    <x v="237"/>
    <x v="22"/>
    <x v="143"/>
    <x v="370"/>
    <x v="70"/>
    <x v="26"/>
    <x v="4"/>
  </r>
  <r>
    <x v="0"/>
    <x v="43"/>
    <x v="43"/>
    <x v="8"/>
    <x v="8"/>
    <x v="8"/>
    <x v="6"/>
    <x v="152"/>
    <x v="485"/>
    <x v="134"/>
    <x v="417"/>
    <x v="157"/>
    <x v="458"/>
    <x v="4"/>
  </r>
  <r>
    <x v="0"/>
    <x v="43"/>
    <x v="43"/>
    <x v="2"/>
    <x v="2"/>
    <x v="2"/>
    <x v="7"/>
    <x v="154"/>
    <x v="486"/>
    <x v="145"/>
    <x v="341"/>
    <x v="133"/>
    <x v="459"/>
    <x v="4"/>
  </r>
  <r>
    <x v="0"/>
    <x v="43"/>
    <x v="43"/>
    <x v="18"/>
    <x v="18"/>
    <x v="18"/>
    <x v="8"/>
    <x v="191"/>
    <x v="487"/>
    <x v="66"/>
    <x v="529"/>
    <x v="89"/>
    <x v="460"/>
    <x v="4"/>
  </r>
  <r>
    <x v="0"/>
    <x v="43"/>
    <x v="43"/>
    <x v="7"/>
    <x v="7"/>
    <x v="7"/>
    <x v="9"/>
    <x v="284"/>
    <x v="476"/>
    <x v="154"/>
    <x v="530"/>
    <x v="176"/>
    <x v="192"/>
    <x v="4"/>
  </r>
  <r>
    <x v="0"/>
    <x v="43"/>
    <x v="43"/>
    <x v="9"/>
    <x v="9"/>
    <x v="9"/>
    <x v="10"/>
    <x v="282"/>
    <x v="197"/>
    <x v="172"/>
    <x v="531"/>
    <x v="184"/>
    <x v="148"/>
    <x v="4"/>
  </r>
  <r>
    <x v="0"/>
    <x v="43"/>
    <x v="43"/>
    <x v="31"/>
    <x v="31"/>
    <x v="31"/>
    <x v="11"/>
    <x v="219"/>
    <x v="248"/>
    <x v="66"/>
    <x v="529"/>
    <x v="141"/>
    <x v="184"/>
    <x v="4"/>
  </r>
  <r>
    <x v="0"/>
    <x v="43"/>
    <x v="43"/>
    <x v="27"/>
    <x v="27"/>
    <x v="27"/>
    <x v="12"/>
    <x v="220"/>
    <x v="12"/>
    <x v="121"/>
    <x v="532"/>
    <x v="175"/>
    <x v="304"/>
    <x v="4"/>
  </r>
  <r>
    <x v="0"/>
    <x v="43"/>
    <x v="43"/>
    <x v="12"/>
    <x v="12"/>
    <x v="12"/>
    <x v="12"/>
    <x v="220"/>
    <x v="12"/>
    <x v="121"/>
    <x v="532"/>
    <x v="175"/>
    <x v="304"/>
    <x v="4"/>
  </r>
  <r>
    <x v="0"/>
    <x v="43"/>
    <x v="43"/>
    <x v="10"/>
    <x v="10"/>
    <x v="10"/>
    <x v="12"/>
    <x v="220"/>
    <x v="12"/>
    <x v="143"/>
    <x v="370"/>
    <x v="174"/>
    <x v="461"/>
    <x v="4"/>
  </r>
  <r>
    <x v="0"/>
    <x v="43"/>
    <x v="43"/>
    <x v="21"/>
    <x v="21"/>
    <x v="21"/>
    <x v="12"/>
    <x v="220"/>
    <x v="12"/>
    <x v="156"/>
    <x v="201"/>
    <x v="174"/>
    <x v="461"/>
    <x v="4"/>
  </r>
  <r>
    <x v="0"/>
    <x v="43"/>
    <x v="43"/>
    <x v="13"/>
    <x v="13"/>
    <x v="13"/>
    <x v="16"/>
    <x v="287"/>
    <x v="85"/>
    <x v="144"/>
    <x v="184"/>
    <x v="161"/>
    <x v="191"/>
    <x v="4"/>
  </r>
  <r>
    <x v="0"/>
    <x v="43"/>
    <x v="43"/>
    <x v="29"/>
    <x v="29"/>
    <x v="29"/>
    <x v="17"/>
    <x v="288"/>
    <x v="86"/>
    <x v="55"/>
    <x v="533"/>
    <x v="166"/>
    <x v="456"/>
    <x v="4"/>
  </r>
  <r>
    <x v="0"/>
    <x v="43"/>
    <x v="43"/>
    <x v="23"/>
    <x v="23"/>
    <x v="23"/>
    <x v="17"/>
    <x v="288"/>
    <x v="86"/>
    <x v="144"/>
    <x v="184"/>
    <x v="176"/>
    <x v="192"/>
    <x v="4"/>
  </r>
  <r>
    <x v="0"/>
    <x v="43"/>
    <x v="43"/>
    <x v="38"/>
    <x v="38"/>
    <x v="38"/>
    <x v="19"/>
    <x v="298"/>
    <x v="54"/>
    <x v="149"/>
    <x v="534"/>
    <x v="161"/>
    <x v="191"/>
    <x v="4"/>
  </r>
  <r>
    <x v="0"/>
    <x v="43"/>
    <x v="43"/>
    <x v="14"/>
    <x v="14"/>
    <x v="14"/>
    <x v="19"/>
    <x v="298"/>
    <x v="54"/>
    <x v="55"/>
    <x v="533"/>
    <x v="156"/>
    <x v="190"/>
    <x v="4"/>
  </r>
  <r>
    <x v="0"/>
    <x v="44"/>
    <x v="44"/>
    <x v="6"/>
    <x v="6"/>
    <x v="6"/>
    <x v="0"/>
    <x v="149"/>
    <x v="488"/>
    <x v="142"/>
    <x v="535"/>
    <x v="161"/>
    <x v="23"/>
    <x v="0"/>
  </r>
  <r>
    <x v="0"/>
    <x v="44"/>
    <x v="44"/>
    <x v="0"/>
    <x v="0"/>
    <x v="0"/>
    <x v="1"/>
    <x v="176"/>
    <x v="489"/>
    <x v="76"/>
    <x v="536"/>
    <x v="170"/>
    <x v="116"/>
    <x v="4"/>
  </r>
  <r>
    <x v="0"/>
    <x v="44"/>
    <x v="44"/>
    <x v="1"/>
    <x v="1"/>
    <x v="1"/>
    <x v="2"/>
    <x v="218"/>
    <x v="256"/>
    <x v="76"/>
    <x v="536"/>
    <x v="206"/>
    <x v="382"/>
    <x v="4"/>
  </r>
  <r>
    <x v="0"/>
    <x v="44"/>
    <x v="44"/>
    <x v="4"/>
    <x v="4"/>
    <x v="4"/>
    <x v="3"/>
    <x v="284"/>
    <x v="490"/>
    <x v="134"/>
    <x v="537"/>
    <x v="143"/>
    <x v="462"/>
    <x v="4"/>
  </r>
  <r>
    <x v="0"/>
    <x v="44"/>
    <x v="44"/>
    <x v="29"/>
    <x v="29"/>
    <x v="29"/>
    <x v="3"/>
    <x v="284"/>
    <x v="490"/>
    <x v="158"/>
    <x v="538"/>
    <x v="175"/>
    <x v="463"/>
    <x v="3"/>
  </r>
  <r>
    <x v="0"/>
    <x v="44"/>
    <x v="44"/>
    <x v="3"/>
    <x v="3"/>
    <x v="3"/>
    <x v="5"/>
    <x v="282"/>
    <x v="202"/>
    <x v="57"/>
    <x v="539"/>
    <x v="175"/>
    <x v="463"/>
    <x v="4"/>
  </r>
  <r>
    <x v="0"/>
    <x v="44"/>
    <x v="44"/>
    <x v="30"/>
    <x v="30"/>
    <x v="30"/>
    <x v="6"/>
    <x v="219"/>
    <x v="491"/>
    <x v="155"/>
    <x v="190"/>
    <x v="174"/>
    <x v="90"/>
    <x v="4"/>
  </r>
  <r>
    <x v="0"/>
    <x v="44"/>
    <x v="44"/>
    <x v="5"/>
    <x v="5"/>
    <x v="5"/>
    <x v="7"/>
    <x v="197"/>
    <x v="492"/>
    <x v="145"/>
    <x v="540"/>
    <x v="170"/>
    <x v="116"/>
    <x v="4"/>
  </r>
  <r>
    <x v="0"/>
    <x v="44"/>
    <x v="44"/>
    <x v="8"/>
    <x v="8"/>
    <x v="8"/>
    <x v="8"/>
    <x v="289"/>
    <x v="459"/>
    <x v="151"/>
    <x v="541"/>
    <x v="161"/>
    <x v="23"/>
    <x v="4"/>
  </r>
  <r>
    <x v="0"/>
    <x v="44"/>
    <x v="44"/>
    <x v="10"/>
    <x v="10"/>
    <x v="10"/>
    <x v="9"/>
    <x v="198"/>
    <x v="476"/>
    <x v="134"/>
    <x v="537"/>
    <x v="173"/>
    <x v="151"/>
    <x v="4"/>
  </r>
  <r>
    <x v="0"/>
    <x v="44"/>
    <x v="44"/>
    <x v="9"/>
    <x v="9"/>
    <x v="9"/>
    <x v="10"/>
    <x v="294"/>
    <x v="400"/>
    <x v="144"/>
    <x v="11"/>
    <x v="173"/>
    <x v="151"/>
    <x v="4"/>
  </r>
  <r>
    <x v="0"/>
    <x v="44"/>
    <x v="44"/>
    <x v="12"/>
    <x v="12"/>
    <x v="12"/>
    <x v="11"/>
    <x v="295"/>
    <x v="361"/>
    <x v="144"/>
    <x v="11"/>
    <x v="206"/>
    <x v="382"/>
    <x v="4"/>
  </r>
  <r>
    <x v="0"/>
    <x v="44"/>
    <x v="44"/>
    <x v="21"/>
    <x v="21"/>
    <x v="21"/>
    <x v="12"/>
    <x v="296"/>
    <x v="408"/>
    <x v="156"/>
    <x v="201"/>
    <x v="171"/>
    <x v="464"/>
    <x v="4"/>
  </r>
  <r>
    <x v="0"/>
    <x v="44"/>
    <x v="44"/>
    <x v="41"/>
    <x v="41"/>
    <x v="41"/>
    <x v="13"/>
    <x v="297"/>
    <x v="52"/>
    <x v="151"/>
    <x v="541"/>
    <x v="173"/>
    <x v="151"/>
    <x v="4"/>
  </r>
  <r>
    <x v="0"/>
    <x v="44"/>
    <x v="44"/>
    <x v="7"/>
    <x v="7"/>
    <x v="7"/>
    <x v="13"/>
    <x v="297"/>
    <x v="52"/>
    <x v="151"/>
    <x v="541"/>
    <x v="206"/>
    <x v="382"/>
    <x v="4"/>
  </r>
  <r>
    <x v="0"/>
    <x v="44"/>
    <x v="44"/>
    <x v="42"/>
    <x v="42"/>
    <x v="42"/>
    <x v="13"/>
    <x v="297"/>
    <x v="52"/>
    <x v="55"/>
    <x v="542"/>
    <x v="171"/>
    <x v="464"/>
    <x v="4"/>
  </r>
  <r>
    <x v="0"/>
    <x v="44"/>
    <x v="44"/>
    <x v="28"/>
    <x v="28"/>
    <x v="28"/>
    <x v="16"/>
    <x v="300"/>
    <x v="493"/>
    <x v="39"/>
    <x v="306"/>
    <x v="173"/>
    <x v="151"/>
    <x v="4"/>
  </r>
  <r>
    <x v="0"/>
    <x v="44"/>
    <x v="44"/>
    <x v="39"/>
    <x v="39"/>
    <x v="39"/>
    <x v="16"/>
    <x v="300"/>
    <x v="493"/>
    <x v="156"/>
    <x v="201"/>
    <x v="170"/>
    <x v="116"/>
    <x v="4"/>
  </r>
  <r>
    <x v="0"/>
    <x v="44"/>
    <x v="44"/>
    <x v="11"/>
    <x v="11"/>
    <x v="11"/>
    <x v="16"/>
    <x v="300"/>
    <x v="493"/>
    <x v="39"/>
    <x v="306"/>
    <x v="173"/>
    <x v="151"/>
    <x v="4"/>
  </r>
  <r>
    <x v="0"/>
    <x v="44"/>
    <x v="44"/>
    <x v="31"/>
    <x v="31"/>
    <x v="31"/>
    <x v="19"/>
    <x v="302"/>
    <x v="494"/>
    <x v="55"/>
    <x v="542"/>
    <x v="173"/>
    <x v="151"/>
    <x v="4"/>
  </r>
  <r>
    <x v="0"/>
    <x v="44"/>
    <x v="44"/>
    <x v="22"/>
    <x v="22"/>
    <x v="22"/>
    <x v="19"/>
    <x v="302"/>
    <x v="494"/>
    <x v="55"/>
    <x v="542"/>
    <x v="173"/>
    <x v="151"/>
    <x v="4"/>
  </r>
  <r>
    <x v="0"/>
    <x v="44"/>
    <x v="44"/>
    <x v="44"/>
    <x v="44"/>
    <x v="44"/>
    <x v="19"/>
    <x v="302"/>
    <x v="494"/>
    <x v="39"/>
    <x v="306"/>
    <x v="206"/>
    <x v="382"/>
    <x v="4"/>
  </r>
  <r>
    <x v="0"/>
    <x v="44"/>
    <x v="44"/>
    <x v="23"/>
    <x v="23"/>
    <x v="23"/>
    <x v="19"/>
    <x v="302"/>
    <x v="494"/>
    <x v="39"/>
    <x v="306"/>
    <x v="206"/>
    <x v="382"/>
    <x v="4"/>
  </r>
  <r>
    <x v="0"/>
    <x v="44"/>
    <x v="44"/>
    <x v="16"/>
    <x v="16"/>
    <x v="16"/>
    <x v="19"/>
    <x v="302"/>
    <x v="494"/>
    <x v="55"/>
    <x v="542"/>
    <x v="173"/>
    <x v="151"/>
    <x v="4"/>
  </r>
  <r>
    <x v="0"/>
    <x v="44"/>
    <x v="44"/>
    <x v="40"/>
    <x v="40"/>
    <x v="40"/>
    <x v="19"/>
    <x v="302"/>
    <x v="494"/>
    <x v="39"/>
    <x v="306"/>
    <x v="206"/>
    <x v="382"/>
    <x v="4"/>
  </r>
  <r>
    <x v="0"/>
    <x v="45"/>
    <x v="45"/>
    <x v="4"/>
    <x v="4"/>
    <x v="4"/>
    <x v="0"/>
    <x v="166"/>
    <x v="495"/>
    <x v="133"/>
    <x v="543"/>
    <x v="130"/>
    <x v="465"/>
    <x v="4"/>
  </r>
  <r>
    <x v="0"/>
    <x v="45"/>
    <x v="45"/>
    <x v="1"/>
    <x v="1"/>
    <x v="1"/>
    <x v="1"/>
    <x v="185"/>
    <x v="413"/>
    <x v="64"/>
    <x v="544"/>
    <x v="174"/>
    <x v="175"/>
    <x v="4"/>
  </r>
  <r>
    <x v="0"/>
    <x v="45"/>
    <x v="45"/>
    <x v="3"/>
    <x v="3"/>
    <x v="3"/>
    <x v="2"/>
    <x v="190"/>
    <x v="496"/>
    <x v="56"/>
    <x v="545"/>
    <x v="172"/>
    <x v="23"/>
    <x v="7"/>
  </r>
  <r>
    <x v="0"/>
    <x v="45"/>
    <x v="45"/>
    <x v="6"/>
    <x v="6"/>
    <x v="6"/>
    <x v="3"/>
    <x v="169"/>
    <x v="432"/>
    <x v="157"/>
    <x v="546"/>
    <x v="175"/>
    <x v="466"/>
    <x v="4"/>
  </r>
  <r>
    <x v="0"/>
    <x v="45"/>
    <x v="45"/>
    <x v="5"/>
    <x v="5"/>
    <x v="5"/>
    <x v="4"/>
    <x v="154"/>
    <x v="497"/>
    <x v="155"/>
    <x v="547"/>
    <x v="141"/>
    <x v="467"/>
    <x v="4"/>
  </r>
  <r>
    <x v="0"/>
    <x v="45"/>
    <x v="45"/>
    <x v="0"/>
    <x v="0"/>
    <x v="0"/>
    <x v="5"/>
    <x v="192"/>
    <x v="498"/>
    <x v="130"/>
    <x v="548"/>
    <x v="173"/>
    <x v="173"/>
    <x v="4"/>
  </r>
  <r>
    <x v="0"/>
    <x v="45"/>
    <x v="45"/>
    <x v="8"/>
    <x v="8"/>
    <x v="8"/>
    <x v="6"/>
    <x v="219"/>
    <x v="389"/>
    <x v="121"/>
    <x v="549"/>
    <x v="156"/>
    <x v="468"/>
    <x v="4"/>
  </r>
  <r>
    <x v="0"/>
    <x v="45"/>
    <x v="45"/>
    <x v="7"/>
    <x v="7"/>
    <x v="7"/>
    <x v="7"/>
    <x v="220"/>
    <x v="499"/>
    <x v="53"/>
    <x v="302"/>
    <x v="206"/>
    <x v="382"/>
    <x v="4"/>
  </r>
  <r>
    <x v="0"/>
    <x v="45"/>
    <x v="45"/>
    <x v="10"/>
    <x v="10"/>
    <x v="10"/>
    <x v="8"/>
    <x v="194"/>
    <x v="500"/>
    <x v="53"/>
    <x v="302"/>
    <x v="206"/>
    <x v="382"/>
    <x v="4"/>
  </r>
  <r>
    <x v="0"/>
    <x v="45"/>
    <x v="45"/>
    <x v="9"/>
    <x v="9"/>
    <x v="9"/>
    <x v="9"/>
    <x v="197"/>
    <x v="360"/>
    <x v="119"/>
    <x v="250"/>
    <x v="154"/>
    <x v="469"/>
    <x v="4"/>
  </r>
  <r>
    <x v="0"/>
    <x v="45"/>
    <x v="45"/>
    <x v="2"/>
    <x v="2"/>
    <x v="2"/>
    <x v="10"/>
    <x v="288"/>
    <x v="270"/>
    <x v="119"/>
    <x v="250"/>
    <x v="176"/>
    <x v="20"/>
    <x v="4"/>
  </r>
  <r>
    <x v="0"/>
    <x v="45"/>
    <x v="45"/>
    <x v="13"/>
    <x v="13"/>
    <x v="13"/>
    <x v="11"/>
    <x v="298"/>
    <x v="131"/>
    <x v="119"/>
    <x v="250"/>
    <x v="176"/>
    <x v="20"/>
    <x v="4"/>
  </r>
  <r>
    <x v="0"/>
    <x v="45"/>
    <x v="45"/>
    <x v="11"/>
    <x v="11"/>
    <x v="11"/>
    <x v="12"/>
    <x v="289"/>
    <x v="70"/>
    <x v="134"/>
    <x v="475"/>
    <x v="174"/>
    <x v="175"/>
    <x v="4"/>
  </r>
  <r>
    <x v="0"/>
    <x v="45"/>
    <x v="45"/>
    <x v="29"/>
    <x v="29"/>
    <x v="29"/>
    <x v="13"/>
    <x v="198"/>
    <x v="172"/>
    <x v="151"/>
    <x v="476"/>
    <x v="176"/>
    <x v="20"/>
    <x v="4"/>
  </r>
  <r>
    <x v="0"/>
    <x v="45"/>
    <x v="45"/>
    <x v="16"/>
    <x v="16"/>
    <x v="16"/>
    <x v="13"/>
    <x v="198"/>
    <x v="172"/>
    <x v="151"/>
    <x v="476"/>
    <x v="176"/>
    <x v="20"/>
    <x v="4"/>
  </r>
  <r>
    <x v="0"/>
    <x v="45"/>
    <x v="45"/>
    <x v="15"/>
    <x v="15"/>
    <x v="15"/>
    <x v="15"/>
    <x v="294"/>
    <x v="52"/>
    <x v="39"/>
    <x v="18"/>
    <x v="161"/>
    <x v="309"/>
    <x v="4"/>
  </r>
  <r>
    <x v="0"/>
    <x v="45"/>
    <x v="45"/>
    <x v="12"/>
    <x v="12"/>
    <x v="12"/>
    <x v="15"/>
    <x v="294"/>
    <x v="52"/>
    <x v="119"/>
    <x v="250"/>
    <x v="174"/>
    <x v="175"/>
    <x v="4"/>
  </r>
  <r>
    <x v="0"/>
    <x v="45"/>
    <x v="45"/>
    <x v="31"/>
    <x v="31"/>
    <x v="31"/>
    <x v="17"/>
    <x v="296"/>
    <x v="239"/>
    <x v="149"/>
    <x v="146"/>
    <x v="173"/>
    <x v="173"/>
    <x v="4"/>
  </r>
  <r>
    <x v="0"/>
    <x v="45"/>
    <x v="45"/>
    <x v="28"/>
    <x v="28"/>
    <x v="28"/>
    <x v="17"/>
    <x v="296"/>
    <x v="239"/>
    <x v="55"/>
    <x v="365"/>
    <x v="176"/>
    <x v="20"/>
    <x v="4"/>
  </r>
  <r>
    <x v="0"/>
    <x v="45"/>
    <x v="45"/>
    <x v="19"/>
    <x v="19"/>
    <x v="19"/>
    <x v="17"/>
    <x v="296"/>
    <x v="239"/>
    <x v="149"/>
    <x v="146"/>
    <x v="173"/>
    <x v="173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1">
  <r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1"/>
    <x v="1"/>
    <x v="1"/>
    <x v="1"/>
    <x v="1"/>
    <x v="1"/>
    <x v="1"/>
    <x v="1"/>
    <x v="1"/>
    <x v="1"/>
    <x v="1"/>
  </r>
  <r>
    <x v="0"/>
    <x v="0"/>
    <x v="0"/>
    <x v="2"/>
    <x v="2"/>
    <x v="2"/>
    <x v="2"/>
    <x v="2"/>
    <x v="2"/>
    <x v="2"/>
    <x v="2"/>
    <x v="2"/>
    <x v="2"/>
    <x v="1"/>
  </r>
  <r>
    <x v="0"/>
    <x v="0"/>
    <x v="0"/>
    <x v="3"/>
    <x v="3"/>
    <x v="3"/>
    <x v="3"/>
    <x v="3"/>
    <x v="3"/>
    <x v="3"/>
    <x v="3"/>
    <x v="3"/>
    <x v="3"/>
    <x v="1"/>
  </r>
  <r>
    <x v="0"/>
    <x v="0"/>
    <x v="0"/>
    <x v="4"/>
    <x v="4"/>
    <x v="4"/>
    <x v="4"/>
    <x v="4"/>
    <x v="4"/>
    <x v="4"/>
    <x v="4"/>
    <x v="4"/>
    <x v="4"/>
    <x v="2"/>
  </r>
  <r>
    <x v="0"/>
    <x v="0"/>
    <x v="0"/>
    <x v="5"/>
    <x v="5"/>
    <x v="5"/>
    <x v="5"/>
    <x v="5"/>
    <x v="5"/>
    <x v="5"/>
    <x v="5"/>
    <x v="5"/>
    <x v="5"/>
    <x v="3"/>
  </r>
  <r>
    <x v="0"/>
    <x v="0"/>
    <x v="0"/>
    <x v="6"/>
    <x v="6"/>
    <x v="6"/>
    <x v="6"/>
    <x v="6"/>
    <x v="6"/>
    <x v="6"/>
    <x v="6"/>
    <x v="6"/>
    <x v="6"/>
    <x v="1"/>
  </r>
  <r>
    <x v="0"/>
    <x v="0"/>
    <x v="0"/>
    <x v="7"/>
    <x v="7"/>
    <x v="7"/>
    <x v="7"/>
    <x v="7"/>
    <x v="7"/>
    <x v="7"/>
    <x v="7"/>
    <x v="7"/>
    <x v="7"/>
    <x v="2"/>
  </r>
  <r>
    <x v="0"/>
    <x v="0"/>
    <x v="0"/>
    <x v="8"/>
    <x v="8"/>
    <x v="8"/>
    <x v="8"/>
    <x v="8"/>
    <x v="8"/>
    <x v="8"/>
    <x v="8"/>
    <x v="8"/>
    <x v="8"/>
    <x v="2"/>
  </r>
  <r>
    <x v="0"/>
    <x v="0"/>
    <x v="0"/>
    <x v="9"/>
    <x v="9"/>
    <x v="9"/>
    <x v="9"/>
    <x v="9"/>
    <x v="9"/>
    <x v="9"/>
    <x v="9"/>
    <x v="9"/>
    <x v="9"/>
    <x v="4"/>
  </r>
  <r>
    <x v="0"/>
    <x v="0"/>
    <x v="0"/>
    <x v="10"/>
    <x v="10"/>
    <x v="10"/>
    <x v="10"/>
    <x v="10"/>
    <x v="10"/>
    <x v="10"/>
    <x v="10"/>
    <x v="10"/>
    <x v="10"/>
    <x v="2"/>
  </r>
  <r>
    <x v="0"/>
    <x v="0"/>
    <x v="0"/>
    <x v="11"/>
    <x v="11"/>
    <x v="11"/>
    <x v="11"/>
    <x v="11"/>
    <x v="11"/>
    <x v="11"/>
    <x v="11"/>
    <x v="11"/>
    <x v="11"/>
    <x v="0"/>
  </r>
  <r>
    <x v="0"/>
    <x v="0"/>
    <x v="0"/>
    <x v="12"/>
    <x v="12"/>
    <x v="12"/>
    <x v="12"/>
    <x v="12"/>
    <x v="12"/>
    <x v="12"/>
    <x v="12"/>
    <x v="12"/>
    <x v="12"/>
    <x v="2"/>
  </r>
  <r>
    <x v="0"/>
    <x v="0"/>
    <x v="0"/>
    <x v="13"/>
    <x v="13"/>
    <x v="13"/>
    <x v="13"/>
    <x v="13"/>
    <x v="13"/>
    <x v="13"/>
    <x v="13"/>
    <x v="13"/>
    <x v="13"/>
    <x v="2"/>
  </r>
  <r>
    <x v="0"/>
    <x v="0"/>
    <x v="0"/>
    <x v="14"/>
    <x v="14"/>
    <x v="14"/>
    <x v="14"/>
    <x v="14"/>
    <x v="14"/>
    <x v="14"/>
    <x v="14"/>
    <x v="14"/>
    <x v="14"/>
    <x v="2"/>
  </r>
  <r>
    <x v="0"/>
    <x v="0"/>
    <x v="0"/>
    <x v="15"/>
    <x v="15"/>
    <x v="15"/>
    <x v="15"/>
    <x v="15"/>
    <x v="15"/>
    <x v="15"/>
    <x v="15"/>
    <x v="15"/>
    <x v="15"/>
    <x v="1"/>
  </r>
  <r>
    <x v="0"/>
    <x v="0"/>
    <x v="0"/>
    <x v="16"/>
    <x v="16"/>
    <x v="16"/>
    <x v="16"/>
    <x v="16"/>
    <x v="16"/>
    <x v="16"/>
    <x v="16"/>
    <x v="16"/>
    <x v="16"/>
    <x v="2"/>
  </r>
  <r>
    <x v="0"/>
    <x v="0"/>
    <x v="0"/>
    <x v="17"/>
    <x v="17"/>
    <x v="17"/>
    <x v="17"/>
    <x v="17"/>
    <x v="17"/>
    <x v="17"/>
    <x v="17"/>
    <x v="17"/>
    <x v="17"/>
    <x v="2"/>
  </r>
  <r>
    <x v="0"/>
    <x v="0"/>
    <x v="0"/>
    <x v="18"/>
    <x v="18"/>
    <x v="18"/>
    <x v="18"/>
    <x v="18"/>
    <x v="18"/>
    <x v="18"/>
    <x v="18"/>
    <x v="18"/>
    <x v="18"/>
    <x v="2"/>
  </r>
  <r>
    <x v="0"/>
    <x v="0"/>
    <x v="0"/>
    <x v="19"/>
    <x v="19"/>
    <x v="19"/>
    <x v="19"/>
    <x v="19"/>
    <x v="18"/>
    <x v="19"/>
    <x v="19"/>
    <x v="19"/>
    <x v="19"/>
    <x v="2"/>
  </r>
  <r>
    <x v="0"/>
    <x v="1"/>
    <x v="1"/>
    <x v="0"/>
    <x v="0"/>
    <x v="0"/>
    <x v="0"/>
    <x v="20"/>
    <x v="19"/>
    <x v="20"/>
    <x v="20"/>
    <x v="20"/>
    <x v="20"/>
    <x v="2"/>
  </r>
  <r>
    <x v="0"/>
    <x v="1"/>
    <x v="1"/>
    <x v="1"/>
    <x v="1"/>
    <x v="1"/>
    <x v="1"/>
    <x v="21"/>
    <x v="20"/>
    <x v="21"/>
    <x v="21"/>
    <x v="21"/>
    <x v="21"/>
    <x v="2"/>
  </r>
  <r>
    <x v="0"/>
    <x v="1"/>
    <x v="1"/>
    <x v="4"/>
    <x v="4"/>
    <x v="4"/>
    <x v="2"/>
    <x v="22"/>
    <x v="21"/>
    <x v="22"/>
    <x v="22"/>
    <x v="22"/>
    <x v="22"/>
    <x v="2"/>
  </r>
  <r>
    <x v="0"/>
    <x v="1"/>
    <x v="1"/>
    <x v="2"/>
    <x v="2"/>
    <x v="2"/>
    <x v="3"/>
    <x v="23"/>
    <x v="22"/>
    <x v="23"/>
    <x v="23"/>
    <x v="23"/>
    <x v="23"/>
    <x v="2"/>
  </r>
  <r>
    <x v="0"/>
    <x v="1"/>
    <x v="1"/>
    <x v="3"/>
    <x v="3"/>
    <x v="3"/>
    <x v="4"/>
    <x v="24"/>
    <x v="23"/>
    <x v="24"/>
    <x v="24"/>
    <x v="24"/>
    <x v="24"/>
    <x v="2"/>
  </r>
  <r>
    <x v="0"/>
    <x v="1"/>
    <x v="1"/>
    <x v="6"/>
    <x v="6"/>
    <x v="6"/>
    <x v="5"/>
    <x v="25"/>
    <x v="24"/>
    <x v="25"/>
    <x v="25"/>
    <x v="25"/>
    <x v="25"/>
    <x v="2"/>
  </r>
  <r>
    <x v="0"/>
    <x v="1"/>
    <x v="1"/>
    <x v="5"/>
    <x v="5"/>
    <x v="5"/>
    <x v="6"/>
    <x v="26"/>
    <x v="25"/>
    <x v="26"/>
    <x v="26"/>
    <x v="26"/>
    <x v="26"/>
    <x v="1"/>
  </r>
  <r>
    <x v="0"/>
    <x v="1"/>
    <x v="1"/>
    <x v="9"/>
    <x v="9"/>
    <x v="9"/>
    <x v="7"/>
    <x v="27"/>
    <x v="26"/>
    <x v="27"/>
    <x v="27"/>
    <x v="27"/>
    <x v="27"/>
    <x v="1"/>
  </r>
  <r>
    <x v="0"/>
    <x v="1"/>
    <x v="1"/>
    <x v="11"/>
    <x v="11"/>
    <x v="11"/>
    <x v="8"/>
    <x v="28"/>
    <x v="9"/>
    <x v="28"/>
    <x v="28"/>
    <x v="28"/>
    <x v="0"/>
    <x v="1"/>
  </r>
  <r>
    <x v="0"/>
    <x v="1"/>
    <x v="1"/>
    <x v="7"/>
    <x v="7"/>
    <x v="7"/>
    <x v="9"/>
    <x v="29"/>
    <x v="27"/>
    <x v="29"/>
    <x v="29"/>
    <x v="29"/>
    <x v="28"/>
    <x v="2"/>
  </r>
  <r>
    <x v="0"/>
    <x v="1"/>
    <x v="1"/>
    <x v="13"/>
    <x v="13"/>
    <x v="13"/>
    <x v="10"/>
    <x v="30"/>
    <x v="28"/>
    <x v="30"/>
    <x v="30"/>
    <x v="30"/>
    <x v="29"/>
    <x v="2"/>
  </r>
  <r>
    <x v="0"/>
    <x v="1"/>
    <x v="1"/>
    <x v="8"/>
    <x v="8"/>
    <x v="8"/>
    <x v="11"/>
    <x v="31"/>
    <x v="29"/>
    <x v="31"/>
    <x v="31"/>
    <x v="31"/>
    <x v="30"/>
    <x v="2"/>
  </r>
  <r>
    <x v="0"/>
    <x v="1"/>
    <x v="1"/>
    <x v="18"/>
    <x v="18"/>
    <x v="18"/>
    <x v="12"/>
    <x v="32"/>
    <x v="30"/>
    <x v="32"/>
    <x v="32"/>
    <x v="32"/>
    <x v="31"/>
    <x v="2"/>
  </r>
  <r>
    <x v="0"/>
    <x v="1"/>
    <x v="1"/>
    <x v="15"/>
    <x v="15"/>
    <x v="15"/>
    <x v="13"/>
    <x v="33"/>
    <x v="31"/>
    <x v="33"/>
    <x v="33"/>
    <x v="33"/>
    <x v="32"/>
    <x v="2"/>
  </r>
  <r>
    <x v="0"/>
    <x v="1"/>
    <x v="1"/>
    <x v="16"/>
    <x v="16"/>
    <x v="16"/>
    <x v="14"/>
    <x v="34"/>
    <x v="32"/>
    <x v="34"/>
    <x v="34"/>
    <x v="34"/>
    <x v="33"/>
    <x v="2"/>
  </r>
  <r>
    <x v="0"/>
    <x v="1"/>
    <x v="1"/>
    <x v="17"/>
    <x v="17"/>
    <x v="17"/>
    <x v="15"/>
    <x v="35"/>
    <x v="33"/>
    <x v="35"/>
    <x v="35"/>
    <x v="35"/>
    <x v="12"/>
    <x v="2"/>
  </r>
  <r>
    <x v="0"/>
    <x v="1"/>
    <x v="1"/>
    <x v="14"/>
    <x v="14"/>
    <x v="14"/>
    <x v="16"/>
    <x v="36"/>
    <x v="34"/>
    <x v="36"/>
    <x v="36"/>
    <x v="36"/>
    <x v="34"/>
    <x v="2"/>
  </r>
  <r>
    <x v="0"/>
    <x v="1"/>
    <x v="1"/>
    <x v="20"/>
    <x v="20"/>
    <x v="20"/>
    <x v="17"/>
    <x v="37"/>
    <x v="35"/>
    <x v="37"/>
    <x v="37"/>
    <x v="25"/>
    <x v="25"/>
    <x v="2"/>
  </r>
  <r>
    <x v="0"/>
    <x v="1"/>
    <x v="1"/>
    <x v="19"/>
    <x v="19"/>
    <x v="19"/>
    <x v="17"/>
    <x v="37"/>
    <x v="35"/>
    <x v="38"/>
    <x v="38"/>
    <x v="37"/>
    <x v="35"/>
    <x v="2"/>
  </r>
  <r>
    <x v="0"/>
    <x v="1"/>
    <x v="1"/>
    <x v="10"/>
    <x v="10"/>
    <x v="10"/>
    <x v="19"/>
    <x v="38"/>
    <x v="36"/>
    <x v="39"/>
    <x v="39"/>
    <x v="38"/>
    <x v="36"/>
    <x v="2"/>
  </r>
  <r>
    <x v="0"/>
    <x v="2"/>
    <x v="2"/>
    <x v="0"/>
    <x v="0"/>
    <x v="0"/>
    <x v="0"/>
    <x v="39"/>
    <x v="37"/>
    <x v="40"/>
    <x v="40"/>
    <x v="39"/>
    <x v="37"/>
    <x v="2"/>
  </r>
  <r>
    <x v="0"/>
    <x v="2"/>
    <x v="2"/>
    <x v="4"/>
    <x v="4"/>
    <x v="4"/>
    <x v="1"/>
    <x v="40"/>
    <x v="38"/>
    <x v="41"/>
    <x v="41"/>
    <x v="40"/>
    <x v="38"/>
    <x v="2"/>
  </r>
  <r>
    <x v="0"/>
    <x v="2"/>
    <x v="2"/>
    <x v="3"/>
    <x v="3"/>
    <x v="3"/>
    <x v="2"/>
    <x v="41"/>
    <x v="39"/>
    <x v="42"/>
    <x v="42"/>
    <x v="41"/>
    <x v="20"/>
    <x v="2"/>
  </r>
  <r>
    <x v="0"/>
    <x v="2"/>
    <x v="2"/>
    <x v="1"/>
    <x v="1"/>
    <x v="1"/>
    <x v="3"/>
    <x v="42"/>
    <x v="40"/>
    <x v="43"/>
    <x v="43"/>
    <x v="8"/>
    <x v="21"/>
    <x v="2"/>
  </r>
  <r>
    <x v="0"/>
    <x v="2"/>
    <x v="2"/>
    <x v="2"/>
    <x v="2"/>
    <x v="2"/>
    <x v="4"/>
    <x v="43"/>
    <x v="41"/>
    <x v="44"/>
    <x v="44"/>
    <x v="42"/>
    <x v="39"/>
    <x v="2"/>
  </r>
  <r>
    <x v="0"/>
    <x v="2"/>
    <x v="2"/>
    <x v="11"/>
    <x v="11"/>
    <x v="11"/>
    <x v="5"/>
    <x v="44"/>
    <x v="42"/>
    <x v="45"/>
    <x v="45"/>
    <x v="43"/>
    <x v="31"/>
    <x v="2"/>
  </r>
  <r>
    <x v="0"/>
    <x v="2"/>
    <x v="2"/>
    <x v="9"/>
    <x v="9"/>
    <x v="9"/>
    <x v="6"/>
    <x v="45"/>
    <x v="6"/>
    <x v="46"/>
    <x v="46"/>
    <x v="44"/>
    <x v="18"/>
    <x v="2"/>
  </r>
  <r>
    <x v="0"/>
    <x v="2"/>
    <x v="2"/>
    <x v="8"/>
    <x v="8"/>
    <x v="8"/>
    <x v="7"/>
    <x v="46"/>
    <x v="43"/>
    <x v="47"/>
    <x v="47"/>
    <x v="45"/>
    <x v="40"/>
    <x v="2"/>
  </r>
  <r>
    <x v="0"/>
    <x v="2"/>
    <x v="2"/>
    <x v="5"/>
    <x v="5"/>
    <x v="5"/>
    <x v="8"/>
    <x v="47"/>
    <x v="44"/>
    <x v="48"/>
    <x v="48"/>
    <x v="46"/>
    <x v="41"/>
    <x v="2"/>
  </r>
  <r>
    <x v="0"/>
    <x v="2"/>
    <x v="2"/>
    <x v="6"/>
    <x v="6"/>
    <x v="6"/>
    <x v="9"/>
    <x v="48"/>
    <x v="25"/>
    <x v="49"/>
    <x v="49"/>
    <x v="47"/>
    <x v="22"/>
    <x v="2"/>
  </r>
  <r>
    <x v="0"/>
    <x v="2"/>
    <x v="2"/>
    <x v="13"/>
    <x v="13"/>
    <x v="13"/>
    <x v="10"/>
    <x v="49"/>
    <x v="8"/>
    <x v="50"/>
    <x v="33"/>
    <x v="48"/>
    <x v="42"/>
    <x v="2"/>
  </r>
  <r>
    <x v="0"/>
    <x v="2"/>
    <x v="2"/>
    <x v="18"/>
    <x v="18"/>
    <x v="18"/>
    <x v="11"/>
    <x v="50"/>
    <x v="45"/>
    <x v="51"/>
    <x v="50"/>
    <x v="49"/>
    <x v="43"/>
    <x v="2"/>
  </r>
  <r>
    <x v="0"/>
    <x v="2"/>
    <x v="2"/>
    <x v="21"/>
    <x v="21"/>
    <x v="21"/>
    <x v="12"/>
    <x v="51"/>
    <x v="46"/>
    <x v="52"/>
    <x v="51"/>
    <x v="50"/>
    <x v="12"/>
    <x v="2"/>
  </r>
  <r>
    <x v="0"/>
    <x v="2"/>
    <x v="2"/>
    <x v="17"/>
    <x v="17"/>
    <x v="17"/>
    <x v="13"/>
    <x v="52"/>
    <x v="47"/>
    <x v="53"/>
    <x v="52"/>
    <x v="51"/>
    <x v="36"/>
    <x v="2"/>
  </r>
  <r>
    <x v="0"/>
    <x v="2"/>
    <x v="2"/>
    <x v="22"/>
    <x v="22"/>
    <x v="22"/>
    <x v="14"/>
    <x v="53"/>
    <x v="15"/>
    <x v="54"/>
    <x v="53"/>
    <x v="52"/>
    <x v="44"/>
    <x v="2"/>
  </r>
  <r>
    <x v="0"/>
    <x v="2"/>
    <x v="2"/>
    <x v="7"/>
    <x v="7"/>
    <x v="7"/>
    <x v="15"/>
    <x v="54"/>
    <x v="48"/>
    <x v="55"/>
    <x v="54"/>
    <x v="46"/>
    <x v="41"/>
    <x v="2"/>
  </r>
  <r>
    <x v="0"/>
    <x v="2"/>
    <x v="2"/>
    <x v="20"/>
    <x v="20"/>
    <x v="20"/>
    <x v="16"/>
    <x v="55"/>
    <x v="49"/>
    <x v="56"/>
    <x v="55"/>
    <x v="40"/>
    <x v="38"/>
    <x v="2"/>
  </r>
  <r>
    <x v="0"/>
    <x v="2"/>
    <x v="2"/>
    <x v="16"/>
    <x v="16"/>
    <x v="16"/>
    <x v="17"/>
    <x v="56"/>
    <x v="50"/>
    <x v="57"/>
    <x v="56"/>
    <x v="53"/>
    <x v="45"/>
    <x v="2"/>
  </r>
  <r>
    <x v="0"/>
    <x v="2"/>
    <x v="2"/>
    <x v="23"/>
    <x v="23"/>
    <x v="23"/>
    <x v="17"/>
    <x v="56"/>
    <x v="50"/>
    <x v="58"/>
    <x v="57"/>
    <x v="54"/>
    <x v="5"/>
    <x v="2"/>
  </r>
  <r>
    <x v="0"/>
    <x v="2"/>
    <x v="2"/>
    <x v="24"/>
    <x v="24"/>
    <x v="24"/>
    <x v="19"/>
    <x v="57"/>
    <x v="36"/>
    <x v="59"/>
    <x v="58"/>
    <x v="50"/>
    <x v="12"/>
    <x v="2"/>
  </r>
  <r>
    <x v="0"/>
    <x v="3"/>
    <x v="3"/>
    <x v="1"/>
    <x v="1"/>
    <x v="1"/>
    <x v="0"/>
    <x v="58"/>
    <x v="51"/>
    <x v="60"/>
    <x v="59"/>
    <x v="55"/>
    <x v="46"/>
    <x v="2"/>
  </r>
  <r>
    <x v="0"/>
    <x v="3"/>
    <x v="3"/>
    <x v="0"/>
    <x v="0"/>
    <x v="0"/>
    <x v="1"/>
    <x v="59"/>
    <x v="52"/>
    <x v="61"/>
    <x v="60"/>
    <x v="56"/>
    <x v="47"/>
    <x v="2"/>
  </r>
  <r>
    <x v="0"/>
    <x v="3"/>
    <x v="3"/>
    <x v="2"/>
    <x v="2"/>
    <x v="2"/>
    <x v="2"/>
    <x v="60"/>
    <x v="53"/>
    <x v="62"/>
    <x v="61"/>
    <x v="57"/>
    <x v="48"/>
    <x v="2"/>
  </r>
  <r>
    <x v="0"/>
    <x v="3"/>
    <x v="3"/>
    <x v="4"/>
    <x v="4"/>
    <x v="4"/>
    <x v="3"/>
    <x v="61"/>
    <x v="54"/>
    <x v="63"/>
    <x v="22"/>
    <x v="58"/>
    <x v="49"/>
    <x v="2"/>
  </r>
  <r>
    <x v="0"/>
    <x v="3"/>
    <x v="3"/>
    <x v="6"/>
    <x v="6"/>
    <x v="6"/>
    <x v="4"/>
    <x v="62"/>
    <x v="55"/>
    <x v="64"/>
    <x v="62"/>
    <x v="59"/>
    <x v="50"/>
    <x v="2"/>
  </r>
  <r>
    <x v="0"/>
    <x v="3"/>
    <x v="3"/>
    <x v="7"/>
    <x v="7"/>
    <x v="7"/>
    <x v="5"/>
    <x v="52"/>
    <x v="43"/>
    <x v="65"/>
    <x v="63"/>
    <x v="60"/>
    <x v="51"/>
    <x v="2"/>
  </r>
  <r>
    <x v="0"/>
    <x v="3"/>
    <x v="3"/>
    <x v="13"/>
    <x v="13"/>
    <x v="13"/>
    <x v="6"/>
    <x v="63"/>
    <x v="56"/>
    <x v="66"/>
    <x v="64"/>
    <x v="61"/>
    <x v="52"/>
    <x v="2"/>
  </r>
  <r>
    <x v="0"/>
    <x v="3"/>
    <x v="3"/>
    <x v="15"/>
    <x v="15"/>
    <x v="15"/>
    <x v="7"/>
    <x v="64"/>
    <x v="57"/>
    <x v="67"/>
    <x v="65"/>
    <x v="51"/>
    <x v="53"/>
    <x v="2"/>
  </r>
  <r>
    <x v="0"/>
    <x v="3"/>
    <x v="3"/>
    <x v="3"/>
    <x v="3"/>
    <x v="3"/>
    <x v="7"/>
    <x v="64"/>
    <x v="57"/>
    <x v="68"/>
    <x v="5"/>
    <x v="45"/>
    <x v="54"/>
    <x v="2"/>
  </r>
  <r>
    <x v="0"/>
    <x v="3"/>
    <x v="3"/>
    <x v="25"/>
    <x v="25"/>
    <x v="25"/>
    <x v="9"/>
    <x v="57"/>
    <x v="11"/>
    <x v="69"/>
    <x v="66"/>
    <x v="62"/>
    <x v="55"/>
    <x v="2"/>
  </r>
  <r>
    <x v="0"/>
    <x v="3"/>
    <x v="3"/>
    <x v="16"/>
    <x v="16"/>
    <x v="16"/>
    <x v="10"/>
    <x v="65"/>
    <x v="58"/>
    <x v="70"/>
    <x v="67"/>
    <x v="51"/>
    <x v="53"/>
    <x v="2"/>
  </r>
  <r>
    <x v="0"/>
    <x v="3"/>
    <x v="3"/>
    <x v="5"/>
    <x v="5"/>
    <x v="5"/>
    <x v="10"/>
    <x v="65"/>
    <x v="58"/>
    <x v="30"/>
    <x v="68"/>
    <x v="63"/>
    <x v="56"/>
    <x v="2"/>
  </r>
  <r>
    <x v="0"/>
    <x v="3"/>
    <x v="3"/>
    <x v="14"/>
    <x v="14"/>
    <x v="14"/>
    <x v="12"/>
    <x v="66"/>
    <x v="59"/>
    <x v="71"/>
    <x v="69"/>
    <x v="64"/>
    <x v="45"/>
    <x v="2"/>
  </r>
  <r>
    <x v="0"/>
    <x v="3"/>
    <x v="3"/>
    <x v="11"/>
    <x v="11"/>
    <x v="11"/>
    <x v="13"/>
    <x v="67"/>
    <x v="60"/>
    <x v="72"/>
    <x v="70"/>
    <x v="65"/>
    <x v="5"/>
    <x v="1"/>
  </r>
  <r>
    <x v="0"/>
    <x v="3"/>
    <x v="3"/>
    <x v="18"/>
    <x v="18"/>
    <x v="18"/>
    <x v="14"/>
    <x v="68"/>
    <x v="61"/>
    <x v="73"/>
    <x v="71"/>
    <x v="66"/>
    <x v="57"/>
    <x v="2"/>
  </r>
  <r>
    <x v="0"/>
    <x v="3"/>
    <x v="3"/>
    <x v="24"/>
    <x v="24"/>
    <x v="24"/>
    <x v="15"/>
    <x v="69"/>
    <x v="62"/>
    <x v="67"/>
    <x v="65"/>
    <x v="67"/>
    <x v="58"/>
    <x v="2"/>
  </r>
  <r>
    <x v="0"/>
    <x v="3"/>
    <x v="3"/>
    <x v="19"/>
    <x v="19"/>
    <x v="19"/>
    <x v="16"/>
    <x v="70"/>
    <x v="48"/>
    <x v="74"/>
    <x v="72"/>
    <x v="47"/>
    <x v="59"/>
    <x v="2"/>
  </r>
  <r>
    <x v="0"/>
    <x v="3"/>
    <x v="3"/>
    <x v="26"/>
    <x v="26"/>
    <x v="26"/>
    <x v="17"/>
    <x v="71"/>
    <x v="31"/>
    <x v="75"/>
    <x v="73"/>
    <x v="68"/>
    <x v="60"/>
    <x v="2"/>
  </r>
  <r>
    <x v="0"/>
    <x v="3"/>
    <x v="3"/>
    <x v="27"/>
    <x v="27"/>
    <x v="27"/>
    <x v="18"/>
    <x v="72"/>
    <x v="17"/>
    <x v="76"/>
    <x v="74"/>
    <x v="39"/>
    <x v="61"/>
    <x v="2"/>
  </r>
  <r>
    <x v="0"/>
    <x v="3"/>
    <x v="3"/>
    <x v="17"/>
    <x v="17"/>
    <x v="17"/>
    <x v="19"/>
    <x v="73"/>
    <x v="63"/>
    <x v="59"/>
    <x v="75"/>
    <x v="69"/>
    <x v="62"/>
    <x v="2"/>
  </r>
  <r>
    <x v="0"/>
    <x v="4"/>
    <x v="4"/>
    <x v="0"/>
    <x v="0"/>
    <x v="0"/>
    <x v="0"/>
    <x v="74"/>
    <x v="64"/>
    <x v="77"/>
    <x v="76"/>
    <x v="70"/>
    <x v="63"/>
    <x v="2"/>
  </r>
  <r>
    <x v="0"/>
    <x v="4"/>
    <x v="4"/>
    <x v="1"/>
    <x v="1"/>
    <x v="1"/>
    <x v="1"/>
    <x v="75"/>
    <x v="65"/>
    <x v="78"/>
    <x v="77"/>
    <x v="26"/>
    <x v="64"/>
    <x v="2"/>
  </r>
  <r>
    <x v="0"/>
    <x v="4"/>
    <x v="4"/>
    <x v="2"/>
    <x v="2"/>
    <x v="2"/>
    <x v="1"/>
    <x v="75"/>
    <x v="65"/>
    <x v="79"/>
    <x v="78"/>
    <x v="71"/>
    <x v="65"/>
    <x v="2"/>
  </r>
  <r>
    <x v="0"/>
    <x v="4"/>
    <x v="4"/>
    <x v="4"/>
    <x v="4"/>
    <x v="4"/>
    <x v="3"/>
    <x v="76"/>
    <x v="66"/>
    <x v="80"/>
    <x v="79"/>
    <x v="72"/>
    <x v="66"/>
    <x v="2"/>
  </r>
  <r>
    <x v="0"/>
    <x v="4"/>
    <x v="4"/>
    <x v="6"/>
    <x v="6"/>
    <x v="6"/>
    <x v="4"/>
    <x v="77"/>
    <x v="67"/>
    <x v="81"/>
    <x v="80"/>
    <x v="52"/>
    <x v="67"/>
    <x v="2"/>
  </r>
  <r>
    <x v="0"/>
    <x v="4"/>
    <x v="4"/>
    <x v="3"/>
    <x v="3"/>
    <x v="3"/>
    <x v="5"/>
    <x v="78"/>
    <x v="4"/>
    <x v="62"/>
    <x v="81"/>
    <x v="73"/>
    <x v="68"/>
    <x v="2"/>
  </r>
  <r>
    <x v="0"/>
    <x v="4"/>
    <x v="4"/>
    <x v="5"/>
    <x v="5"/>
    <x v="5"/>
    <x v="6"/>
    <x v="79"/>
    <x v="68"/>
    <x v="60"/>
    <x v="82"/>
    <x v="59"/>
    <x v="6"/>
    <x v="1"/>
  </r>
  <r>
    <x v="0"/>
    <x v="4"/>
    <x v="4"/>
    <x v="9"/>
    <x v="9"/>
    <x v="9"/>
    <x v="7"/>
    <x v="80"/>
    <x v="69"/>
    <x v="45"/>
    <x v="83"/>
    <x v="74"/>
    <x v="69"/>
    <x v="1"/>
  </r>
  <r>
    <x v="0"/>
    <x v="4"/>
    <x v="4"/>
    <x v="7"/>
    <x v="7"/>
    <x v="7"/>
    <x v="8"/>
    <x v="81"/>
    <x v="70"/>
    <x v="82"/>
    <x v="84"/>
    <x v="75"/>
    <x v="70"/>
    <x v="2"/>
  </r>
  <r>
    <x v="0"/>
    <x v="4"/>
    <x v="4"/>
    <x v="11"/>
    <x v="11"/>
    <x v="11"/>
    <x v="9"/>
    <x v="53"/>
    <x v="11"/>
    <x v="83"/>
    <x v="85"/>
    <x v="76"/>
    <x v="71"/>
    <x v="2"/>
  </r>
  <r>
    <x v="0"/>
    <x v="4"/>
    <x v="4"/>
    <x v="15"/>
    <x v="15"/>
    <x v="15"/>
    <x v="10"/>
    <x v="82"/>
    <x v="71"/>
    <x v="84"/>
    <x v="86"/>
    <x v="77"/>
    <x v="72"/>
    <x v="2"/>
  </r>
  <r>
    <x v="0"/>
    <x v="4"/>
    <x v="4"/>
    <x v="8"/>
    <x v="8"/>
    <x v="8"/>
    <x v="11"/>
    <x v="83"/>
    <x v="29"/>
    <x v="85"/>
    <x v="87"/>
    <x v="58"/>
    <x v="73"/>
    <x v="2"/>
  </r>
  <r>
    <x v="0"/>
    <x v="4"/>
    <x v="4"/>
    <x v="19"/>
    <x v="19"/>
    <x v="19"/>
    <x v="12"/>
    <x v="84"/>
    <x v="60"/>
    <x v="86"/>
    <x v="88"/>
    <x v="47"/>
    <x v="74"/>
    <x v="2"/>
  </r>
  <r>
    <x v="0"/>
    <x v="4"/>
    <x v="4"/>
    <x v="28"/>
    <x v="28"/>
    <x v="28"/>
    <x v="13"/>
    <x v="85"/>
    <x v="30"/>
    <x v="34"/>
    <x v="89"/>
    <x v="75"/>
    <x v="70"/>
    <x v="2"/>
  </r>
  <r>
    <x v="0"/>
    <x v="4"/>
    <x v="4"/>
    <x v="14"/>
    <x v="14"/>
    <x v="14"/>
    <x v="13"/>
    <x v="85"/>
    <x v="30"/>
    <x v="84"/>
    <x v="86"/>
    <x v="78"/>
    <x v="75"/>
    <x v="2"/>
  </r>
  <r>
    <x v="0"/>
    <x v="4"/>
    <x v="4"/>
    <x v="20"/>
    <x v="20"/>
    <x v="20"/>
    <x v="15"/>
    <x v="86"/>
    <x v="48"/>
    <x v="33"/>
    <x v="90"/>
    <x v="23"/>
    <x v="50"/>
    <x v="2"/>
  </r>
  <r>
    <x v="0"/>
    <x v="4"/>
    <x v="4"/>
    <x v="10"/>
    <x v="10"/>
    <x v="10"/>
    <x v="16"/>
    <x v="87"/>
    <x v="72"/>
    <x v="87"/>
    <x v="34"/>
    <x v="79"/>
    <x v="76"/>
    <x v="2"/>
  </r>
  <r>
    <x v="0"/>
    <x v="4"/>
    <x v="4"/>
    <x v="16"/>
    <x v="16"/>
    <x v="16"/>
    <x v="17"/>
    <x v="88"/>
    <x v="34"/>
    <x v="67"/>
    <x v="91"/>
    <x v="80"/>
    <x v="77"/>
    <x v="2"/>
  </r>
  <r>
    <x v="0"/>
    <x v="4"/>
    <x v="4"/>
    <x v="12"/>
    <x v="12"/>
    <x v="12"/>
    <x v="18"/>
    <x v="68"/>
    <x v="50"/>
    <x v="88"/>
    <x v="92"/>
    <x v="22"/>
    <x v="78"/>
    <x v="2"/>
  </r>
  <r>
    <x v="0"/>
    <x v="4"/>
    <x v="4"/>
    <x v="13"/>
    <x v="13"/>
    <x v="13"/>
    <x v="18"/>
    <x v="68"/>
    <x v="50"/>
    <x v="89"/>
    <x v="93"/>
    <x v="81"/>
    <x v="79"/>
    <x v="2"/>
  </r>
  <r>
    <x v="0"/>
    <x v="5"/>
    <x v="5"/>
    <x v="0"/>
    <x v="0"/>
    <x v="0"/>
    <x v="0"/>
    <x v="89"/>
    <x v="51"/>
    <x v="90"/>
    <x v="94"/>
    <x v="82"/>
    <x v="60"/>
    <x v="1"/>
  </r>
  <r>
    <x v="0"/>
    <x v="5"/>
    <x v="5"/>
    <x v="1"/>
    <x v="1"/>
    <x v="1"/>
    <x v="1"/>
    <x v="90"/>
    <x v="73"/>
    <x v="91"/>
    <x v="95"/>
    <x v="83"/>
    <x v="80"/>
    <x v="2"/>
  </r>
  <r>
    <x v="0"/>
    <x v="5"/>
    <x v="5"/>
    <x v="2"/>
    <x v="2"/>
    <x v="2"/>
    <x v="2"/>
    <x v="91"/>
    <x v="74"/>
    <x v="92"/>
    <x v="96"/>
    <x v="84"/>
    <x v="81"/>
    <x v="2"/>
  </r>
  <r>
    <x v="0"/>
    <x v="5"/>
    <x v="5"/>
    <x v="5"/>
    <x v="5"/>
    <x v="5"/>
    <x v="3"/>
    <x v="92"/>
    <x v="75"/>
    <x v="93"/>
    <x v="97"/>
    <x v="85"/>
    <x v="71"/>
    <x v="2"/>
  </r>
  <r>
    <x v="0"/>
    <x v="5"/>
    <x v="5"/>
    <x v="3"/>
    <x v="3"/>
    <x v="3"/>
    <x v="4"/>
    <x v="93"/>
    <x v="76"/>
    <x v="94"/>
    <x v="98"/>
    <x v="86"/>
    <x v="82"/>
    <x v="1"/>
  </r>
  <r>
    <x v="0"/>
    <x v="5"/>
    <x v="5"/>
    <x v="6"/>
    <x v="6"/>
    <x v="6"/>
    <x v="5"/>
    <x v="94"/>
    <x v="77"/>
    <x v="10"/>
    <x v="99"/>
    <x v="87"/>
    <x v="83"/>
    <x v="2"/>
  </r>
  <r>
    <x v="0"/>
    <x v="5"/>
    <x v="5"/>
    <x v="7"/>
    <x v="7"/>
    <x v="7"/>
    <x v="6"/>
    <x v="95"/>
    <x v="55"/>
    <x v="95"/>
    <x v="100"/>
    <x v="88"/>
    <x v="79"/>
    <x v="2"/>
  </r>
  <r>
    <x v="0"/>
    <x v="5"/>
    <x v="5"/>
    <x v="13"/>
    <x v="13"/>
    <x v="13"/>
    <x v="7"/>
    <x v="96"/>
    <x v="70"/>
    <x v="96"/>
    <x v="101"/>
    <x v="89"/>
    <x v="84"/>
    <x v="2"/>
  </r>
  <r>
    <x v="0"/>
    <x v="5"/>
    <x v="5"/>
    <x v="8"/>
    <x v="8"/>
    <x v="8"/>
    <x v="8"/>
    <x v="97"/>
    <x v="78"/>
    <x v="97"/>
    <x v="21"/>
    <x v="90"/>
    <x v="59"/>
    <x v="2"/>
  </r>
  <r>
    <x v="0"/>
    <x v="5"/>
    <x v="5"/>
    <x v="12"/>
    <x v="12"/>
    <x v="12"/>
    <x v="9"/>
    <x v="98"/>
    <x v="79"/>
    <x v="98"/>
    <x v="102"/>
    <x v="38"/>
    <x v="85"/>
    <x v="2"/>
  </r>
  <r>
    <x v="0"/>
    <x v="5"/>
    <x v="5"/>
    <x v="4"/>
    <x v="4"/>
    <x v="4"/>
    <x v="10"/>
    <x v="99"/>
    <x v="10"/>
    <x v="31"/>
    <x v="103"/>
    <x v="41"/>
    <x v="25"/>
    <x v="2"/>
  </r>
  <r>
    <x v="0"/>
    <x v="5"/>
    <x v="5"/>
    <x v="14"/>
    <x v="14"/>
    <x v="14"/>
    <x v="11"/>
    <x v="100"/>
    <x v="80"/>
    <x v="99"/>
    <x v="15"/>
    <x v="91"/>
    <x v="86"/>
    <x v="2"/>
  </r>
  <r>
    <x v="0"/>
    <x v="5"/>
    <x v="5"/>
    <x v="11"/>
    <x v="11"/>
    <x v="11"/>
    <x v="12"/>
    <x v="101"/>
    <x v="81"/>
    <x v="100"/>
    <x v="104"/>
    <x v="92"/>
    <x v="28"/>
    <x v="2"/>
  </r>
  <r>
    <x v="0"/>
    <x v="5"/>
    <x v="5"/>
    <x v="15"/>
    <x v="15"/>
    <x v="15"/>
    <x v="13"/>
    <x v="102"/>
    <x v="15"/>
    <x v="101"/>
    <x v="105"/>
    <x v="93"/>
    <x v="87"/>
    <x v="1"/>
  </r>
  <r>
    <x v="0"/>
    <x v="5"/>
    <x v="5"/>
    <x v="10"/>
    <x v="10"/>
    <x v="10"/>
    <x v="14"/>
    <x v="103"/>
    <x v="15"/>
    <x v="102"/>
    <x v="34"/>
    <x v="94"/>
    <x v="75"/>
    <x v="2"/>
  </r>
  <r>
    <x v="0"/>
    <x v="5"/>
    <x v="5"/>
    <x v="16"/>
    <x v="16"/>
    <x v="16"/>
    <x v="15"/>
    <x v="40"/>
    <x v="62"/>
    <x v="103"/>
    <x v="106"/>
    <x v="95"/>
    <x v="88"/>
    <x v="2"/>
  </r>
  <r>
    <x v="0"/>
    <x v="5"/>
    <x v="5"/>
    <x v="9"/>
    <x v="9"/>
    <x v="9"/>
    <x v="15"/>
    <x v="40"/>
    <x v="62"/>
    <x v="104"/>
    <x v="107"/>
    <x v="2"/>
    <x v="47"/>
    <x v="0"/>
  </r>
  <r>
    <x v="0"/>
    <x v="5"/>
    <x v="5"/>
    <x v="29"/>
    <x v="29"/>
    <x v="29"/>
    <x v="17"/>
    <x v="104"/>
    <x v="32"/>
    <x v="105"/>
    <x v="64"/>
    <x v="96"/>
    <x v="58"/>
    <x v="2"/>
  </r>
  <r>
    <x v="0"/>
    <x v="5"/>
    <x v="5"/>
    <x v="19"/>
    <x v="19"/>
    <x v="19"/>
    <x v="18"/>
    <x v="41"/>
    <x v="82"/>
    <x v="106"/>
    <x v="108"/>
    <x v="97"/>
    <x v="89"/>
    <x v="2"/>
  </r>
  <r>
    <x v="0"/>
    <x v="5"/>
    <x v="5"/>
    <x v="17"/>
    <x v="17"/>
    <x v="17"/>
    <x v="19"/>
    <x v="105"/>
    <x v="34"/>
    <x v="107"/>
    <x v="109"/>
    <x v="98"/>
    <x v="90"/>
    <x v="2"/>
  </r>
  <r>
    <x v="0"/>
    <x v="6"/>
    <x v="6"/>
    <x v="0"/>
    <x v="0"/>
    <x v="0"/>
    <x v="0"/>
    <x v="106"/>
    <x v="83"/>
    <x v="108"/>
    <x v="110"/>
    <x v="78"/>
    <x v="28"/>
    <x v="1"/>
  </r>
  <r>
    <x v="0"/>
    <x v="6"/>
    <x v="6"/>
    <x v="1"/>
    <x v="1"/>
    <x v="1"/>
    <x v="1"/>
    <x v="107"/>
    <x v="84"/>
    <x v="109"/>
    <x v="111"/>
    <x v="99"/>
    <x v="91"/>
    <x v="2"/>
  </r>
  <r>
    <x v="0"/>
    <x v="6"/>
    <x v="6"/>
    <x v="8"/>
    <x v="8"/>
    <x v="8"/>
    <x v="2"/>
    <x v="102"/>
    <x v="85"/>
    <x v="110"/>
    <x v="112"/>
    <x v="37"/>
    <x v="92"/>
    <x v="2"/>
  </r>
  <r>
    <x v="0"/>
    <x v="6"/>
    <x v="6"/>
    <x v="3"/>
    <x v="3"/>
    <x v="3"/>
    <x v="3"/>
    <x v="108"/>
    <x v="86"/>
    <x v="111"/>
    <x v="113"/>
    <x v="66"/>
    <x v="9"/>
    <x v="2"/>
  </r>
  <r>
    <x v="0"/>
    <x v="6"/>
    <x v="6"/>
    <x v="13"/>
    <x v="13"/>
    <x v="13"/>
    <x v="4"/>
    <x v="109"/>
    <x v="87"/>
    <x v="112"/>
    <x v="114"/>
    <x v="100"/>
    <x v="93"/>
    <x v="2"/>
  </r>
  <r>
    <x v="0"/>
    <x v="6"/>
    <x v="6"/>
    <x v="4"/>
    <x v="4"/>
    <x v="4"/>
    <x v="5"/>
    <x v="110"/>
    <x v="88"/>
    <x v="113"/>
    <x v="115"/>
    <x v="101"/>
    <x v="94"/>
    <x v="2"/>
  </r>
  <r>
    <x v="0"/>
    <x v="6"/>
    <x v="6"/>
    <x v="2"/>
    <x v="2"/>
    <x v="2"/>
    <x v="6"/>
    <x v="111"/>
    <x v="89"/>
    <x v="114"/>
    <x v="116"/>
    <x v="45"/>
    <x v="95"/>
    <x v="2"/>
  </r>
  <r>
    <x v="0"/>
    <x v="6"/>
    <x v="6"/>
    <x v="5"/>
    <x v="5"/>
    <x v="5"/>
    <x v="7"/>
    <x v="112"/>
    <x v="90"/>
    <x v="48"/>
    <x v="80"/>
    <x v="25"/>
    <x v="96"/>
    <x v="2"/>
  </r>
  <r>
    <x v="0"/>
    <x v="6"/>
    <x v="6"/>
    <x v="6"/>
    <x v="6"/>
    <x v="6"/>
    <x v="8"/>
    <x v="113"/>
    <x v="24"/>
    <x v="109"/>
    <x v="111"/>
    <x v="56"/>
    <x v="97"/>
    <x v="2"/>
  </r>
  <r>
    <x v="0"/>
    <x v="6"/>
    <x v="6"/>
    <x v="11"/>
    <x v="11"/>
    <x v="11"/>
    <x v="9"/>
    <x v="60"/>
    <x v="91"/>
    <x v="115"/>
    <x v="117"/>
    <x v="102"/>
    <x v="98"/>
    <x v="2"/>
  </r>
  <r>
    <x v="0"/>
    <x v="6"/>
    <x v="6"/>
    <x v="24"/>
    <x v="24"/>
    <x v="24"/>
    <x v="10"/>
    <x v="53"/>
    <x v="81"/>
    <x v="66"/>
    <x v="106"/>
    <x v="103"/>
    <x v="99"/>
    <x v="2"/>
  </r>
  <r>
    <x v="0"/>
    <x v="6"/>
    <x v="6"/>
    <x v="9"/>
    <x v="9"/>
    <x v="9"/>
    <x v="11"/>
    <x v="114"/>
    <x v="92"/>
    <x v="116"/>
    <x v="118"/>
    <x v="46"/>
    <x v="100"/>
    <x v="1"/>
  </r>
  <r>
    <x v="0"/>
    <x v="6"/>
    <x v="6"/>
    <x v="18"/>
    <x v="18"/>
    <x v="18"/>
    <x v="12"/>
    <x v="56"/>
    <x v="63"/>
    <x v="117"/>
    <x v="119"/>
    <x v="81"/>
    <x v="20"/>
    <x v="2"/>
  </r>
  <r>
    <x v="0"/>
    <x v="6"/>
    <x v="6"/>
    <x v="30"/>
    <x v="30"/>
    <x v="30"/>
    <x v="13"/>
    <x v="115"/>
    <x v="82"/>
    <x v="96"/>
    <x v="120"/>
    <x v="46"/>
    <x v="100"/>
    <x v="2"/>
  </r>
  <r>
    <x v="0"/>
    <x v="6"/>
    <x v="6"/>
    <x v="23"/>
    <x v="23"/>
    <x v="23"/>
    <x v="14"/>
    <x v="86"/>
    <x v="50"/>
    <x v="51"/>
    <x v="121"/>
    <x v="104"/>
    <x v="101"/>
    <x v="2"/>
  </r>
  <r>
    <x v="0"/>
    <x v="6"/>
    <x v="6"/>
    <x v="17"/>
    <x v="17"/>
    <x v="17"/>
    <x v="15"/>
    <x v="116"/>
    <x v="35"/>
    <x v="118"/>
    <x v="122"/>
    <x v="41"/>
    <x v="102"/>
    <x v="2"/>
  </r>
  <r>
    <x v="0"/>
    <x v="6"/>
    <x v="6"/>
    <x v="25"/>
    <x v="25"/>
    <x v="25"/>
    <x v="16"/>
    <x v="66"/>
    <x v="93"/>
    <x v="119"/>
    <x v="123"/>
    <x v="53"/>
    <x v="103"/>
    <x v="2"/>
  </r>
  <r>
    <x v="0"/>
    <x v="6"/>
    <x v="6"/>
    <x v="31"/>
    <x v="31"/>
    <x v="31"/>
    <x v="16"/>
    <x v="66"/>
    <x v="93"/>
    <x v="120"/>
    <x v="124"/>
    <x v="105"/>
    <x v="104"/>
    <x v="2"/>
  </r>
  <r>
    <x v="0"/>
    <x v="6"/>
    <x v="6"/>
    <x v="32"/>
    <x v="32"/>
    <x v="32"/>
    <x v="18"/>
    <x v="117"/>
    <x v="94"/>
    <x v="121"/>
    <x v="125"/>
    <x v="106"/>
    <x v="105"/>
    <x v="2"/>
  </r>
  <r>
    <x v="0"/>
    <x v="6"/>
    <x v="6"/>
    <x v="21"/>
    <x v="21"/>
    <x v="21"/>
    <x v="19"/>
    <x v="118"/>
    <x v="95"/>
    <x v="39"/>
    <x v="126"/>
    <x v="37"/>
    <x v="92"/>
    <x v="2"/>
  </r>
  <r>
    <x v="0"/>
    <x v="7"/>
    <x v="7"/>
    <x v="0"/>
    <x v="0"/>
    <x v="0"/>
    <x v="0"/>
    <x v="49"/>
    <x v="96"/>
    <x v="122"/>
    <x v="127"/>
    <x v="107"/>
    <x v="35"/>
    <x v="2"/>
  </r>
  <r>
    <x v="0"/>
    <x v="7"/>
    <x v="7"/>
    <x v="1"/>
    <x v="1"/>
    <x v="1"/>
    <x v="1"/>
    <x v="119"/>
    <x v="97"/>
    <x v="123"/>
    <x v="128"/>
    <x v="108"/>
    <x v="106"/>
    <x v="2"/>
  </r>
  <r>
    <x v="0"/>
    <x v="7"/>
    <x v="7"/>
    <x v="7"/>
    <x v="7"/>
    <x v="7"/>
    <x v="2"/>
    <x v="120"/>
    <x v="98"/>
    <x v="124"/>
    <x v="129"/>
    <x v="64"/>
    <x v="107"/>
    <x v="2"/>
  </r>
  <r>
    <x v="0"/>
    <x v="7"/>
    <x v="7"/>
    <x v="2"/>
    <x v="2"/>
    <x v="2"/>
    <x v="3"/>
    <x v="56"/>
    <x v="99"/>
    <x v="125"/>
    <x v="130"/>
    <x v="109"/>
    <x v="108"/>
    <x v="2"/>
  </r>
  <r>
    <x v="0"/>
    <x v="7"/>
    <x v="7"/>
    <x v="19"/>
    <x v="19"/>
    <x v="19"/>
    <x v="4"/>
    <x v="116"/>
    <x v="54"/>
    <x v="51"/>
    <x v="131"/>
    <x v="54"/>
    <x v="37"/>
    <x v="2"/>
  </r>
  <r>
    <x v="0"/>
    <x v="7"/>
    <x v="7"/>
    <x v="3"/>
    <x v="3"/>
    <x v="3"/>
    <x v="5"/>
    <x v="87"/>
    <x v="68"/>
    <x v="58"/>
    <x v="132"/>
    <x v="47"/>
    <x v="109"/>
    <x v="2"/>
  </r>
  <r>
    <x v="0"/>
    <x v="7"/>
    <x v="7"/>
    <x v="5"/>
    <x v="5"/>
    <x v="5"/>
    <x v="6"/>
    <x v="72"/>
    <x v="43"/>
    <x v="52"/>
    <x v="133"/>
    <x v="105"/>
    <x v="110"/>
    <x v="2"/>
  </r>
  <r>
    <x v="0"/>
    <x v="7"/>
    <x v="7"/>
    <x v="13"/>
    <x v="13"/>
    <x v="13"/>
    <x v="7"/>
    <x v="121"/>
    <x v="100"/>
    <x v="119"/>
    <x v="134"/>
    <x v="110"/>
    <x v="111"/>
    <x v="2"/>
  </r>
  <r>
    <x v="0"/>
    <x v="7"/>
    <x v="7"/>
    <x v="6"/>
    <x v="6"/>
    <x v="6"/>
    <x v="8"/>
    <x v="122"/>
    <x v="79"/>
    <x v="34"/>
    <x v="135"/>
    <x v="52"/>
    <x v="83"/>
    <x v="2"/>
  </r>
  <r>
    <x v="0"/>
    <x v="7"/>
    <x v="7"/>
    <x v="10"/>
    <x v="10"/>
    <x v="10"/>
    <x v="9"/>
    <x v="123"/>
    <x v="13"/>
    <x v="126"/>
    <x v="105"/>
    <x v="75"/>
    <x v="43"/>
    <x v="2"/>
  </r>
  <r>
    <x v="0"/>
    <x v="7"/>
    <x v="7"/>
    <x v="29"/>
    <x v="29"/>
    <x v="29"/>
    <x v="10"/>
    <x v="124"/>
    <x v="60"/>
    <x v="127"/>
    <x v="30"/>
    <x v="111"/>
    <x v="14"/>
    <x v="2"/>
  </r>
  <r>
    <x v="0"/>
    <x v="7"/>
    <x v="7"/>
    <x v="12"/>
    <x v="12"/>
    <x v="12"/>
    <x v="11"/>
    <x v="125"/>
    <x v="14"/>
    <x v="128"/>
    <x v="136"/>
    <x v="112"/>
    <x v="112"/>
    <x v="2"/>
  </r>
  <r>
    <x v="0"/>
    <x v="7"/>
    <x v="7"/>
    <x v="14"/>
    <x v="14"/>
    <x v="14"/>
    <x v="12"/>
    <x v="126"/>
    <x v="47"/>
    <x v="129"/>
    <x v="101"/>
    <x v="111"/>
    <x v="14"/>
    <x v="2"/>
  </r>
  <r>
    <x v="0"/>
    <x v="7"/>
    <x v="7"/>
    <x v="15"/>
    <x v="15"/>
    <x v="15"/>
    <x v="13"/>
    <x v="127"/>
    <x v="61"/>
    <x v="119"/>
    <x v="134"/>
    <x v="46"/>
    <x v="88"/>
    <x v="2"/>
  </r>
  <r>
    <x v="0"/>
    <x v="7"/>
    <x v="7"/>
    <x v="33"/>
    <x v="33"/>
    <x v="33"/>
    <x v="14"/>
    <x v="128"/>
    <x v="32"/>
    <x v="130"/>
    <x v="137"/>
    <x v="104"/>
    <x v="113"/>
    <x v="2"/>
  </r>
  <r>
    <x v="0"/>
    <x v="7"/>
    <x v="7"/>
    <x v="25"/>
    <x v="25"/>
    <x v="25"/>
    <x v="14"/>
    <x v="128"/>
    <x v="32"/>
    <x v="69"/>
    <x v="138"/>
    <x v="84"/>
    <x v="114"/>
    <x v="2"/>
  </r>
  <r>
    <x v="0"/>
    <x v="7"/>
    <x v="7"/>
    <x v="34"/>
    <x v="34"/>
    <x v="34"/>
    <x v="16"/>
    <x v="129"/>
    <x v="63"/>
    <x v="129"/>
    <x v="101"/>
    <x v="113"/>
    <x v="115"/>
    <x v="2"/>
  </r>
  <r>
    <x v="0"/>
    <x v="7"/>
    <x v="7"/>
    <x v="17"/>
    <x v="17"/>
    <x v="17"/>
    <x v="16"/>
    <x v="129"/>
    <x v="63"/>
    <x v="131"/>
    <x v="139"/>
    <x v="56"/>
    <x v="116"/>
    <x v="2"/>
  </r>
  <r>
    <x v="0"/>
    <x v="7"/>
    <x v="7"/>
    <x v="18"/>
    <x v="18"/>
    <x v="18"/>
    <x v="18"/>
    <x v="130"/>
    <x v="72"/>
    <x v="87"/>
    <x v="140"/>
    <x v="40"/>
    <x v="117"/>
    <x v="2"/>
  </r>
  <r>
    <x v="0"/>
    <x v="7"/>
    <x v="7"/>
    <x v="16"/>
    <x v="16"/>
    <x v="16"/>
    <x v="19"/>
    <x v="131"/>
    <x v="93"/>
    <x v="132"/>
    <x v="141"/>
    <x v="114"/>
    <x v="57"/>
    <x v="2"/>
  </r>
  <r>
    <x v="0"/>
    <x v="8"/>
    <x v="8"/>
    <x v="0"/>
    <x v="0"/>
    <x v="0"/>
    <x v="0"/>
    <x v="120"/>
    <x v="101"/>
    <x v="133"/>
    <x v="142"/>
    <x v="115"/>
    <x v="47"/>
    <x v="2"/>
  </r>
  <r>
    <x v="0"/>
    <x v="8"/>
    <x v="8"/>
    <x v="1"/>
    <x v="1"/>
    <x v="1"/>
    <x v="1"/>
    <x v="132"/>
    <x v="102"/>
    <x v="134"/>
    <x v="143"/>
    <x v="44"/>
    <x v="118"/>
    <x v="2"/>
  </r>
  <r>
    <x v="0"/>
    <x v="8"/>
    <x v="8"/>
    <x v="6"/>
    <x v="6"/>
    <x v="6"/>
    <x v="2"/>
    <x v="133"/>
    <x v="103"/>
    <x v="51"/>
    <x v="144"/>
    <x v="115"/>
    <x v="47"/>
    <x v="2"/>
  </r>
  <r>
    <x v="0"/>
    <x v="8"/>
    <x v="8"/>
    <x v="5"/>
    <x v="5"/>
    <x v="5"/>
    <x v="3"/>
    <x v="134"/>
    <x v="22"/>
    <x v="135"/>
    <x v="145"/>
    <x v="58"/>
    <x v="119"/>
    <x v="2"/>
  </r>
  <r>
    <x v="0"/>
    <x v="8"/>
    <x v="8"/>
    <x v="12"/>
    <x v="12"/>
    <x v="12"/>
    <x v="4"/>
    <x v="135"/>
    <x v="104"/>
    <x v="67"/>
    <x v="146"/>
    <x v="114"/>
    <x v="84"/>
    <x v="2"/>
  </r>
  <r>
    <x v="0"/>
    <x v="8"/>
    <x v="8"/>
    <x v="7"/>
    <x v="7"/>
    <x v="7"/>
    <x v="4"/>
    <x v="135"/>
    <x v="104"/>
    <x v="73"/>
    <x v="118"/>
    <x v="54"/>
    <x v="10"/>
    <x v="2"/>
  </r>
  <r>
    <x v="0"/>
    <x v="8"/>
    <x v="8"/>
    <x v="2"/>
    <x v="2"/>
    <x v="2"/>
    <x v="4"/>
    <x v="135"/>
    <x v="104"/>
    <x v="136"/>
    <x v="147"/>
    <x v="116"/>
    <x v="120"/>
    <x v="2"/>
  </r>
  <r>
    <x v="0"/>
    <x v="8"/>
    <x v="8"/>
    <x v="9"/>
    <x v="9"/>
    <x v="9"/>
    <x v="7"/>
    <x v="129"/>
    <x v="105"/>
    <x v="39"/>
    <x v="148"/>
    <x v="105"/>
    <x v="69"/>
    <x v="2"/>
  </r>
  <r>
    <x v="0"/>
    <x v="8"/>
    <x v="8"/>
    <x v="14"/>
    <x v="14"/>
    <x v="14"/>
    <x v="8"/>
    <x v="130"/>
    <x v="106"/>
    <x v="76"/>
    <x v="149"/>
    <x v="54"/>
    <x v="10"/>
    <x v="2"/>
  </r>
  <r>
    <x v="0"/>
    <x v="8"/>
    <x v="8"/>
    <x v="3"/>
    <x v="3"/>
    <x v="3"/>
    <x v="9"/>
    <x v="131"/>
    <x v="45"/>
    <x v="137"/>
    <x v="150"/>
    <x v="109"/>
    <x v="121"/>
    <x v="2"/>
  </r>
  <r>
    <x v="0"/>
    <x v="8"/>
    <x v="8"/>
    <x v="10"/>
    <x v="10"/>
    <x v="10"/>
    <x v="10"/>
    <x v="136"/>
    <x v="107"/>
    <x v="129"/>
    <x v="151"/>
    <x v="112"/>
    <x v="72"/>
    <x v="2"/>
  </r>
  <r>
    <x v="0"/>
    <x v="8"/>
    <x v="8"/>
    <x v="29"/>
    <x v="29"/>
    <x v="29"/>
    <x v="11"/>
    <x v="137"/>
    <x v="108"/>
    <x v="138"/>
    <x v="152"/>
    <x v="31"/>
    <x v="45"/>
    <x v="2"/>
  </r>
  <r>
    <x v="0"/>
    <x v="8"/>
    <x v="8"/>
    <x v="4"/>
    <x v="4"/>
    <x v="4"/>
    <x v="12"/>
    <x v="138"/>
    <x v="80"/>
    <x v="139"/>
    <x v="153"/>
    <x v="58"/>
    <x v="119"/>
    <x v="2"/>
  </r>
  <r>
    <x v="0"/>
    <x v="8"/>
    <x v="8"/>
    <x v="28"/>
    <x v="28"/>
    <x v="28"/>
    <x v="13"/>
    <x v="139"/>
    <x v="109"/>
    <x v="131"/>
    <x v="154"/>
    <x v="73"/>
    <x v="113"/>
    <x v="2"/>
  </r>
  <r>
    <x v="0"/>
    <x v="8"/>
    <x v="8"/>
    <x v="15"/>
    <x v="15"/>
    <x v="15"/>
    <x v="13"/>
    <x v="139"/>
    <x v="109"/>
    <x v="69"/>
    <x v="67"/>
    <x v="68"/>
    <x v="122"/>
    <x v="2"/>
  </r>
  <r>
    <x v="0"/>
    <x v="8"/>
    <x v="8"/>
    <x v="13"/>
    <x v="13"/>
    <x v="13"/>
    <x v="15"/>
    <x v="140"/>
    <x v="92"/>
    <x v="119"/>
    <x v="155"/>
    <x v="117"/>
    <x v="123"/>
    <x v="2"/>
  </r>
  <r>
    <x v="0"/>
    <x v="8"/>
    <x v="8"/>
    <x v="35"/>
    <x v="35"/>
    <x v="35"/>
    <x v="16"/>
    <x v="141"/>
    <x v="110"/>
    <x v="126"/>
    <x v="33"/>
    <x v="118"/>
    <x v="14"/>
    <x v="2"/>
  </r>
  <r>
    <x v="0"/>
    <x v="8"/>
    <x v="8"/>
    <x v="16"/>
    <x v="16"/>
    <x v="16"/>
    <x v="17"/>
    <x v="142"/>
    <x v="61"/>
    <x v="119"/>
    <x v="155"/>
    <x v="40"/>
    <x v="124"/>
    <x v="2"/>
  </r>
  <r>
    <x v="0"/>
    <x v="8"/>
    <x v="8"/>
    <x v="11"/>
    <x v="11"/>
    <x v="11"/>
    <x v="18"/>
    <x v="143"/>
    <x v="63"/>
    <x v="126"/>
    <x v="33"/>
    <x v="63"/>
    <x v="125"/>
    <x v="2"/>
  </r>
  <r>
    <x v="0"/>
    <x v="8"/>
    <x v="8"/>
    <x v="20"/>
    <x v="20"/>
    <x v="20"/>
    <x v="19"/>
    <x v="144"/>
    <x v="111"/>
    <x v="71"/>
    <x v="156"/>
    <x v="58"/>
    <x v="119"/>
    <x v="2"/>
  </r>
  <r>
    <x v="0"/>
    <x v="8"/>
    <x v="8"/>
    <x v="23"/>
    <x v="23"/>
    <x v="23"/>
    <x v="19"/>
    <x v="144"/>
    <x v="111"/>
    <x v="67"/>
    <x v="146"/>
    <x v="72"/>
    <x v="109"/>
    <x v="2"/>
  </r>
  <r>
    <x v="0"/>
    <x v="9"/>
    <x v="9"/>
    <x v="0"/>
    <x v="0"/>
    <x v="0"/>
    <x v="0"/>
    <x v="145"/>
    <x v="112"/>
    <x v="85"/>
    <x v="157"/>
    <x v="57"/>
    <x v="126"/>
    <x v="2"/>
  </r>
  <r>
    <x v="0"/>
    <x v="9"/>
    <x v="9"/>
    <x v="1"/>
    <x v="1"/>
    <x v="1"/>
    <x v="1"/>
    <x v="146"/>
    <x v="113"/>
    <x v="102"/>
    <x v="158"/>
    <x v="90"/>
    <x v="127"/>
    <x v="2"/>
  </r>
  <r>
    <x v="0"/>
    <x v="9"/>
    <x v="9"/>
    <x v="7"/>
    <x v="7"/>
    <x v="7"/>
    <x v="2"/>
    <x v="147"/>
    <x v="114"/>
    <x v="140"/>
    <x v="159"/>
    <x v="40"/>
    <x v="128"/>
    <x v="2"/>
  </r>
  <r>
    <x v="0"/>
    <x v="9"/>
    <x v="9"/>
    <x v="2"/>
    <x v="2"/>
    <x v="2"/>
    <x v="3"/>
    <x v="148"/>
    <x v="115"/>
    <x v="141"/>
    <x v="160"/>
    <x v="57"/>
    <x v="126"/>
    <x v="2"/>
  </r>
  <r>
    <x v="0"/>
    <x v="9"/>
    <x v="9"/>
    <x v="14"/>
    <x v="14"/>
    <x v="14"/>
    <x v="4"/>
    <x v="149"/>
    <x v="116"/>
    <x v="138"/>
    <x v="161"/>
    <x v="46"/>
    <x v="129"/>
    <x v="2"/>
  </r>
  <r>
    <x v="0"/>
    <x v="9"/>
    <x v="9"/>
    <x v="29"/>
    <x v="29"/>
    <x v="29"/>
    <x v="5"/>
    <x v="150"/>
    <x v="117"/>
    <x v="70"/>
    <x v="162"/>
    <x v="84"/>
    <x v="107"/>
    <x v="2"/>
  </r>
  <r>
    <x v="0"/>
    <x v="9"/>
    <x v="9"/>
    <x v="5"/>
    <x v="5"/>
    <x v="5"/>
    <x v="6"/>
    <x v="127"/>
    <x v="6"/>
    <x v="142"/>
    <x v="44"/>
    <x v="58"/>
    <x v="130"/>
    <x v="2"/>
  </r>
  <r>
    <x v="0"/>
    <x v="9"/>
    <x v="9"/>
    <x v="12"/>
    <x v="12"/>
    <x v="12"/>
    <x v="7"/>
    <x v="128"/>
    <x v="56"/>
    <x v="131"/>
    <x v="12"/>
    <x v="112"/>
    <x v="131"/>
    <x v="2"/>
  </r>
  <r>
    <x v="0"/>
    <x v="9"/>
    <x v="9"/>
    <x v="35"/>
    <x v="35"/>
    <x v="35"/>
    <x v="8"/>
    <x v="130"/>
    <x v="78"/>
    <x v="129"/>
    <x v="15"/>
    <x v="119"/>
    <x v="132"/>
    <x v="2"/>
  </r>
  <r>
    <x v="0"/>
    <x v="9"/>
    <x v="9"/>
    <x v="16"/>
    <x v="16"/>
    <x v="16"/>
    <x v="9"/>
    <x v="151"/>
    <x v="57"/>
    <x v="69"/>
    <x v="163"/>
    <x v="114"/>
    <x v="133"/>
    <x v="2"/>
  </r>
  <r>
    <x v="0"/>
    <x v="9"/>
    <x v="9"/>
    <x v="6"/>
    <x v="6"/>
    <x v="6"/>
    <x v="10"/>
    <x v="152"/>
    <x v="10"/>
    <x v="84"/>
    <x v="164"/>
    <x v="58"/>
    <x v="130"/>
    <x v="2"/>
  </r>
  <r>
    <x v="0"/>
    <x v="9"/>
    <x v="9"/>
    <x v="19"/>
    <x v="19"/>
    <x v="19"/>
    <x v="11"/>
    <x v="136"/>
    <x v="118"/>
    <x v="71"/>
    <x v="165"/>
    <x v="59"/>
    <x v="134"/>
    <x v="2"/>
  </r>
  <r>
    <x v="0"/>
    <x v="9"/>
    <x v="9"/>
    <x v="15"/>
    <x v="15"/>
    <x v="15"/>
    <x v="12"/>
    <x v="137"/>
    <x v="12"/>
    <x v="126"/>
    <x v="52"/>
    <x v="68"/>
    <x v="135"/>
    <x v="2"/>
  </r>
  <r>
    <x v="0"/>
    <x v="9"/>
    <x v="9"/>
    <x v="13"/>
    <x v="13"/>
    <x v="13"/>
    <x v="13"/>
    <x v="141"/>
    <x v="30"/>
    <x v="143"/>
    <x v="166"/>
    <x v="112"/>
    <x v="131"/>
    <x v="2"/>
  </r>
  <r>
    <x v="0"/>
    <x v="9"/>
    <x v="9"/>
    <x v="3"/>
    <x v="3"/>
    <x v="3"/>
    <x v="14"/>
    <x v="153"/>
    <x v="32"/>
    <x v="89"/>
    <x v="27"/>
    <x v="116"/>
    <x v="4"/>
    <x v="2"/>
  </r>
  <r>
    <x v="0"/>
    <x v="9"/>
    <x v="9"/>
    <x v="34"/>
    <x v="34"/>
    <x v="34"/>
    <x v="15"/>
    <x v="143"/>
    <x v="33"/>
    <x v="129"/>
    <x v="15"/>
    <x v="76"/>
    <x v="98"/>
    <x v="2"/>
  </r>
  <r>
    <x v="0"/>
    <x v="9"/>
    <x v="9"/>
    <x v="36"/>
    <x v="36"/>
    <x v="36"/>
    <x v="15"/>
    <x v="143"/>
    <x v="33"/>
    <x v="144"/>
    <x v="167"/>
    <x v="71"/>
    <x v="136"/>
    <x v="1"/>
  </r>
  <r>
    <x v="0"/>
    <x v="9"/>
    <x v="9"/>
    <x v="10"/>
    <x v="10"/>
    <x v="10"/>
    <x v="17"/>
    <x v="144"/>
    <x v="119"/>
    <x v="145"/>
    <x v="168"/>
    <x v="65"/>
    <x v="137"/>
    <x v="2"/>
  </r>
  <r>
    <x v="0"/>
    <x v="9"/>
    <x v="9"/>
    <x v="17"/>
    <x v="17"/>
    <x v="17"/>
    <x v="18"/>
    <x v="154"/>
    <x v="120"/>
    <x v="127"/>
    <x v="169"/>
    <x v="47"/>
    <x v="0"/>
    <x v="2"/>
  </r>
  <r>
    <x v="0"/>
    <x v="9"/>
    <x v="9"/>
    <x v="37"/>
    <x v="37"/>
    <x v="37"/>
    <x v="19"/>
    <x v="155"/>
    <x v="121"/>
    <x v="127"/>
    <x v="169"/>
    <x v="59"/>
    <x v="134"/>
    <x v="2"/>
  </r>
  <r>
    <x v="0"/>
    <x v="10"/>
    <x v="10"/>
    <x v="0"/>
    <x v="0"/>
    <x v="0"/>
    <x v="0"/>
    <x v="63"/>
    <x v="64"/>
    <x v="146"/>
    <x v="170"/>
    <x v="42"/>
    <x v="138"/>
    <x v="2"/>
  </r>
  <r>
    <x v="0"/>
    <x v="10"/>
    <x v="10"/>
    <x v="2"/>
    <x v="2"/>
    <x v="2"/>
    <x v="1"/>
    <x v="156"/>
    <x v="122"/>
    <x v="65"/>
    <x v="171"/>
    <x v="120"/>
    <x v="104"/>
    <x v="2"/>
  </r>
  <r>
    <x v="0"/>
    <x v="10"/>
    <x v="10"/>
    <x v="1"/>
    <x v="1"/>
    <x v="1"/>
    <x v="2"/>
    <x v="157"/>
    <x v="123"/>
    <x v="117"/>
    <x v="25"/>
    <x v="117"/>
    <x v="139"/>
    <x v="2"/>
  </r>
  <r>
    <x v="0"/>
    <x v="10"/>
    <x v="10"/>
    <x v="12"/>
    <x v="12"/>
    <x v="12"/>
    <x v="3"/>
    <x v="124"/>
    <x v="23"/>
    <x v="112"/>
    <x v="172"/>
    <x v="118"/>
    <x v="16"/>
    <x v="2"/>
  </r>
  <r>
    <x v="0"/>
    <x v="10"/>
    <x v="10"/>
    <x v="7"/>
    <x v="7"/>
    <x v="7"/>
    <x v="4"/>
    <x v="125"/>
    <x v="41"/>
    <x v="112"/>
    <x v="172"/>
    <x v="76"/>
    <x v="140"/>
    <x v="2"/>
  </r>
  <r>
    <x v="0"/>
    <x v="10"/>
    <x v="10"/>
    <x v="6"/>
    <x v="6"/>
    <x v="6"/>
    <x v="5"/>
    <x v="158"/>
    <x v="76"/>
    <x v="75"/>
    <x v="173"/>
    <x v="57"/>
    <x v="130"/>
    <x v="2"/>
  </r>
  <r>
    <x v="0"/>
    <x v="10"/>
    <x v="10"/>
    <x v="3"/>
    <x v="3"/>
    <x v="3"/>
    <x v="6"/>
    <x v="159"/>
    <x v="124"/>
    <x v="137"/>
    <x v="174"/>
    <x v="59"/>
    <x v="141"/>
    <x v="2"/>
  </r>
  <r>
    <x v="0"/>
    <x v="10"/>
    <x v="10"/>
    <x v="5"/>
    <x v="5"/>
    <x v="5"/>
    <x v="6"/>
    <x v="159"/>
    <x v="124"/>
    <x v="88"/>
    <x v="175"/>
    <x v="72"/>
    <x v="142"/>
    <x v="2"/>
  </r>
  <r>
    <x v="0"/>
    <x v="10"/>
    <x v="10"/>
    <x v="14"/>
    <x v="14"/>
    <x v="14"/>
    <x v="8"/>
    <x v="129"/>
    <x v="6"/>
    <x v="127"/>
    <x v="69"/>
    <x v="119"/>
    <x v="143"/>
    <x v="2"/>
  </r>
  <r>
    <x v="0"/>
    <x v="10"/>
    <x v="10"/>
    <x v="15"/>
    <x v="15"/>
    <x v="15"/>
    <x v="8"/>
    <x v="129"/>
    <x v="6"/>
    <x v="57"/>
    <x v="176"/>
    <x v="68"/>
    <x v="144"/>
    <x v="2"/>
  </r>
  <r>
    <x v="0"/>
    <x v="10"/>
    <x v="10"/>
    <x v="10"/>
    <x v="10"/>
    <x v="10"/>
    <x v="10"/>
    <x v="160"/>
    <x v="125"/>
    <x v="69"/>
    <x v="177"/>
    <x v="22"/>
    <x v="145"/>
    <x v="2"/>
  </r>
  <r>
    <x v="0"/>
    <x v="10"/>
    <x v="10"/>
    <x v="11"/>
    <x v="11"/>
    <x v="11"/>
    <x v="11"/>
    <x v="161"/>
    <x v="108"/>
    <x v="71"/>
    <x v="178"/>
    <x v="105"/>
    <x v="134"/>
    <x v="2"/>
  </r>
  <r>
    <x v="0"/>
    <x v="10"/>
    <x v="10"/>
    <x v="16"/>
    <x v="16"/>
    <x v="16"/>
    <x v="12"/>
    <x v="142"/>
    <x v="14"/>
    <x v="127"/>
    <x v="69"/>
    <x v="63"/>
    <x v="32"/>
    <x v="2"/>
  </r>
  <r>
    <x v="0"/>
    <x v="10"/>
    <x v="10"/>
    <x v="17"/>
    <x v="17"/>
    <x v="17"/>
    <x v="12"/>
    <x v="142"/>
    <x v="14"/>
    <x v="127"/>
    <x v="69"/>
    <x v="63"/>
    <x v="32"/>
    <x v="2"/>
  </r>
  <r>
    <x v="0"/>
    <x v="10"/>
    <x v="10"/>
    <x v="9"/>
    <x v="9"/>
    <x v="9"/>
    <x v="14"/>
    <x v="153"/>
    <x v="126"/>
    <x v="131"/>
    <x v="179"/>
    <x v="59"/>
    <x v="141"/>
    <x v="2"/>
  </r>
  <r>
    <x v="0"/>
    <x v="10"/>
    <x v="10"/>
    <x v="23"/>
    <x v="23"/>
    <x v="23"/>
    <x v="14"/>
    <x v="153"/>
    <x v="126"/>
    <x v="89"/>
    <x v="124"/>
    <x v="116"/>
    <x v="146"/>
    <x v="2"/>
  </r>
  <r>
    <x v="0"/>
    <x v="10"/>
    <x v="10"/>
    <x v="19"/>
    <x v="19"/>
    <x v="19"/>
    <x v="16"/>
    <x v="143"/>
    <x v="15"/>
    <x v="67"/>
    <x v="180"/>
    <x v="107"/>
    <x v="3"/>
    <x v="2"/>
  </r>
  <r>
    <x v="0"/>
    <x v="10"/>
    <x v="10"/>
    <x v="38"/>
    <x v="38"/>
    <x v="38"/>
    <x v="17"/>
    <x v="162"/>
    <x v="127"/>
    <x v="126"/>
    <x v="181"/>
    <x v="73"/>
    <x v="147"/>
    <x v="2"/>
  </r>
  <r>
    <x v="0"/>
    <x v="10"/>
    <x v="10"/>
    <x v="20"/>
    <x v="20"/>
    <x v="20"/>
    <x v="18"/>
    <x v="154"/>
    <x v="128"/>
    <x v="66"/>
    <x v="19"/>
    <x v="109"/>
    <x v="148"/>
    <x v="2"/>
  </r>
  <r>
    <x v="0"/>
    <x v="10"/>
    <x v="10"/>
    <x v="39"/>
    <x v="39"/>
    <x v="39"/>
    <x v="18"/>
    <x v="154"/>
    <x v="128"/>
    <x v="87"/>
    <x v="182"/>
    <x v="72"/>
    <x v="142"/>
    <x v="2"/>
  </r>
  <r>
    <x v="0"/>
    <x v="10"/>
    <x v="10"/>
    <x v="22"/>
    <x v="22"/>
    <x v="22"/>
    <x v="18"/>
    <x v="154"/>
    <x v="128"/>
    <x v="147"/>
    <x v="183"/>
    <x v="121"/>
    <x v="149"/>
    <x v="2"/>
  </r>
  <r>
    <x v="0"/>
    <x v="11"/>
    <x v="11"/>
    <x v="1"/>
    <x v="1"/>
    <x v="1"/>
    <x v="0"/>
    <x v="163"/>
    <x v="129"/>
    <x v="35"/>
    <x v="184"/>
    <x v="111"/>
    <x v="150"/>
    <x v="2"/>
  </r>
  <r>
    <x v="0"/>
    <x v="11"/>
    <x v="11"/>
    <x v="0"/>
    <x v="0"/>
    <x v="0"/>
    <x v="1"/>
    <x v="83"/>
    <x v="112"/>
    <x v="148"/>
    <x v="185"/>
    <x v="105"/>
    <x v="151"/>
    <x v="2"/>
  </r>
  <r>
    <x v="0"/>
    <x v="11"/>
    <x v="11"/>
    <x v="5"/>
    <x v="5"/>
    <x v="5"/>
    <x v="2"/>
    <x v="164"/>
    <x v="130"/>
    <x v="103"/>
    <x v="186"/>
    <x v="59"/>
    <x v="18"/>
    <x v="2"/>
  </r>
  <r>
    <x v="0"/>
    <x v="11"/>
    <x v="11"/>
    <x v="12"/>
    <x v="12"/>
    <x v="12"/>
    <x v="3"/>
    <x v="165"/>
    <x v="131"/>
    <x v="118"/>
    <x v="187"/>
    <x v="56"/>
    <x v="72"/>
    <x v="2"/>
  </r>
  <r>
    <x v="0"/>
    <x v="11"/>
    <x v="11"/>
    <x v="7"/>
    <x v="7"/>
    <x v="7"/>
    <x v="4"/>
    <x v="148"/>
    <x v="132"/>
    <x v="84"/>
    <x v="188"/>
    <x v="40"/>
    <x v="99"/>
    <x v="2"/>
  </r>
  <r>
    <x v="0"/>
    <x v="11"/>
    <x v="11"/>
    <x v="2"/>
    <x v="2"/>
    <x v="2"/>
    <x v="5"/>
    <x v="166"/>
    <x v="133"/>
    <x v="135"/>
    <x v="189"/>
    <x v="71"/>
    <x v="73"/>
    <x v="2"/>
  </r>
  <r>
    <x v="0"/>
    <x v="11"/>
    <x v="11"/>
    <x v="6"/>
    <x v="6"/>
    <x v="6"/>
    <x v="6"/>
    <x v="167"/>
    <x v="23"/>
    <x v="96"/>
    <x v="3"/>
    <x v="107"/>
    <x v="152"/>
    <x v="2"/>
  </r>
  <r>
    <x v="0"/>
    <x v="11"/>
    <x v="11"/>
    <x v="16"/>
    <x v="16"/>
    <x v="16"/>
    <x v="7"/>
    <x v="127"/>
    <x v="43"/>
    <x v="149"/>
    <x v="190"/>
    <x v="119"/>
    <x v="153"/>
    <x v="2"/>
  </r>
  <r>
    <x v="0"/>
    <x v="11"/>
    <x v="11"/>
    <x v="14"/>
    <x v="14"/>
    <x v="14"/>
    <x v="8"/>
    <x v="128"/>
    <x v="134"/>
    <x v="87"/>
    <x v="191"/>
    <x v="68"/>
    <x v="132"/>
    <x v="2"/>
  </r>
  <r>
    <x v="0"/>
    <x v="11"/>
    <x v="11"/>
    <x v="29"/>
    <x v="29"/>
    <x v="29"/>
    <x v="9"/>
    <x v="129"/>
    <x v="135"/>
    <x v="57"/>
    <x v="192"/>
    <x v="68"/>
    <x v="132"/>
    <x v="2"/>
  </r>
  <r>
    <x v="0"/>
    <x v="11"/>
    <x v="11"/>
    <x v="10"/>
    <x v="10"/>
    <x v="10"/>
    <x v="10"/>
    <x v="140"/>
    <x v="136"/>
    <x v="132"/>
    <x v="193"/>
    <x v="68"/>
    <x v="132"/>
    <x v="2"/>
  </r>
  <r>
    <x v="0"/>
    <x v="11"/>
    <x v="11"/>
    <x v="36"/>
    <x v="36"/>
    <x v="36"/>
    <x v="10"/>
    <x v="140"/>
    <x v="136"/>
    <x v="112"/>
    <x v="194"/>
    <x v="57"/>
    <x v="81"/>
    <x v="2"/>
  </r>
  <r>
    <x v="0"/>
    <x v="11"/>
    <x v="11"/>
    <x v="15"/>
    <x v="15"/>
    <x v="15"/>
    <x v="12"/>
    <x v="141"/>
    <x v="137"/>
    <x v="69"/>
    <x v="195"/>
    <x v="65"/>
    <x v="154"/>
    <x v="1"/>
  </r>
  <r>
    <x v="0"/>
    <x v="11"/>
    <x v="11"/>
    <x v="19"/>
    <x v="19"/>
    <x v="19"/>
    <x v="12"/>
    <x v="141"/>
    <x v="137"/>
    <x v="87"/>
    <x v="191"/>
    <x v="59"/>
    <x v="18"/>
    <x v="2"/>
  </r>
  <r>
    <x v="0"/>
    <x v="11"/>
    <x v="11"/>
    <x v="38"/>
    <x v="38"/>
    <x v="38"/>
    <x v="14"/>
    <x v="153"/>
    <x v="17"/>
    <x v="126"/>
    <x v="58"/>
    <x v="76"/>
    <x v="155"/>
    <x v="2"/>
  </r>
  <r>
    <x v="0"/>
    <x v="11"/>
    <x v="11"/>
    <x v="20"/>
    <x v="20"/>
    <x v="20"/>
    <x v="14"/>
    <x v="153"/>
    <x v="17"/>
    <x v="71"/>
    <x v="196"/>
    <x v="42"/>
    <x v="38"/>
    <x v="2"/>
  </r>
  <r>
    <x v="0"/>
    <x v="11"/>
    <x v="11"/>
    <x v="17"/>
    <x v="17"/>
    <x v="17"/>
    <x v="14"/>
    <x v="153"/>
    <x v="17"/>
    <x v="130"/>
    <x v="197"/>
    <x v="122"/>
    <x v="34"/>
    <x v="2"/>
  </r>
  <r>
    <x v="0"/>
    <x v="11"/>
    <x v="11"/>
    <x v="13"/>
    <x v="13"/>
    <x v="13"/>
    <x v="14"/>
    <x v="153"/>
    <x v="17"/>
    <x v="132"/>
    <x v="193"/>
    <x v="65"/>
    <x v="154"/>
    <x v="2"/>
  </r>
  <r>
    <x v="0"/>
    <x v="11"/>
    <x v="11"/>
    <x v="11"/>
    <x v="11"/>
    <x v="11"/>
    <x v="18"/>
    <x v="143"/>
    <x v="127"/>
    <x v="87"/>
    <x v="191"/>
    <x v="105"/>
    <x v="151"/>
    <x v="2"/>
  </r>
  <r>
    <x v="0"/>
    <x v="11"/>
    <x v="11"/>
    <x v="18"/>
    <x v="18"/>
    <x v="18"/>
    <x v="19"/>
    <x v="144"/>
    <x v="128"/>
    <x v="87"/>
    <x v="191"/>
    <x v="115"/>
    <x v="156"/>
    <x v="2"/>
  </r>
  <r>
    <x v="0"/>
    <x v="11"/>
    <x v="11"/>
    <x v="3"/>
    <x v="3"/>
    <x v="3"/>
    <x v="19"/>
    <x v="144"/>
    <x v="128"/>
    <x v="73"/>
    <x v="198"/>
    <x v="116"/>
    <x v="54"/>
    <x v="2"/>
  </r>
  <r>
    <x v="0"/>
    <x v="11"/>
    <x v="11"/>
    <x v="4"/>
    <x v="4"/>
    <x v="4"/>
    <x v="19"/>
    <x v="144"/>
    <x v="128"/>
    <x v="71"/>
    <x v="196"/>
    <x v="58"/>
    <x v="4"/>
    <x v="2"/>
  </r>
  <r>
    <x v="0"/>
    <x v="12"/>
    <x v="12"/>
    <x v="0"/>
    <x v="0"/>
    <x v="0"/>
    <x v="0"/>
    <x v="168"/>
    <x v="138"/>
    <x v="102"/>
    <x v="199"/>
    <x v="121"/>
    <x v="157"/>
    <x v="2"/>
  </r>
  <r>
    <x v="0"/>
    <x v="12"/>
    <x v="12"/>
    <x v="10"/>
    <x v="10"/>
    <x v="10"/>
    <x v="1"/>
    <x v="137"/>
    <x v="113"/>
    <x v="129"/>
    <x v="200"/>
    <x v="56"/>
    <x v="158"/>
    <x v="2"/>
  </r>
  <r>
    <x v="0"/>
    <x v="12"/>
    <x v="12"/>
    <x v="2"/>
    <x v="2"/>
    <x v="2"/>
    <x v="2"/>
    <x v="139"/>
    <x v="139"/>
    <x v="39"/>
    <x v="201"/>
    <x v="121"/>
    <x v="157"/>
    <x v="2"/>
  </r>
  <r>
    <x v="0"/>
    <x v="12"/>
    <x v="12"/>
    <x v="9"/>
    <x v="9"/>
    <x v="9"/>
    <x v="3"/>
    <x v="162"/>
    <x v="140"/>
    <x v="138"/>
    <x v="202"/>
    <x v="23"/>
    <x v="159"/>
    <x v="2"/>
  </r>
  <r>
    <x v="0"/>
    <x v="12"/>
    <x v="12"/>
    <x v="12"/>
    <x v="12"/>
    <x v="12"/>
    <x v="4"/>
    <x v="169"/>
    <x v="2"/>
    <x v="87"/>
    <x v="203"/>
    <x v="116"/>
    <x v="160"/>
    <x v="2"/>
  </r>
  <r>
    <x v="0"/>
    <x v="12"/>
    <x v="12"/>
    <x v="40"/>
    <x v="40"/>
    <x v="40"/>
    <x v="4"/>
    <x v="169"/>
    <x v="2"/>
    <x v="149"/>
    <x v="204"/>
    <x v="107"/>
    <x v="111"/>
    <x v="2"/>
  </r>
  <r>
    <x v="0"/>
    <x v="12"/>
    <x v="12"/>
    <x v="11"/>
    <x v="11"/>
    <x v="11"/>
    <x v="6"/>
    <x v="170"/>
    <x v="90"/>
    <x v="127"/>
    <x v="205"/>
    <x v="107"/>
    <x v="111"/>
    <x v="2"/>
  </r>
  <r>
    <x v="0"/>
    <x v="12"/>
    <x v="12"/>
    <x v="3"/>
    <x v="3"/>
    <x v="3"/>
    <x v="7"/>
    <x v="171"/>
    <x v="43"/>
    <x v="138"/>
    <x v="202"/>
    <x v="120"/>
    <x v="3"/>
    <x v="1"/>
  </r>
  <r>
    <x v="0"/>
    <x v="12"/>
    <x v="12"/>
    <x v="14"/>
    <x v="14"/>
    <x v="14"/>
    <x v="8"/>
    <x v="172"/>
    <x v="141"/>
    <x v="126"/>
    <x v="182"/>
    <x v="72"/>
    <x v="161"/>
    <x v="2"/>
  </r>
  <r>
    <x v="0"/>
    <x v="12"/>
    <x v="12"/>
    <x v="1"/>
    <x v="1"/>
    <x v="1"/>
    <x v="8"/>
    <x v="172"/>
    <x v="141"/>
    <x v="129"/>
    <x v="200"/>
    <x v="107"/>
    <x v="111"/>
    <x v="2"/>
  </r>
  <r>
    <x v="0"/>
    <x v="12"/>
    <x v="12"/>
    <x v="41"/>
    <x v="41"/>
    <x v="41"/>
    <x v="10"/>
    <x v="173"/>
    <x v="106"/>
    <x v="119"/>
    <x v="140"/>
    <x v="120"/>
    <x v="3"/>
    <x v="5"/>
  </r>
  <r>
    <x v="0"/>
    <x v="12"/>
    <x v="12"/>
    <x v="7"/>
    <x v="7"/>
    <x v="7"/>
    <x v="10"/>
    <x v="173"/>
    <x v="106"/>
    <x v="76"/>
    <x v="180"/>
    <x v="42"/>
    <x v="162"/>
    <x v="2"/>
  </r>
  <r>
    <x v="0"/>
    <x v="12"/>
    <x v="12"/>
    <x v="21"/>
    <x v="21"/>
    <x v="21"/>
    <x v="12"/>
    <x v="174"/>
    <x v="142"/>
    <x v="127"/>
    <x v="205"/>
    <x v="58"/>
    <x v="51"/>
    <x v="2"/>
  </r>
  <r>
    <x v="0"/>
    <x v="12"/>
    <x v="12"/>
    <x v="42"/>
    <x v="42"/>
    <x v="42"/>
    <x v="12"/>
    <x v="174"/>
    <x v="142"/>
    <x v="132"/>
    <x v="36"/>
    <x v="115"/>
    <x v="163"/>
    <x v="2"/>
  </r>
  <r>
    <x v="0"/>
    <x v="12"/>
    <x v="12"/>
    <x v="43"/>
    <x v="43"/>
    <x v="43"/>
    <x v="14"/>
    <x v="175"/>
    <x v="12"/>
    <x v="130"/>
    <x v="206"/>
    <x v="71"/>
    <x v="38"/>
    <x v="2"/>
  </r>
  <r>
    <x v="0"/>
    <x v="12"/>
    <x v="12"/>
    <x v="30"/>
    <x v="30"/>
    <x v="30"/>
    <x v="14"/>
    <x v="175"/>
    <x v="12"/>
    <x v="149"/>
    <x v="204"/>
    <x v="121"/>
    <x v="157"/>
    <x v="2"/>
  </r>
  <r>
    <x v="0"/>
    <x v="12"/>
    <x v="12"/>
    <x v="44"/>
    <x v="44"/>
    <x v="44"/>
    <x v="14"/>
    <x v="175"/>
    <x v="12"/>
    <x v="149"/>
    <x v="204"/>
    <x v="121"/>
    <x v="157"/>
    <x v="2"/>
  </r>
  <r>
    <x v="0"/>
    <x v="12"/>
    <x v="12"/>
    <x v="6"/>
    <x v="6"/>
    <x v="6"/>
    <x v="14"/>
    <x v="175"/>
    <x v="12"/>
    <x v="130"/>
    <x v="206"/>
    <x v="71"/>
    <x v="38"/>
    <x v="2"/>
  </r>
  <r>
    <x v="0"/>
    <x v="12"/>
    <x v="12"/>
    <x v="15"/>
    <x v="15"/>
    <x v="15"/>
    <x v="18"/>
    <x v="176"/>
    <x v="137"/>
    <x v="132"/>
    <x v="36"/>
    <x v="109"/>
    <x v="122"/>
    <x v="2"/>
  </r>
  <r>
    <x v="0"/>
    <x v="12"/>
    <x v="12"/>
    <x v="20"/>
    <x v="20"/>
    <x v="20"/>
    <x v="19"/>
    <x v="177"/>
    <x v="33"/>
    <x v="70"/>
    <x v="43"/>
    <x v="123"/>
    <x v="164"/>
    <x v="2"/>
  </r>
  <r>
    <x v="0"/>
    <x v="12"/>
    <x v="12"/>
    <x v="18"/>
    <x v="18"/>
    <x v="18"/>
    <x v="19"/>
    <x v="177"/>
    <x v="33"/>
    <x v="69"/>
    <x v="92"/>
    <x v="57"/>
    <x v="165"/>
    <x v="2"/>
  </r>
  <r>
    <x v="0"/>
    <x v="12"/>
    <x v="12"/>
    <x v="45"/>
    <x v="45"/>
    <x v="45"/>
    <x v="19"/>
    <x v="177"/>
    <x v="33"/>
    <x v="126"/>
    <x v="182"/>
    <x v="120"/>
    <x v="3"/>
    <x v="2"/>
  </r>
  <r>
    <x v="0"/>
    <x v="13"/>
    <x v="13"/>
    <x v="0"/>
    <x v="0"/>
    <x v="0"/>
    <x v="0"/>
    <x v="40"/>
    <x v="143"/>
    <x v="150"/>
    <x v="207"/>
    <x v="114"/>
    <x v="0"/>
    <x v="2"/>
  </r>
  <r>
    <x v="0"/>
    <x v="13"/>
    <x v="13"/>
    <x v="1"/>
    <x v="1"/>
    <x v="1"/>
    <x v="1"/>
    <x v="178"/>
    <x v="144"/>
    <x v="133"/>
    <x v="208"/>
    <x v="124"/>
    <x v="166"/>
    <x v="2"/>
  </r>
  <r>
    <x v="0"/>
    <x v="13"/>
    <x v="13"/>
    <x v="3"/>
    <x v="3"/>
    <x v="3"/>
    <x v="2"/>
    <x v="45"/>
    <x v="145"/>
    <x v="151"/>
    <x v="209"/>
    <x v="56"/>
    <x v="156"/>
    <x v="2"/>
  </r>
  <r>
    <x v="0"/>
    <x v="13"/>
    <x v="13"/>
    <x v="4"/>
    <x v="4"/>
    <x v="4"/>
    <x v="3"/>
    <x v="179"/>
    <x v="146"/>
    <x v="152"/>
    <x v="210"/>
    <x v="52"/>
    <x v="25"/>
    <x v="2"/>
  </r>
  <r>
    <x v="0"/>
    <x v="13"/>
    <x v="13"/>
    <x v="2"/>
    <x v="2"/>
    <x v="2"/>
    <x v="4"/>
    <x v="180"/>
    <x v="41"/>
    <x v="153"/>
    <x v="211"/>
    <x v="58"/>
    <x v="49"/>
    <x v="2"/>
  </r>
  <r>
    <x v="0"/>
    <x v="13"/>
    <x v="13"/>
    <x v="8"/>
    <x v="8"/>
    <x v="8"/>
    <x v="5"/>
    <x v="181"/>
    <x v="147"/>
    <x v="154"/>
    <x v="42"/>
    <x v="57"/>
    <x v="23"/>
    <x v="2"/>
  </r>
  <r>
    <x v="0"/>
    <x v="13"/>
    <x v="13"/>
    <x v="7"/>
    <x v="7"/>
    <x v="7"/>
    <x v="6"/>
    <x v="182"/>
    <x v="148"/>
    <x v="96"/>
    <x v="107"/>
    <x v="106"/>
    <x v="53"/>
    <x v="2"/>
  </r>
  <r>
    <x v="0"/>
    <x v="13"/>
    <x v="13"/>
    <x v="9"/>
    <x v="9"/>
    <x v="9"/>
    <x v="7"/>
    <x v="183"/>
    <x v="134"/>
    <x v="135"/>
    <x v="212"/>
    <x v="78"/>
    <x v="167"/>
    <x v="2"/>
  </r>
  <r>
    <x v="0"/>
    <x v="13"/>
    <x v="13"/>
    <x v="6"/>
    <x v="6"/>
    <x v="6"/>
    <x v="8"/>
    <x v="55"/>
    <x v="149"/>
    <x v="43"/>
    <x v="213"/>
    <x v="59"/>
    <x v="168"/>
    <x v="1"/>
  </r>
  <r>
    <x v="0"/>
    <x v="13"/>
    <x v="13"/>
    <x v="13"/>
    <x v="13"/>
    <x v="13"/>
    <x v="9"/>
    <x v="184"/>
    <x v="150"/>
    <x v="138"/>
    <x v="163"/>
    <x v="125"/>
    <x v="169"/>
    <x v="2"/>
  </r>
  <r>
    <x v="0"/>
    <x v="13"/>
    <x v="13"/>
    <x v="11"/>
    <x v="11"/>
    <x v="11"/>
    <x v="10"/>
    <x v="65"/>
    <x v="108"/>
    <x v="135"/>
    <x v="212"/>
    <x v="126"/>
    <x v="170"/>
    <x v="2"/>
  </r>
  <r>
    <x v="0"/>
    <x v="13"/>
    <x v="13"/>
    <x v="5"/>
    <x v="5"/>
    <x v="5"/>
    <x v="11"/>
    <x v="115"/>
    <x v="46"/>
    <x v="155"/>
    <x v="214"/>
    <x v="127"/>
    <x v="138"/>
    <x v="2"/>
  </r>
  <r>
    <x v="0"/>
    <x v="13"/>
    <x v="13"/>
    <x v="17"/>
    <x v="17"/>
    <x v="17"/>
    <x v="12"/>
    <x v="185"/>
    <x v="14"/>
    <x v="144"/>
    <x v="92"/>
    <x v="67"/>
    <x v="171"/>
    <x v="2"/>
  </r>
  <r>
    <x v="0"/>
    <x v="13"/>
    <x v="13"/>
    <x v="19"/>
    <x v="19"/>
    <x v="19"/>
    <x v="13"/>
    <x v="68"/>
    <x v="62"/>
    <x v="117"/>
    <x v="215"/>
    <x v="114"/>
    <x v="0"/>
    <x v="2"/>
  </r>
  <r>
    <x v="0"/>
    <x v="13"/>
    <x v="13"/>
    <x v="16"/>
    <x v="16"/>
    <x v="16"/>
    <x v="14"/>
    <x v="70"/>
    <x v="31"/>
    <x v="76"/>
    <x v="138"/>
    <x v="128"/>
    <x v="124"/>
    <x v="2"/>
  </r>
  <r>
    <x v="0"/>
    <x v="13"/>
    <x v="13"/>
    <x v="14"/>
    <x v="14"/>
    <x v="14"/>
    <x v="15"/>
    <x v="72"/>
    <x v="63"/>
    <x v="149"/>
    <x v="91"/>
    <x v="129"/>
    <x v="155"/>
    <x v="2"/>
  </r>
  <r>
    <x v="0"/>
    <x v="13"/>
    <x v="13"/>
    <x v="18"/>
    <x v="18"/>
    <x v="18"/>
    <x v="15"/>
    <x v="72"/>
    <x v="63"/>
    <x v="139"/>
    <x v="140"/>
    <x v="84"/>
    <x v="18"/>
    <x v="2"/>
  </r>
  <r>
    <x v="0"/>
    <x v="13"/>
    <x v="13"/>
    <x v="20"/>
    <x v="20"/>
    <x v="20"/>
    <x v="17"/>
    <x v="73"/>
    <x v="127"/>
    <x v="136"/>
    <x v="216"/>
    <x v="31"/>
    <x v="172"/>
    <x v="2"/>
  </r>
  <r>
    <x v="0"/>
    <x v="13"/>
    <x v="13"/>
    <x v="10"/>
    <x v="10"/>
    <x v="10"/>
    <x v="18"/>
    <x v="186"/>
    <x v="128"/>
    <x v="129"/>
    <x v="217"/>
    <x v="79"/>
    <x v="88"/>
    <x v="2"/>
  </r>
  <r>
    <x v="0"/>
    <x v="13"/>
    <x v="13"/>
    <x v="15"/>
    <x v="15"/>
    <x v="15"/>
    <x v="18"/>
    <x v="186"/>
    <x v="128"/>
    <x v="57"/>
    <x v="218"/>
    <x v="81"/>
    <x v="57"/>
    <x v="2"/>
  </r>
  <r>
    <x v="0"/>
    <x v="13"/>
    <x v="13"/>
    <x v="23"/>
    <x v="23"/>
    <x v="23"/>
    <x v="18"/>
    <x v="186"/>
    <x v="128"/>
    <x v="142"/>
    <x v="121"/>
    <x v="65"/>
    <x v="173"/>
    <x v="2"/>
  </r>
  <r>
    <x v="0"/>
    <x v="14"/>
    <x v="14"/>
    <x v="1"/>
    <x v="1"/>
    <x v="1"/>
    <x v="0"/>
    <x v="181"/>
    <x v="151"/>
    <x v="36"/>
    <x v="219"/>
    <x v="75"/>
    <x v="174"/>
    <x v="1"/>
  </r>
  <r>
    <x v="0"/>
    <x v="14"/>
    <x v="14"/>
    <x v="3"/>
    <x v="3"/>
    <x v="3"/>
    <x v="1"/>
    <x v="116"/>
    <x v="152"/>
    <x v="156"/>
    <x v="220"/>
    <x v="40"/>
    <x v="175"/>
    <x v="2"/>
  </r>
  <r>
    <x v="0"/>
    <x v="14"/>
    <x v="14"/>
    <x v="8"/>
    <x v="8"/>
    <x v="8"/>
    <x v="2"/>
    <x v="164"/>
    <x v="153"/>
    <x v="123"/>
    <x v="221"/>
    <x v="71"/>
    <x v="176"/>
    <x v="2"/>
  </r>
  <r>
    <x v="0"/>
    <x v="14"/>
    <x v="14"/>
    <x v="0"/>
    <x v="0"/>
    <x v="0"/>
    <x v="3"/>
    <x v="148"/>
    <x v="154"/>
    <x v="157"/>
    <x v="222"/>
    <x v="109"/>
    <x v="41"/>
    <x v="2"/>
  </r>
  <r>
    <x v="0"/>
    <x v="14"/>
    <x v="14"/>
    <x v="9"/>
    <x v="9"/>
    <x v="9"/>
    <x v="4"/>
    <x v="125"/>
    <x v="155"/>
    <x v="59"/>
    <x v="5"/>
    <x v="31"/>
    <x v="177"/>
    <x v="2"/>
  </r>
  <r>
    <x v="0"/>
    <x v="14"/>
    <x v="14"/>
    <x v="10"/>
    <x v="10"/>
    <x v="10"/>
    <x v="5"/>
    <x v="136"/>
    <x v="41"/>
    <x v="126"/>
    <x v="223"/>
    <x v="56"/>
    <x v="178"/>
    <x v="2"/>
  </r>
  <r>
    <x v="0"/>
    <x v="14"/>
    <x v="14"/>
    <x v="22"/>
    <x v="22"/>
    <x v="22"/>
    <x v="5"/>
    <x v="136"/>
    <x v="41"/>
    <x v="158"/>
    <x v="224"/>
    <x v="115"/>
    <x v="179"/>
    <x v="2"/>
  </r>
  <r>
    <x v="0"/>
    <x v="14"/>
    <x v="14"/>
    <x v="20"/>
    <x v="20"/>
    <x v="20"/>
    <x v="7"/>
    <x v="139"/>
    <x v="156"/>
    <x v="131"/>
    <x v="73"/>
    <x v="73"/>
    <x v="180"/>
    <x v="2"/>
  </r>
  <r>
    <x v="0"/>
    <x v="14"/>
    <x v="14"/>
    <x v="45"/>
    <x v="45"/>
    <x v="45"/>
    <x v="8"/>
    <x v="140"/>
    <x v="44"/>
    <x v="57"/>
    <x v="90"/>
    <x v="45"/>
    <x v="43"/>
    <x v="2"/>
  </r>
  <r>
    <x v="0"/>
    <x v="14"/>
    <x v="14"/>
    <x v="4"/>
    <x v="4"/>
    <x v="4"/>
    <x v="9"/>
    <x v="141"/>
    <x v="56"/>
    <x v="59"/>
    <x v="5"/>
    <x v="57"/>
    <x v="120"/>
    <x v="2"/>
  </r>
  <r>
    <x v="0"/>
    <x v="14"/>
    <x v="14"/>
    <x v="2"/>
    <x v="2"/>
    <x v="2"/>
    <x v="10"/>
    <x v="142"/>
    <x v="135"/>
    <x v="59"/>
    <x v="5"/>
    <x v="120"/>
    <x v="108"/>
    <x v="2"/>
  </r>
  <r>
    <x v="0"/>
    <x v="14"/>
    <x v="14"/>
    <x v="15"/>
    <x v="15"/>
    <x v="15"/>
    <x v="11"/>
    <x v="153"/>
    <x v="91"/>
    <x v="129"/>
    <x v="225"/>
    <x v="31"/>
    <x v="177"/>
    <x v="2"/>
  </r>
  <r>
    <x v="0"/>
    <x v="14"/>
    <x v="14"/>
    <x v="11"/>
    <x v="11"/>
    <x v="11"/>
    <x v="11"/>
    <x v="153"/>
    <x v="91"/>
    <x v="67"/>
    <x v="85"/>
    <x v="115"/>
    <x v="179"/>
    <x v="2"/>
  </r>
  <r>
    <x v="0"/>
    <x v="14"/>
    <x v="14"/>
    <x v="44"/>
    <x v="44"/>
    <x v="44"/>
    <x v="13"/>
    <x v="144"/>
    <x v="150"/>
    <x v="89"/>
    <x v="68"/>
    <x v="57"/>
    <x v="120"/>
    <x v="2"/>
  </r>
  <r>
    <x v="0"/>
    <x v="14"/>
    <x v="14"/>
    <x v="23"/>
    <x v="23"/>
    <x v="23"/>
    <x v="13"/>
    <x v="144"/>
    <x v="150"/>
    <x v="67"/>
    <x v="85"/>
    <x v="72"/>
    <x v="63"/>
    <x v="2"/>
  </r>
  <r>
    <x v="0"/>
    <x v="14"/>
    <x v="14"/>
    <x v="21"/>
    <x v="21"/>
    <x v="21"/>
    <x v="15"/>
    <x v="187"/>
    <x v="60"/>
    <x v="57"/>
    <x v="90"/>
    <x v="109"/>
    <x v="41"/>
    <x v="2"/>
  </r>
  <r>
    <x v="0"/>
    <x v="14"/>
    <x v="14"/>
    <x v="6"/>
    <x v="6"/>
    <x v="6"/>
    <x v="16"/>
    <x v="188"/>
    <x v="157"/>
    <x v="87"/>
    <x v="156"/>
    <x v="58"/>
    <x v="138"/>
    <x v="2"/>
  </r>
  <r>
    <x v="0"/>
    <x v="14"/>
    <x v="14"/>
    <x v="14"/>
    <x v="14"/>
    <x v="14"/>
    <x v="17"/>
    <x v="189"/>
    <x v="31"/>
    <x v="132"/>
    <x v="101"/>
    <x v="45"/>
    <x v="43"/>
    <x v="2"/>
  </r>
  <r>
    <x v="0"/>
    <x v="14"/>
    <x v="14"/>
    <x v="32"/>
    <x v="32"/>
    <x v="32"/>
    <x v="17"/>
    <x v="189"/>
    <x v="31"/>
    <x v="143"/>
    <x v="226"/>
    <x v="127"/>
    <x v="181"/>
    <x v="2"/>
  </r>
  <r>
    <x v="0"/>
    <x v="14"/>
    <x v="14"/>
    <x v="13"/>
    <x v="13"/>
    <x v="13"/>
    <x v="19"/>
    <x v="170"/>
    <x v="158"/>
    <x v="76"/>
    <x v="227"/>
    <x v="115"/>
    <x v="179"/>
    <x v="2"/>
  </r>
  <r>
    <x v="0"/>
    <x v="15"/>
    <x v="15"/>
    <x v="1"/>
    <x v="1"/>
    <x v="1"/>
    <x v="0"/>
    <x v="108"/>
    <x v="159"/>
    <x v="159"/>
    <x v="228"/>
    <x v="106"/>
    <x v="182"/>
    <x v="2"/>
  </r>
  <r>
    <x v="0"/>
    <x v="15"/>
    <x v="15"/>
    <x v="0"/>
    <x v="0"/>
    <x v="0"/>
    <x v="1"/>
    <x v="44"/>
    <x v="160"/>
    <x v="47"/>
    <x v="229"/>
    <x v="127"/>
    <x v="183"/>
    <x v="2"/>
  </r>
  <r>
    <x v="0"/>
    <x v="15"/>
    <x v="15"/>
    <x v="8"/>
    <x v="8"/>
    <x v="8"/>
    <x v="2"/>
    <x v="62"/>
    <x v="161"/>
    <x v="133"/>
    <x v="222"/>
    <x v="116"/>
    <x v="95"/>
    <x v="2"/>
  </r>
  <r>
    <x v="0"/>
    <x v="15"/>
    <x v="15"/>
    <x v="4"/>
    <x v="4"/>
    <x v="4"/>
    <x v="3"/>
    <x v="190"/>
    <x v="162"/>
    <x v="45"/>
    <x v="230"/>
    <x v="107"/>
    <x v="184"/>
    <x v="2"/>
  </r>
  <r>
    <x v="0"/>
    <x v="15"/>
    <x v="15"/>
    <x v="13"/>
    <x v="13"/>
    <x v="13"/>
    <x v="4"/>
    <x v="82"/>
    <x v="163"/>
    <x v="160"/>
    <x v="194"/>
    <x v="64"/>
    <x v="185"/>
    <x v="2"/>
  </r>
  <r>
    <x v="0"/>
    <x v="15"/>
    <x v="15"/>
    <x v="3"/>
    <x v="3"/>
    <x v="3"/>
    <x v="4"/>
    <x v="82"/>
    <x v="163"/>
    <x v="161"/>
    <x v="231"/>
    <x v="115"/>
    <x v="148"/>
    <x v="2"/>
  </r>
  <r>
    <x v="0"/>
    <x v="15"/>
    <x v="15"/>
    <x v="5"/>
    <x v="5"/>
    <x v="5"/>
    <x v="6"/>
    <x v="84"/>
    <x v="164"/>
    <x v="162"/>
    <x v="232"/>
    <x v="115"/>
    <x v="148"/>
    <x v="1"/>
  </r>
  <r>
    <x v="0"/>
    <x v="15"/>
    <x v="15"/>
    <x v="6"/>
    <x v="6"/>
    <x v="6"/>
    <x v="7"/>
    <x v="117"/>
    <x v="23"/>
    <x v="30"/>
    <x v="24"/>
    <x v="107"/>
    <x v="184"/>
    <x v="2"/>
  </r>
  <r>
    <x v="0"/>
    <x v="15"/>
    <x v="15"/>
    <x v="2"/>
    <x v="2"/>
    <x v="2"/>
    <x v="8"/>
    <x v="121"/>
    <x v="77"/>
    <x v="55"/>
    <x v="233"/>
    <x v="120"/>
    <x v="186"/>
    <x v="2"/>
  </r>
  <r>
    <x v="0"/>
    <x v="15"/>
    <x v="15"/>
    <x v="11"/>
    <x v="11"/>
    <x v="11"/>
    <x v="9"/>
    <x v="167"/>
    <x v="165"/>
    <x v="53"/>
    <x v="55"/>
    <x v="76"/>
    <x v="112"/>
    <x v="2"/>
  </r>
  <r>
    <x v="0"/>
    <x v="15"/>
    <x v="15"/>
    <x v="9"/>
    <x v="9"/>
    <x v="9"/>
    <x v="10"/>
    <x v="150"/>
    <x v="166"/>
    <x v="84"/>
    <x v="234"/>
    <x v="122"/>
    <x v="102"/>
    <x v="2"/>
  </r>
  <r>
    <x v="0"/>
    <x v="15"/>
    <x v="15"/>
    <x v="18"/>
    <x v="18"/>
    <x v="18"/>
    <x v="11"/>
    <x v="158"/>
    <x v="81"/>
    <x v="73"/>
    <x v="235"/>
    <x v="117"/>
    <x v="187"/>
    <x v="2"/>
  </r>
  <r>
    <x v="0"/>
    <x v="15"/>
    <x v="15"/>
    <x v="30"/>
    <x v="30"/>
    <x v="30"/>
    <x v="12"/>
    <x v="127"/>
    <x v="14"/>
    <x v="50"/>
    <x v="236"/>
    <x v="122"/>
    <x v="102"/>
    <x v="2"/>
  </r>
  <r>
    <x v="0"/>
    <x v="15"/>
    <x v="15"/>
    <x v="14"/>
    <x v="14"/>
    <x v="14"/>
    <x v="13"/>
    <x v="159"/>
    <x v="47"/>
    <x v="76"/>
    <x v="91"/>
    <x v="113"/>
    <x v="188"/>
    <x v="2"/>
  </r>
  <r>
    <x v="0"/>
    <x v="15"/>
    <x v="15"/>
    <x v="15"/>
    <x v="15"/>
    <x v="15"/>
    <x v="14"/>
    <x v="129"/>
    <x v="15"/>
    <x v="76"/>
    <x v="91"/>
    <x v="114"/>
    <x v="189"/>
    <x v="2"/>
  </r>
  <r>
    <x v="0"/>
    <x v="15"/>
    <x v="15"/>
    <x v="17"/>
    <x v="17"/>
    <x v="17"/>
    <x v="14"/>
    <x v="129"/>
    <x v="15"/>
    <x v="70"/>
    <x v="237"/>
    <x v="104"/>
    <x v="86"/>
    <x v="2"/>
  </r>
  <r>
    <x v="0"/>
    <x v="15"/>
    <x v="15"/>
    <x v="10"/>
    <x v="10"/>
    <x v="10"/>
    <x v="16"/>
    <x v="130"/>
    <x v="33"/>
    <x v="127"/>
    <x v="105"/>
    <x v="70"/>
    <x v="77"/>
    <x v="2"/>
  </r>
  <r>
    <x v="0"/>
    <x v="15"/>
    <x v="15"/>
    <x v="7"/>
    <x v="7"/>
    <x v="7"/>
    <x v="16"/>
    <x v="130"/>
    <x v="33"/>
    <x v="128"/>
    <x v="238"/>
    <x v="76"/>
    <x v="112"/>
    <x v="2"/>
  </r>
  <r>
    <x v="0"/>
    <x v="15"/>
    <x v="15"/>
    <x v="36"/>
    <x v="36"/>
    <x v="36"/>
    <x v="16"/>
    <x v="130"/>
    <x v="33"/>
    <x v="139"/>
    <x v="239"/>
    <x v="115"/>
    <x v="148"/>
    <x v="2"/>
  </r>
  <r>
    <x v="0"/>
    <x v="15"/>
    <x v="15"/>
    <x v="21"/>
    <x v="21"/>
    <x v="21"/>
    <x v="19"/>
    <x v="152"/>
    <x v="50"/>
    <x v="66"/>
    <x v="126"/>
    <x v="63"/>
    <x v="190"/>
    <x v="2"/>
  </r>
  <r>
    <x v="0"/>
    <x v="16"/>
    <x v="16"/>
    <x v="0"/>
    <x v="0"/>
    <x v="0"/>
    <x v="0"/>
    <x v="191"/>
    <x v="167"/>
    <x v="163"/>
    <x v="240"/>
    <x v="122"/>
    <x v="90"/>
    <x v="2"/>
  </r>
  <r>
    <x v="0"/>
    <x v="16"/>
    <x v="16"/>
    <x v="10"/>
    <x v="10"/>
    <x v="10"/>
    <x v="1"/>
    <x v="85"/>
    <x v="168"/>
    <x v="112"/>
    <x v="241"/>
    <x v="64"/>
    <x v="191"/>
    <x v="2"/>
  </r>
  <r>
    <x v="0"/>
    <x v="16"/>
    <x v="16"/>
    <x v="8"/>
    <x v="8"/>
    <x v="8"/>
    <x v="2"/>
    <x v="68"/>
    <x v="75"/>
    <x v="33"/>
    <x v="233"/>
    <x v="71"/>
    <x v="136"/>
    <x v="2"/>
  </r>
  <r>
    <x v="0"/>
    <x v="16"/>
    <x v="16"/>
    <x v="12"/>
    <x v="12"/>
    <x v="12"/>
    <x v="3"/>
    <x v="69"/>
    <x v="117"/>
    <x v="101"/>
    <x v="242"/>
    <x v="31"/>
    <x v="70"/>
    <x v="2"/>
  </r>
  <r>
    <x v="0"/>
    <x v="16"/>
    <x v="16"/>
    <x v="2"/>
    <x v="2"/>
    <x v="2"/>
    <x v="3"/>
    <x v="69"/>
    <x v="117"/>
    <x v="164"/>
    <x v="25"/>
    <x v="123"/>
    <x v="164"/>
    <x v="2"/>
  </r>
  <r>
    <x v="0"/>
    <x v="16"/>
    <x v="16"/>
    <x v="3"/>
    <x v="3"/>
    <x v="3"/>
    <x v="5"/>
    <x v="70"/>
    <x v="169"/>
    <x v="58"/>
    <x v="26"/>
    <x v="105"/>
    <x v="152"/>
    <x v="2"/>
  </r>
  <r>
    <x v="0"/>
    <x v="16"/>
    <x v="16"/>
    <x v="6"/>
    <x v="6"/>
    <x v="6"/>
    <x v="6"/>
    <x v="72"/>
    <x v="24"/>
    <x v="155"/>
    <x v="243"/>
    <x v="57"/>
    <x v="126"/>
    <x v="2"/>
  </r>
  <r>
    <x v="0"/>
    <x v="16"/>
    <x v="16"/>
    <x v="9"/>
    <x v="9"/>
    <x v="9"/>
    <x v="7"/>
    <x v="73"/>
    <x v="77"/>
    <x v="51"/>
    <x v="63"/>
    <x v="122"/>
    <x v="90"/>
    <x v="2"/>
  </r>
  <r>
    <x v="0"/>
    <x v="16"/>
    <x v="16"/>
    <x v="14"/>
    <x v="14"/>
    <x v="14"/>
    <x v="8"/>
    <x v="156"/>
    <x v="55"/>
    <x v="158"/>
    <x v="244"/>
    <x v="111"/>
    <x v="192"/>
    <x v="2"/>
  </r>
  <r>
    <x v="0"/>
    <x v="16"/>
    <x v="16"/>
    <x v="11"/>
    <x v="11"/>
    <x v="11"/>
    <x v="9"/>
    <x v="186"/>
    <x v="170"/>
    <x v="165"/>
    <x v="245"/>
    <x v="73"/>
    <x v="141"/>
    <x v="2"/>
  </r>
  <r>
    <x v="0"/>
    <x v="16"/>
    <x v="16"/>
    <x v="46"/>
    <x v="46"/>
    <x v="46"/>
    <x v="9"/>
    <x v="186"/>
    <x v="170"/>
    <x v="123"/>
    <x v="246"/>
    <x v="57"/>
    <x v="126"/>
    <x v="2"/>
  </r>
  <r>
    <x v="0"/>
    <x v="16"/>
    <x v="16"/>
    <x v="5"/>
    <x v="5"/>
    <x v="5"/>
    <x v="11"/>
    <x v="147"/>
    <x v="106"/>
    <x v="135"/>
    <x v="247"/>
    <x v="116"/>
    <x v="4"/>
    <x v="2"/>
  </r>
  <r>
    <x v="0"/>
    <x v="16"/>
    <x v="16"/>
    <x v="4"/>
    <x v="4"/>
    <x v="4"/>
    <x v="12"/>
    <x v="134"/>
    <x v="26"/>
    <x v="74"/>
    <x v="148"/>
    <x v="71"/>
    <x v="136"/>
    <x v="2"/>
  </r>
  <r>
    <x v="0"/>
    <x v="16"/>
    <x v="16"/>
    <x v="1"/>
    <x v="1"/>
    <x v="1"/>
    <x v="13"/>
    <x v="148"/>
    <x v="45"/>
    <x v="50"/>
    <x v="57"/>
    <x v="74"/>
    <x v="15"/>
    <x v="2"/>
  </r>
  <r>
    <x v="0"/>
    <x v="16"/>
    <x v="16"/>
    <x v="19"/>
    <x v="19"/>
    <x v="19"/>
    <x v="13"/>
    <x v="148"/>
    <x v="45"/>
    <x v="135"/>
    <x v="247"/>
    <x v="120"/>
    <x v="193"/>
    <x v="2"/>
  </r>
  <r>
    <x v="0"/>
    <x v="16"/>
    <x v="16"/>
    <x v="15"/>
    <x v="15"/>
    <x v="15"/>
    <x v="15"/>
    <x v="126"/>
    <x v="171"/>
    <x v="87"/>
    <x v="225"/>
    <x v="54"/>
    <x v="194"/>
    <x v="2"/>
  </r>
  <r>
    <x v="0"/>
    <x v="16"/>
    <x v="16"/>
    <x v="17"/>
    <x v="17"/>
    <x v="17"/>
    <x v="15"/>
    <x v="126"/>
    <x v="171"/>
    <x v="73"/>
    <x v="238"/>
    <x v="74"/>
    <x v="15"/>
    <x v="2"/>
  </r>
  <r>
    <x v="0"/>
    <x v="16"/>
    <x v="16"/>
    <x v="7"/>
    <x v="7"/>
    <x v="7"/>
    <x v="17"/>
    <x v="127"/>
    <x v="136"/>
    <x v="147"/>
    <x v="248"/>
    <x v="31"/>
    <x v="70"/>
    <x v="2"/>
  </r>
  <r>
    <x v="0"/>
    <x v="16"/>
    <x v="16"/>
    <x v="36"/>
    <x v="36"/>
    <x v="36"/>
    <x v="18"/>
    <x v="128"/>
    <x v="157"/>
    <x v="112"/>
    <x v="241"/>
    <x v="45"/>
    <x v="195"/>
    <x v="2"/>
  </r>
  <r>
    <x v="0"/>
    <x v="16"/>
    <x v="16"/>
    <x v="16"/>
    <x v="16"/>
    <x v="16"/>
    <x v="19"/>
    <x v="168"/>
    <x v="49"/>
    <x v="138"/>
    <x v="249"/>
    <x v="68"/>
    <x v="196"/>
    <x v="2"/>
  </r>
  <r>
    <x v="0"/>
    <x v="17"/>
    <x v="17"/>
    <x v="1"/>
    <x v="1"/>
    <x v="1"/>
    <x v="0"/>
    <x v="180"/>
    <x v="172"/>
    <x v="83"/>
    <x v="250"/>
    <x v="130"/>
    <x v="197"/>
    <x v="2"/>
  </r>
  <r>
    <x v="0"/>
    <x v="17"/>
    <x v="17"/>
    <x v="45"/>
    <x v="45"/>
    <x v="45"/>
    <x v="1"/>
    <x v="192"/>
    <x v="173"/>
    <x v="166"/>
    <x v="251"/>
    <x v="70"/>
    <x v="198"/>
    <x v="2"/>
  </r>
  <r>
    <x v="0"/>
    <x v="17"/>
    <x v="17"/>
    <x v="0"/>
    <x v="0"/>
    <x v="0"/>
    <x v="2"/>
    <x v="193"/>
    <x v="174"/>
    <x v="167"/>
    <x v="252"/>
    <x v="105"/>
    <x v="199"/>
    <x v="2"/>
  </r>
  <r>
    <x v="0"/>
    <x v="17"/>
    <x v="17"/>
    <x v="3"/>
    <x v="3"/>
    <x v="3"/>
    <x v="3"/>
    <x v="183"/>
    <x v="153"/>
    <x v="168"/>
    <x v="253"/>
    <x v="127"/>
    <x v="200"/>
    <x v="2"/>
  </r>
  <r>
    <x v="0"/>
    <x v="17"/>
    <x v="17"/>
    <x v="9"/>
    <x v="9"/>
    <x v="9"/>
    <x v="4"/>
    <x v="185"/>
    <x v="175"/>
    <x v="102"/>
    <x v="247"/>
    <x v="84"/>
    <x v="201"/>
    <x v="2"/>
  </r>
  <r>
    <x v="0"/>
    <x v="17"/>
    <x v="17"/>
    <x v="11"/>
    <x v="11"/>
    <x v="11"/>
    <x v="5"/>
    <x v="194"/>
    <x v="176"/>
    <x v="169"/>
    <x v="214"/>
    <x v="118"/>
    <x v="45"/>
    <x v="2"/>
  </r>
  <r>
    <x v="0"/>
    <x v="17"/>
    <x v="17"/>
    <x v="4"/>
    <x v="4"/>
    <x v="4"/>
    <x v="6"/>
    <x v="147"/>
    <x v="76"/>
    <x v="135"/>
    <x v="254"/>
    <x v="116"/>
    <x v="59"/>
    <x v="2"/>
  </r>
  <r>
    <x v="0"/>
    <x v="17"/>
    <x v="17"/>
    <x v="2"/>
    <x v="2"/>
    <x v="2"/>
    <x v="7"/>
    <x v="134"/>
    <x v="68"/>
    <x v="52"/>
    <x v="255"/>
    <x v="123"/>
    <x v="164"/>
    <x v="2"/>
  </r>
  <r>
    <x v="0"/>
    <x v="17"/>
    <x v="17"/>
    <x v="8"/>
    <x v="8"/>
    <x v="8"/>
    <x v="8"/>
    <x v="122"/>
    <x v="177"/>
    <x v="141"/>
    <x v="256"/>
    <x v="58"/>
    <x v="202"/>
    <x v="2"/>
  </r>
  <r>
    <x v="0"/>
    <x v="17"/>
    <x v="17"/>
    <x v="22"/>
    <x v="22"/>
    <x v="22"/>
    <x v="9"/>
    <x v="149"/>
    <x v="170"/>
    <x v="96"/>
    <x v="257"/>
    <x v="72"/>
    <x v="148"/>
    <x v="2"/>
  </r>
  <r>
    <x v="0"/>
    <x v="17"/>
    <x v="17"/>
    <x v="6"/>
    <x v="6"/>
    <x v="6"/>
    <x v="10"/>
    <x v="123"/>
    <x v="134"/>
    <x v="165"/>
    <x v="258"/>
    <x v="57"/>
    <x v="66"/>
    <x v="2"/>
  </r>
  <r>
    <x v="0"/>
    <x v="17"/>
    <x v="17"/>
    <x v="44"/>
    <x v="44"/>
    <x v="44"/>
    <x v="11"/>
    <x v="126"/>
    <x v="8"/>
    <x v="50"/>
    <x v="259"/>
    <x v="127"/>
    <x v="200"/>
    <x v="2"/>
  </r>
  <r>
    <x v="0"/>
    <x v="17"/>
    <x v="17"/>
    <x v="5"/>
    <x v="5"/>
    <x v="5"/>
    <x v="12"/>
    <x v="158"/>
    <x v="178"/>
    <x v="88"/>
    <x v="260"/>
    <x v="115"/>
    <x v="89"/>
    <x v="2"/>
  </r>
  <r>
    <x v="0"/>
    <x v="17"/>
    <x v="17"/>
    <x v="10"/>
    <x v="10"/>
    <x v="10"/>
    <x v="13"/>
    <x v="127"/>
    <x v="45"/>
    <x v="87"/>
    <x v="75"/>
    <x v="112"/>
    <x v="188"/>
    <x v="2"/>
  </r>
  <r>
    <x v="0"/>
    <x v="17"/>
    <x v="17"/>
    <x v="20"/>
    <x v="20"/>
    <x v="20"/>
    <x v="14"/>
    <x v="128"/>
    <x v="10"/>
    <x v="89"/>
    <x v="261"/>
    <x v="76"/>
    <x v="187"/>
    <x v="2"/>
  </r>
  <r>
    <x v="0"/>
    <x v="17"/>
    <x v="17"/>
    <x v="14"/>
    <x v="14"/>
    <x v="14"/>
    <x v="15"/>
    <x v="130"/>
    <x v="179"/>
    <x v="87"/>
    <x v="75"/>
    <x v="40"/>
    <x v="14"/>
    <x v="2"/>
  </r>
  <r>
    <x v="0"/>
    <x v="17"/>
    <x v="17"/>
    <x v="47"/>
    <x v="47"/>
    <x v="47"/>
    <x v="16"/>
    <x v="152"/>
    <x v="180"/>
    <x v="170"/>
    <x v="262"/>
    <x v="22"/>
    <x v="203"/>
    <x v="2"/>
  </r>
  <r>
    <x v="0"/>
    <x v="17"/>
    <x v="17"/>
    <x v="33"/>
    <x v="33"/>
    <x v="33"/>
    <x v="17"/>
    <x v="136"/>
    <x v="126"/>
    <x v="76"/>
    <x v="218"/>
    <x v="68"/>
    <x v="204"/>
    <x v="2"/>
  </r>
  <r>
    <x v="0"/>
    <x v="17"/>
    <x v="17"/>
    <x v="24"/>
    <x v="24"/>
    <x v="24"/>
    <x v="17"/>
    <x v="136"/>
    <x v="126"/>
    <x v="145"/>
    <x v="263"/>
    <x v="114"/>
    <x v="52"/>
    <x v="2"/>
  </r>
  <r>
    <x v="0"/>
    <x v="17"/>
    <x v="17"/>
    <x v="15"/>
    <x v="15"/>
    <x v="15"/>
    <x v="19"/>
    <x v="138"/>
    <x v="16"/>
    <x v="76"/>
    <x v="218"/>
    <x v="117"/>
    <x v="16"/>
    <x v="2"/>
  </r>
  <r>
    <x v="0"/>
    <x v="18"/>
    <x v="18"/>
    <x v="0"/>
    <x v="0"/>
    <x v="0"/>
    <x v="0"/>
    <x v="195"/>
    <x v="181"/>
    <x v="171"/>
    <x v="264"/>
    <x v="115"/>
    <x v="205"/>
    <x v="2"/>
  </r>
  <r>
    <x v="0"/>
    <x v="18"/>
    <x v="18"/>
    <x v="1"/>
    <x v="1"/>
    <x v="1"/>
    <x v="1"/>
    <x v="196"/>
    <x v="182"/>
    <x v="146"/>
    <x v="265"/>
    <x v="59"/>
    <x v="206"/>
    <x v="2"/>
  </r>
  <r>
    <x v="0"/>
    <x v="18"/>
    <x v="18"/>
    <x v="2"/>
    <x v="2"/>
    <x v="2"/>
    <x v="2"/>
    <x v="85"/>
    <x v="183"/>
    <x v="172"/>
    <x v="266"/>
    <x v="121"/>
    <x v="207"/>
    <x v="2"/>
  </r>
  <r>
    <x v="0"/>
    <x v="18"/>
    <x v="18"/>
    <x v="9"/>
    <x v="9"/>
    <x v="9"/>
    <x v="3"/>
    <x v="88"/>
    <x v="146"/>
    <x v="51"/>
    <x v="267"/>
    <x v="118"/>
    <x v="208"/>
    <x v="2"/>
  </r>
  <r>
    <x v="0"/>
    <x v="18"/>
    <x v="18"/>
    <x v="4"/>
    <x v="4"/>
    <x v="4"/>
    <x v="4"/>
    <x v="147"/>
    <x v="90"/>
    <x v="72"/>
    <x v="243"/>
    <x v="57"/>
    <x v="95"/>
    <x v="2"/>
  </r>
  <r>
    <x v="0"/>
    <x v="18"/>
    <x v="18"/>
    <x v="12"/>
    <x v="12"/>
    <x v="12"/>
    <x v="5"/>
    <x v="148"/>
    <x v="148"/>
    <x v="139"/>
    <x v="216"/>
    <x v="74"/>
    <x v="161"/>
    <x v="2"/>
  </r>
  <r>
    <x v="0"/>
    <x v="18"/>
    <x v="18"/>
    <x v="3"/>
    <x v="3"/>
    <x v="3"/>
    <x v="6"/>
    <x v="149"/>
    <x v="55"/>
    <x v="96"/>
    <x v="247"/>
    <x v="72"/>
    <x v="89"/>
    <x v="2"/>
  </r>
  <r>
    <x v="0"/>
    <x v="18"/>
    <x v="18"/>
    <x v="6"/>
    <x v="6"/>
    <x v="6"/>
    <x v="7"/>
    <x v="135"/>
    <x v="125"/>
    <x v="136"/>
    <x v="268"/>
    <x v="116"/>
    <x v="209"/>
    <x v="2"/>
  </r>
  <r>
    <x v="0"/>
    <x v="18"/>
    <x v="18"/>
    <x v="17"/>
    <x v="17"/>
    <x v="17"/>
    <x v="8"/>
    <x v="150"/>
    <x v="184"/>
    <x v="158"/>
    <x v="269"/>
    <x v="40"/>
    <x v="210"/>
    <x v="2"/>
  </r>
  <r>
    <x v="0"/>
    <x v="18"/>
    <x v="18"/>
    <x v="11"/>
    <x v="11"/>
    <x v="11"/>
    <x v="9"/>
    <x v="158"/>
    <x v="26"/>
    <x v="118"/>
    <x v="88"/>
    <x v="23"/>
    <x v="211"/>
    <x v="2"/>
  </r>
  <r>
    <x v="0"/>
    <x v="18"/>
    <x v="18"/>
    <x v="5"/>
    <x v="5"/>
    <x v="5"/>
    <x v="10"/>
    <x v="159"/>
    <x v="150"/>
    <x v="173"/>
    <x v="72"/>
    <x v="42"/>
    <x v="212"/>
    <x v="2"/>
  </r>
  <r>
    <x v="0"/>
    <x v="18"/>
    <x v="18"/>
    <x v="41"/>
    <x v="41"/>
    <x v="41"/>
    <x v="11"/>
    <x v="168"/>
    <x v="185"/>
    <x v="87"/>
    <x v="270"/>
    <x v="118"/>
    <x v="208"/>
    <x v="0"/>
  </r>
  <r>
    <x v="0"/>
    <x v="18"/>
    <x v="18"/>
    <x v="23"/>
    <x v="23"/>
    <x v="23"/>
    <x v="11"/>
    <x v="168"/>
    <x v="185"/>
    <x v="71"/>
    <x v="200"/>
    <x v="127"/>
    <x v="61"/>
    <x v="2"/>
  </r>
  <r>
    <x v="0"/>
    <x v="18"/>
    <x v="18"/>
    <x v="10"/>
    <x v="10"/>
    <x v="10"/>
    <x v="13"/>
    <x v="151"/>
    <x v="59"/>
    <x v="131"/>
    <x v="14"/>
    <x v="65"/>
    <x v="213"/>
    <x v="2"/>
  </r>
  <r>
    <x v="0"/>
    <x v="18"/>
    <x v="18"/>
    <x v="8"/>
    <x v="8"/>
    <x v="8"/>
    <x v="14"/>
    <x v="131"/>
    <x v="171"/>
    <x v="88"/>
    <x v="271"/>
    <x v="71"/>
    <x v="186"/>
    <x v="2"/>
  </r>
  <r>
    <x v="0"/>
    <x v="18"/>
    <x v="18"/>
    <x v="14"/>
    <x v="14"/>
    <x v="14"/>
    <x v="15"/>
    <x v="152"/>
    <x v="14"/>
    <x v="89"/>
    <x v="272"/>
    <x v="59"/>
    <x v="206"/>
    <x v="2"/>
  </r>
  <r>
    <x v="0"/>
    <x v="18"/>
    <x v="18"/>
    <x v="7"/>
    <x v="7"/>
    <x v="7"/>
    <x v="15"/>
    <x v="152"/>
    <x v="14"/>
    <x v="67"/>
    <x v="75"/>
    <x v="127"/>
    <x v="61"/>
    <x v="2"/>
  </r>
  <r>
    <x v="0"/>
    <x v="18"/>
    <x v="18"/>
    <x v="18"/>
    <x v="18"/>
    <x v="18"/>
    <x v="17"/>
    <x v="136"/>
    <x v="110"/>
    <x v="144"/>
    <x v="215"/>
    <x v="115"/>
    <x v="205"/>
    <x v="2"/>
  </r>
  <r>
    <x v="0"/>
    <x v="18"/>
    <x v="18"/>
    <x v="15"/>
    <x v="15"/>
    <x v="15"/>
    <x v="18"/>
    <x v="139"/>
    <x v="33"/>
    <x v="57"/>
    <x v="17"/>
    <x v="122"/>
    <x v="125"/>
    <x v="2"/>
  </r>
  <r>
    <x v="0"/>
    <x v="18"/>
    <x v="18"/>
    <x v="36"/>
    <x v="36"/>
    <x v="36"/>
    <x v="18"/>
    <x v="139"/>
    <x v="33"/>
    <x v="158"/>
    <x v="269"/>
    <x v="42"/>
    <x v="212"/>
    <x v="2"/>
  </r>
  <r>
    <x v="0"/>
    <x v="19"/>
    <x v="19"/>
    <x v="1"/>
    <x v="1"/>
    <x v="1"/>
    <x v="0"/>
    <x v="197"/>
    <x v="186"/>
    <x v="174"/>
    <x v="273"/>
    <x v="131"/>
    <x v="214"/>
    <x v="2"/>
  </r>
  <r>
    <x v="0"/>
    <x v="19"/>
    <x v="19"/>
    <x v="0"/>
    <x v="0"/>
    <x v="0"/>
    <x v="1"/>
    <x v="198"/>
    <x v="181"/>
    <x v="175"/>
    <x v="274"/>
    <x v="37"/>
    <x v="215"/>
    <x v="2"/>
  </r>
  <r>
    <x v="0"/>
    <x v="19"/>
    <x v="19"/>
    <x v="8"/>
    <x v="8"/>
    <x v="8"/>
    <x v="2"/>
    <x v="199"/>
    <x v="187"/>
    <x v="176"/>
    <x v="275"/>
    <x v="115"/>
    <x v="66"/>
    <x v="2"/>
  </r>
  <r>
    <x v="0"/>
    <x v="19"/>
    <x v="19"/>
    <x v="3"/>
    <x v="3"/>
    <x v="3"/>
    <x v="3"/>
    <x v="200"/>
    <x v="188"/>
    <x v="63"/>
    <x v="276"/>
    <x v="70"/>
    <x v="216"/>
    <x v="2"/>
  </r>
  <r>
    <x v="0"/>
    <x v="19"/>
    <x v="19"/>
    <x v="5"/>
    <x v="5"/>
    <x v="5"/>
    <x v="4"/>
    <x v="179"/>
    <x v="89"/>
    <x v="151"/>
    <x v="277"/>
    <x v="118"/>
    <x v="217"/>
    <x v="2"/>
  </r>
  <r>
    <x v="0"/>
    <x v="19"/>
    <x v="19"/>
    <x v="2"/>
    <x v="2"/>
    <x v="2"/>
    <x v="5"/>
    <x v="48"/>
    <x v="176"/>
    <x v="114"/>
    <x v="278"/>
    <x v="42"/>
    <x v="193"/>
    <x v="2"/>
  </r>
  <r>
    <x v="0"/>
    <x v="19"/>
    <x v="19"/>
    <x v="4"/>
    <x v="4"/>
    <x v="4"/>
    <x v="6"/>
    <x v="201"/>
    <x v="68"/>
    <x v="81"/>
    <x v="279"/>
    <x v="105"/>
    <x v="130"/>
    <x v="2"/>
  </r>
  <r>
    <x v="0"/>
    <x v="19"/>
    <x v="19"/>
    <x v="6"/>
    <x v="6"/>
    <x v="6"/>
    <x v="7"/>
    <x v="202"/>
    <x v="189"/>
    <x v="177"/>
    <x v="254"/>
    <x v="47"/>
    <x v="168"/>
    <x v="2"/>
  </r>
  <r>
    <x v="0"/>
    <x v="19"/>
    <x v="19"/>
    <x v="7"/>
    <x v="7"/>
    <x v="7"/>
    <x v="8"/>
    <x v="203"/>
    <x v="148"/>
    <x v="178"/>
    <x v="242"/>
    <x v="66"/>
    <x v="218"/>
    <x v="2"/>
  </r>
  <r>
    <x v="0"/>
    <x v="19"/>
    <x v="19"/>
    <x v="10"/>
    <x v="10"/>
    <x v="10"/>
    <x v="9"/>
    <x v="204"/>
    <x v="77"/>
    <x v="53"/>
    <x v="280"/>
    <x v="132"/>
    <x v="219"/>
    <x v="2"/>
  </r>
  <r>
    <x v="0"/>
    <x v="19"/>
    <x v="19"/>
    <x v="13"/>
    <x v="13"/>
    <x v="13"/>
    <x v="10"/>
    <x v="205"/>
    <x v="55"/>
    <x v="75"/>
    <x v="140"/>
    <x v="133"/>
    <x v="192"/>
    <x v="2"/>
  </r>
  <r>
    <x v="0"/>
    <x v="19"/>
    <x v="19"/>
    <x v="19"/>
    <x v="19"/>
    <x v="19"/>
    <x v="11"/>
    <x v="206"/>
    <x v="190"/>
    <x v="45"/>
    <x v="167"/>
    <x v="74"/>
    <x v="173"/>
    <x v="2"/>
  </r>
  <r>
    <x v="0"/>
    <x v="19"/>
    <x v="19"/>
    <x v="14"/>
    <x v="14"/>
    <x v="14"/>
    <x v="12"/>
    <x v="120"/>
    <x v="27"/>
    <x v="142"/>
    <x v="281"/>
    <x v="53"/>
    <x v="189"/>
    <x v="2"/>
  </r>
  <r>
    <x v="0"/>
    <x v="19"/>
    <x v="19"/>
    <x v="17"/>
    <x v="17"/>
    <x v="17"/>
    <x v="13"/>
    <x v="53"/>
    <x v="46"/>
    <x v="51"/>
    <x v="120"/>
    <x v="67"/>
    <x v="220"/>
    <x v="2"/>
  </r>
  <r>
    <x v="0"/>
    <x v="19"/>
    <x v="19"/>
    <x v="16"/>
    <x v="16"/>
    <x v="16"/>
    <x v="14"/>
    <x v="54"/>
    <x v="179"/>
    <x v="128"/>
    <x v="163"/>
    <x v="62"/>
    <x v="221"/>
    <x v="2"/>
  </r>
  <r>
    <x v="0"/>
    <x v="19"/>
    <x v="19"/>
    <x v="11"/>
    <x v="11"/>
    <x v="11"/>
    <x v="14"/>
    <x v="54"/>
    <x v="179"/>
    <x v="155"/>
    <x v="38"/>
    <x v="84"/>
    <x v="165"/>
    <x v="2"/>
  </r>
  <r>
    <x v="0"/>
    <x v="19"/>
    <x v="19"/>
    <x v="15"/>
    <x v="15"/>
    <x v="15"/>
    <x v="16"/>
    <x v="207"/>
    <x v="191"/>
    <x v="39"/>
    <x v="282"/>
    <x v="134"/>
    <x v="222"/>
    <x v="2"/>
  </r>
  <r>
    <x v="0"/>
    <x v="19"/>
    <x v="19"/>
    <x v="36"/>
    <x v="36"/>
    <x v="36"/>
    <x v="17"/>
    <x v="82"/>
    <x v="60"/>
    <x v="56"/>
    <x v="283"/>
    <x v="65"/>
    <x v="223"/>
    <x v="2"/>
  </r>
  <r>
    <x v="0"/>
    <x v="19"/>
    <x v="19"/>
    <x v="12"/>
    <x v="12"/>
    <x v="12"/>
    <x v="18"/>
    <x v="145"/>
    <x v="92"/>
    <x v="179"/>
    <x v="176"/>
    <x v="130"/>
    <x v="179"/>
    <x v="2"/>
  </r>
  <r>
    <x v="0"/>
    <x v="19"/>
    <x v="19"/>
    <x v="9"/>
    <x v="9"/>
    <x v="9"/>
    <x v="19"/>
    <x v="208"/>
    <x v="31"/>
    <x v="156"/>
    <x v="269"/>
    <x v="70"/>
    <x v="216"/>
    <x v="2"/>
  </r>
  <r>
    <x v="0"/>
    <x v="20"/>
    <x v="20"/>
    <x v="0"/>
    <x v="0"/>
    <x v="0"/>
    <x v="0"/>
    <x v="209"/>
    <x v="83"/>
    <x v="180"/>
    <x v="229"/>
    <x v="65"/>
    <x v="224"/>
    <x v="2"/>
  </r>
  <r>
    <x v="0"/>
    <x v="20"/>
    <x v="20"/>
    <x v="1"/>
    <x v="1"/>
    <x v="1"/>
    <x v="1"/>
    <x v="199"/>
    <x v="192"/>
    <x v="181"/>
    <x v="284"/>
    <x v="39"/>
    <x v="225"/>
    <x v="2"/>
  </r>
  <r>
    <x v="0"/>
    <x v="20"/>
    <x v="20"/>
    <x v="2"/>
    <x v="2"/>
    <x v="2"/>
    <x v="2"/>
    <x v="55"/>
    <x v="193"/>
    <x v="178"/>
    <x v="285"/>
    <x v="57"/>
    <x v="30"/>
    <x v="2"/>
  </r>
  <r>
    <x v="0"/>
    <x v="20"/>
    <x v="20"/>
    <x v="7"/>
    <x v="7"/>
    <x v="7"/>
    <x v="3"/>
    <x v="65"/>
    <x v="3"/>
    <x v="34"/>
    <x v="286"/>
    <x v="130"/>
    <x v="226"/>
    <x v="2"/>
  </r>
  <r>
    <x v="0"/>
    <x v="20"/>
    <x v="20"/>
    <x v="6"/>
    <x v="6"/>
    <x v="6"/>
    <x v="4"/>
    <x v="210"/>
    <x v="67"/>
    <x v="36"/>
    <x v="287"/>
    <x v="72"/>
    <x v="227"/>
    <x v="2"/>
  </r>
  <r>
    <x v="0"/>
    <x v="20"/>
    <x v="20"/>
    <x v="5"/>
    <x v="5"/>
    <x v="5"/>
    <x v="5"/>
    <x v="88"/>
    <x v="194"/>
    <x v="156"/>
    <x v="288"/>
    <x v="47"/>
    <x v="3"/>
    <x v="2"/>
  </r>
  <r>
    <x v="0"/>
    <x v="20"/>
    <x v="20"/>
    <x v="3"/>
    <x v="3"/>
    <x v="3"/>
    <x v="6"/>
    <x v="71"/>
    <x v="56"/>
    <x v="182"/>
    <x v="203"/>
    <x v="107"/>
    <x v="74"/>
    <x v="2"/>
  </r>
  <r>
    <x v="0"/>
    <x v="20"/>
    <x v="20"/>
    <x v="10"/>
    <x v="10"/>
    <x v="10"/>
    <x v="7"/>
    <x v="133"/>
    <x v="150"/>
    <x v="138"/>
    <x v="15"/>
    <x v="41"/>
    <x v="177"/>
    <x v="2"/>
  </r>
  <r>
    <x v="0"/>
    <x v="20"/>
    <x v="20"/>
    <x v="12"/>
    <x v="12"/>
    <x v="12"/>
    <x v="8"/>
    <x v="211"/>
    <x v="27"/>
    <x v="173"/>
    <x v="289"/>
    <x v="118"/>
    <x v="228"/>
    <x v="2"/>
  </r>
  <r>
    <x v="0"/>
    <x v="20"/>
    <x v="20"/>
    <x v="48"/>
    <x v="48"/>
    <x v="48"/>
    <x v="9"/>
    <x v="134"/>
    <x v="58"/>
    <x v="170"/>
    <x v="262"/>
    <x v="116"/>
    <x v="44"/>
    <x v="2"/>
  </r>
  <r>
    <x v="0"/>
    <x v="20"/>
    <x v="20"/>
    <x v="4"/>
    <x v="4"/>
    <x v="4"/>
    <x v="10"/>
    <x v="167"/>
    <x v="179"/>
    <x v="51"/>
    <x v="290"/>
    <x v="120"/>
    <x v="73"/>
    <x v="2"/>
  </r>
  <r>
    <x v="0"/>
    <x v="20"/>
    <x v="20"/>
    <x v="9"/>
    <x v="9"/>
    <x v="9"/>
    <x v="11"/>
    <x v="135"/>
    <x v="171"/>
    <x v="84"/>
    <x v="107"/>
    <x v="63"/>
    <x v="229"/>
    <x v="2"/>
  </r>
  <r>
    <x v="0"/>
    <x v="20"/>
    <x v="20"/>
    <x v="16"/>
    <x v="16"/>
    <x v="16"/>
    <x v="12"/>
    <x v="123"/>
    <x v="92"/>
    <x v="131"/>
    <x v="36"/>
    <x v="22"/>
    <x v="222"/>
    <x v="2"/>
  </r>
  <r>
    <x v="0"/>
    <x v="20"/>
    <x v="20"/>
    <x v="8"/>
    <x v="8"/>
    <x v="8"/>
    <x v="12"/>
    <x v="123"/>
    <x v="92"/>
    <x v="157"/>
    <x v="242"/>
    <x v="120"/>
    <x v="73"/>
    <x v="2"/>
  </r>
  <r>
    <x v="0"/>
    <x v="20"/>
    <x v="20"/>
    <x v="19"/>
    <x v="19"/>
    <x v="19"/>
    <x v="12"/>
    <x v="123"/>
    <x v="92"/>
    <x v="118"/>
    <x v="234"/>
    <x v="122"/>
    <x v="27"/>
    <x v="2"/>
  </r>
  <r>
    <x v="0"/>
    <x v="20"/>
    <x v="20"/>
    <x v="15"/>
    <x v="15"/>
    <x v="15"/>
    <x v="15"/>
    <x v="124"/>
    <x v="136"/>
    <x v="131"/>
    <x v="36"/>
    <x v="113"/>
    <x v="99"/>
    <x v="2"/>
  </r>
  <r>
    <x v="0"/>
    <x v="20"/>
    <x v="20"/>
    <x v="36"/>
    <x v="36"/>
    <x v="36"/>
    <x v="16"/>
    <x v="126"/>
    <x v="15"/>
    <x v="117"/>
    <x v="178"/>
    <x v="72"/>
    <x v="227"/>
    <x v="2"/>
  </r>
  <r>
    <x v="0"/>
    <x v="20"/>
    <x v="20"/>
    <x v="29"/>
    <x v="29"/>
    <x v="29"/>
    <x v="17"/>
    <x v="158"/>
    <x v="16"/>
    <x v="67"/>
    <x v="126"/>
    <x v="56"/>
    <x v="230"/>
    <x v="2"/>
  </r>
  <r>
    <x v="0"/>
    <x v="20"/>
    <x v="20"/>
    <x v="14"/>
    <x v="14"/>
    <x v="14"/>
    <x v="18"/>
    <x v="160"/>
    <x v="82"/>
    <x v="57"/>
    <x v="52"/>
    <x v="74"/>
    <x v="231"/>
    <x v="2"/>
  </r>
  <r>
    <x v="0"/>
    <x v="20"/>
    <x v="20"/>
    <x v="39"/>
    <x v="39"/>
    <x v="39"/>
    <x v="19"/>
    <x v="168"/>
    <x v="35"/>
    <x v="128"/>
    <x v="291"/>
    <x v="31"/>
    <x v="183"/>
    <x v="2"/>
  </r>
  <r>
    <x v="0"/>
    <x v="20"/>
    <x v="20"/>
    <x v="13"/>
    <x v="13"/>
    <x v="13"/>
    <x v="19"/>
    <x v="168"/>
    <x v="35"/>
    <x v="129"/>
    <x v="74"/>
    <x v="114"/>
    <x v="232"/>
    <x v="2"/>
  </r>
  <r>
    <x v="0"/>
    <x v="21"/>
    <x v="21"/>
    <x v="0"/>
    <x v="0"/>
    <x v="0"/>
    <x v="0"/>
    <x v="110"/>
    <x v="195"/>
    <x v="183"/>
    <x v="292"/>
    <x v="118"/>
    <x v="179"/>
    <x v="2"/>
  </r>
  <r>
    <x v="0"/>
    <x v="21"/>
    <x v="21"/>
    <x v="1"/>
    <x v="1"/>
    <x v="1"/>
    <x v="1"/>
    <x v="62"/>
    <x v="196"/>
    <x v="68"/>
    <x v="293"/>
    <x v="104"/>
    <x v="87"/>
    <x v="2"/>
  </r>
  <r>
    <x v="0"/>
    <x v="21"/>
    <x v="21"/>
    <x v="4"/>
    <x v="4"/>
    <x v="4"/>
    <x v="2"/>
    <x v="207"/>
    <x v="197"/>
    <x v="45"/>
    <x v="294"/>
    <x v="120"/>
    <x v="73"/>
    <x v="2"/>
  </r>
  <r>
    <x v="0"/>
    <x v="21"/>
    <x v="21"/>
    <x v="2"/>
    <x v="2"/>
    <x v="2"/>
    <x v="3"/>
    <x v="83"/>
    <x v="198"/>
    <x v="64"/>
    <x v="2"/>
    <x v="71"/>
    <x v="48"/>
    <x v="2"/>
  </r>
  <r>
    <x v="0"/>
    <x v="21"/>
    <x v="21"/>
    <x v="5"/>
    <x v="5"/>
    <x v="5"/>
    <x v="4"/>
    <x v="145"/>
    <x v="199"/>
    <x v="166"/>
    <x v="295"/>
    <x v="115"/>
    <x v="138"/>
    <x v="1"/>
  </r>
  <r>
    <x v="0"/>
    <x v="21"/>
    <x v="21"/>
    <x v="49"/>
    <x v="49"/>
    <x v="49"/>
    <x v="5"/>
    <x v="210"/>
    <x v="200"/>
    <x v="67"/>
    <x v="71"/>
    <x v="135"/>
    <x v="233"/>
    <x v="2"/>
  </r>
  <r>
    <x v="0"/>
    <x v="21"/>
    <x v="21"/>
    <x v="7"/>
    <x v="7"/>
    <x v="7"/>
    <x v="5"/>
    <x v="210"/>
    <x v="200"/>
    <x v="101"/>
    <x v="296"/>
    <x v="113"/>
    <x v="234"/>
    <x v="2"/>
  </r>
  <r>
    <x v="0"/>
    <x v="21"/>
    <x v="21"/>
    <x v="3"/>
    <x v="3"/>
    <x v="3"/>
    <x v="7"/>
    <x v="116"/>
    <x v="76"/>
    <x v="120"/>
    <x v="243"/>
    <x v="23"/>
    <x v="109"/>
    <x v="2"/>
  </r>
  <r>
    <x v="0"/>
    <x v="21"/>
    <x v="21"/>
    <x v="6"/>
    <x v="6"/>
    <x v="6"/>
    <x v="7"/>
    <x v="116"/>
    <x v="76"/>
    <x v="120"/>
    <x v="243"/>
    <x v="23"/>
    <x v="109"/>
    <x v="2"/>
  </r>
  <r>
    <x v="0"/>
    <x v="21"/>
    <x v="21"/>
    <x v="9"/>
    <x v="9"/>
    <x v="9"/>
    <x v="9"/>
    <x v="69"/>
    <x v="134"/>
    <x v="165"/>
    <x v="297"/>
    <x v="65"/>
    <x v="235"/>
    <x v="2"/>
  </r>
  <r>
    <x v="0"/>
    <x v="21"/>
    <x v="21"/>
    <x v="11"/>
    <x v="11"/>
    <x v="11"/>
    <x v="10"/>
    <x v="121"/>
    <x v="190"/>
    <x v="117"/>
    <x v="7"/>
    <x v="56"/>
    <x v="58"/>
    <x v="2"/>
  </r>
  <r>
    <x v="0"/>
    <x v="21"/>
    <x v="21"/>
    <x v="20"/>
    <x v="20"/>
    <x v="20"/>
    <x v="11"/>
    <x v="211"/>
    <x v="107"/>
    <x v="179"/>
    <x v="242"/>
    <x v="42"/>
    <x v="202"/>
    <x v="2"/>
  </r>
  <r>
    <x v="0"/>
    <x v="21"/>
    <x v="21"/>
    <x v="14"/>
    <x v="14"/>
    <x v="14"/>
    <x v="12"/>
    <x v="134"/>
    <x v="185"/>
    <x v="137"/>
    <x v="298"/>
    <x v="68"/>
    <x v="57"/>
    <x v="2"/>
  </r>
  <r>
    <x v="0"/>
    <x v="21"/>
    <x v="21"/>
    <x v="10"/>
    <x v="10"/>
    <x v="10"/>
    <x v="13"/>
    <x v="148"/>
    <x v="179"/>
    <x v="87"/>
    <x v="299"/>
    <x v="46"/>
    <x v="122"/>
    <x v="2"/>
  </r>
  <r>
    <x v="0"/>
    <x v="21"/>
    <x v="21"/>
    <x v="12"/>
    <x v="12"/>
    <x v="12"/>
    <x v="14"/>
    <x v="135"/>
    <x v="180"/>
    <x v="139"/>
    <x v="241"/>
    <x v="118"/>
    <x v="179"/>
    <x v="2"/>
  </r>
  <r>
    <x v="0"/>
    <x v="21"/>
    <x v="21"/>
    <x v="50"/>
    <x v="50"/>
    <x v="50"/>
    <x v="15"/>
    <x v="150"/>
    <x v="61"/>
    <x v="76"/>
    <x v="195"/>
    <x v="111"/>
    <x v="188"/>
    <x v="2"/>
  </r>
  <r>
    <x v="0"/>
    <x v="21"/>
    <x v="21"/>
    <x v="17"/>
    <x v="17"/>
    <x v="17"/>
    <x v="15"/>
    <x v="150"/>
    <x v="61"/>
    <x v="57"/>
    <x v="181"/>
    <x v="114"/>
    <x v="135"/>
    <x v="2"/>
  </r>
  <r>
    <x v="0"/>
    <x v="21"/>
    <x v="21"/>
    <x v="36"/>
    <x v="36"/>
    <x v="36"/>
    <x v="15"/>
    <x v="150"/>
    <x v="61"/>
    <x v="160"/>
    <x v="156"/>
    <x v="109"/>
    <x v="35"/>
    <x v="2"/>
  </r>
  <r>
    <x v="0"/>
    <x v="21"/>
    <x v="21"/>
    <x v="15"/>
    <x v="15"/>
    <x v="15"/>
    <x v="18"/>
    <x v="127"/>
    <x v="127"/>
    <x v="138"/>
    <x v="300"/>
    <x v="104"/>
    <x v="87"/>
    <x v="2"/>
  </r>
  <r>
    <x v="0"/>
    <x v="21"/>
    <x v="21"/>
    <x v="13"/>
    <x v="13"/>
    <x v="13"/>
    <x v="19"/>
    <x v="129"/>
    <x v="34"/>
    <x v="76"/>
    <x v="195"/>
    <x v="114"/>
    <x v="135"/>
    <x v="2"/>
  </r>
  <r>
    <x v="0"/>
    <x v="22"/>
    <x v="22"/>
    <x v="0"/>
    <x v="0"/>
    <x v="0"/>
    <x v="0"/>
    <x v="212"/>
    <x v="201"/>
    <x v="184"/>
    <x v="301"/>
    <x v="122"/>
    <x v="235"/>
    <x v="2"/>
  </r>
  <r>
    <x v="0"/>
    <x v="22"/>
    <x v="22"/>
    <x v="4"/>
    <x v="4"/>
    <x v="4"/>
    <x v="1"/>
    <x v="57"/>
    <x v="202"/>
    <x v="185"/>
    <x v="22"/>
    <x v="59"/>
    <x v="236"/>
    <x v="2"/>
  </r>
  <r>
    <x v="0"/>
    <x v="22"/>
    <x v="22"/>
    <x v="2"/>
    <x v="2"/>
    <x v="2"/>
    <x v="2"/>
    <x v="117"/>
    <x v="203"/>
    <x v="186"/>
    <x v="285"/>
    <x v="57"/>
    <x v="237"/>
    <x v="2"/>
  </r>
  <r>
    <x v="0"/>
    <x v="22"/>
    <x v="22"/>
    <x v="3"/>
    <x v="3"/>
    <x v="3"/>
    <x v="3"/>
    <x v="213"/>
    <x v="204"/>
    <x v="55"/>
    <x v="302"/>
    <x v="105"/>
    <x v="69"/>
    <x v="2"/>
  </r>
  <r>
    <x v="0"/>
    <x v="22"/>
    <x v="22"/>
    <x v="12"/>
    <x v="12"/>
    <x v="12"/>
    <x v="4"/>
    <x v="186"/>
    <x v="205"/>
    <x v="117"/>
    <x v="303"/>
    <x v="74"/>
    <x v="238"/>
    <x v="2"/>
  </r>
  <r>
    <x v="0"/>
    <x v="22"/>
    <x v="22"/>
    <x v="5"/>
    <x v="5"/>
    <x v="5"/>
    <x v="5"/>
    <x v="194"/>
    <x v="41"/>
    <x v="141"/>
    <x v="304"/>
    <x v="42"/>
    <x v="209"/>
    <x v="1"/>
  </r>
  <r>
    <x v="0"/>
    <x v="22"/>
    <x v="22"/>
    <x v="10"/>
    <x v="10"/>
    <x v="10"/>
    <x v="6"/>
    <x v="148"/>
    <x v="169"/>
    <x v="187"/>
    <x v="272"/>
    <x v="113"/>
    <x v="239"/>
    <x v="2"/>
  </r>
  <r>
    <x v="0"/>
    <x v="22"/>
    <x v="22"/>
    <x v="6"/>
    <x v="6"/>
    <x v="6"/>
    <x v="7"/>
    <x v="166"/>
    <x v="148"/>
    <x v="51"/>
    <x v="305"/>
    <x v="57"/>
    <x v="237"/>
    <x v="2"/>
  </r>
  <r>
    <x v="0"/>
    <x v="22"/>
    <x v="22"/>
    <x v="11"/>
    <x v="11"/>
    <x v="11"/>
    <x v="8"/>
    <x v="124"/>
    <x v="25"/>
    <x v="117"/>
    <x v="303"/>
    <x v="105"/>
    <x v="69"/>
    <x v="2"/>
  </r>
  <r>
    <x v="0"/>
    <x v="22"/>
    <x v="22"/>
    <x v="16"/>
    <x v="16"/>
    <x v="16"/>
    <x v="9"/>
    <x v="158"/>
    <x v="149"/>
    <x v="119"/>
    <x v="134"/>
    <x v="111"/>
    <x v="240"/>
    <x v="2"/>
  </r>
  <r>
    <x v="0"/>
    <x v="22"/>
    <x v="22"/>
    <x v="18"/>
    <x v="18"/>
    <x v="18"/>
    <x v="9"/>
    <x v="158"/>
    <x v="149"/>
    <x v="73"/>
    <x v="298"/>
    <x v="117"/>
    <x v="154"/>
    <x v="2"/>
  </r>
  <r>
    <x v="0"/>
    <x v="22"/>
    <x v="22"/>
    <x v="1"/>
    <x v="1"/>
    <x v="1"/>
    <x v="11"/>
    <x v="128"/>
    <x v="206"/>
    <x v="126"/>
    <x v="106"/>
    <x v="113"/>
    <x v="239"/>
    <x v="2"/>
  </r>
  <r>
    <x v="0"/>
    <x v="22"/>
    <x v="22"/>
    <x v="8"/>
    <x v="8"/>
    <x v="8"/>
    <x v="12"/>
    <x v="129"/>
    <x v="79"/>
    <x v="102"/>
    <x v="306"/>
    <x v="120"/>
    <x v="241"/>
    <x v="2"/>
  </r>
  <r>
    <x v="0"/>
    <x v="22"/>
    <x v="22"/>
    <x v="9"/>
    <x v="9"/>
    <x v="9"/>
    <x v="13"/>
    <x v="152"/>
    <x v="81"/>
    <x v="144"/>
    <x v="107"/>
    <x v="23"/>
    <x v="134"/>
    <x v="2"/>
  </r>
  <r>
    <x v="0"/>
    <x v="22"/>
    <x v="22"/>
    <x v="41"/>
    <x v="41"/>
    <x v="41"/>
    <x v="14"/>
    <x v="138"/>
    <x v="61"/>
    <x v="70"/>
    <x v="307"/>
    <x v="40"/>
    <x v="135"/>
    <x v="2"/>
  </r>
  <r>
    <x v="0"/>
    <x v="22"/>
    <x v="22"/>
    <x v="20"/>
    <x v="20"/>
    <x v="20"/>
    <x v="14"/>
    <x v="138"/>
    <x v="61"/>
    <x v="139"/>
    <x v="212"/>
    <x v="58"/>
    <x v="40"/>
    <x v="2"/>
  </r>
  <r>
    <x v="0"/>
    <x v="22"/>
    <x v="22"/>
    <x v="7"/>
    <x v="7"/>
    <x v="7"/>
    <x v="14"/>
    <x v="138"/>
    <x v="61"/>
    <x v="149"/>
    <x v="71"/>
    <x v="31"/>
    <x v="114"/>
    <x v="2"/>
  </r>
  <r>
    <x v="0"/>
    <x v="22"/>
    <x v="22"/>
    <x v="15"/>
    <x v="15"/>
    <x v="15"/>
    <x v="17"/>
    <x v="161"/>
    <x v="16"/>
    <x v="76"/>
    <x v="237"/>
    <x v="65"/>
    <x v="99"/>
    <x v="2"/>
  </r>
  <r>
    <x v="0"/>
    <x v="22"/>
    <x v="22"/>
    <x v="17"/>
    <x v="17"/>
    <x v="17"/>
    <x v="17"/>
    <x v="161"/>
    <x v="16"/>
    <x v="127"/>
    <x v="30"/>
    <x v="40"/>
    <x v="135"/>
    <x v="2"/>
  </r>
  <r>
    <x v="0"/>
    <x v="22"/>
    <x v="22"/>
    <x v="51"/>
    <x v="51"/>
    <x v="51"/>
    <x v="17"/>
    <x v="161"/>
    <x v="16"/>
    <x v="147"/>
    <x v="146"/>
    <x v="107"/>
    <x v="242"/>
    <x v="2"/>
  </r>
  <r>
    <x v="0"/>
    <x v="23"/>
    <x v="23"/>
    <x v="0"/>
    <x v="0"/>
    <x v="0"/>
    <x v="0"/>
    <x v="214"/>
    <x v="207"/>
    <x v="188"/>
    <x v="0"/>
    <x v="31"/>
    <x v="218"/>
    <x v="2"/>
  </r>
  <r>
    <x v="0"/>
    <x v="23"/>
    <x v="23"/>
    <x v="5"/>
    <x v="5"/>
    <x v="5"/>
    <x v="1"/>
    <x v="62"/>
    <x v="208"/>
    <x v="85"/>
    <x v="294"/>
    <x v="122"/>
    <x v="9"/>
    <x v="2"/>
  </r>
  <r>
    <x v="0"/>
    <x v="23"/>
    <x v="23"/>
    <x v="1"/>
    <x v="1"/>
    <x v="1"/>
    <x v="2"/>
    <x v="52"/>
    <x v="209"/>
    <x v="82"/>
    <x v="308"/>
    <x v="113"/>
    <x v="243"/>
    <x v="2"/>
  </r>
  <r>
    <x v="0"/>
    <x v="23"/>
    <x v="23"/>
    <x v="2"/>
    <x v="2"/>
    <x v="2"/>
    <x v="3"/>
    <x v="145"/>
    <x v="210"/>
    <x v="107"/>
    <x v="309"/>
    <x v="58"/>
    <x v="130"/>
    <x v="1"/>
  </r>
  <r>
    <x v="0"/>
    <x v="23"/>
    <x v="23"/>
    <x v="4"/>
    <x v="4"/>
    <x v="4"/>
    <x v="4"/>
    <x v="215"/>
    <x v="211"/>
    <x v="33"/>
    <x v="310"/>
    <x v="59"/>
    <x v="244"/>
    <x v="2"/>
  </r>
  <r>
    <x v="0"/>
    <x v="23"/>
    <x v="23"/>
    <x v="3"/>
    <x v="3"/>
    <x v="3"/>
    <x v="5"/>
    <x v="216"/>
    <x v="67"/>
    <x v="33"/>
    <x v="310"/>
    <x v="72"/>
    <x v="138"/>
    <x v="2"/>
  </r>
  <r>
    <x v="0"/>
    <x v="23"/>
    <x v="23"/>
    <x v="6"/>
    <x v="6"/>
    <x v="6"/>
    <x v="6"/>
    <x v="68"/>
    <x v="68"/>
    <x v="105"/>
    <x v="311"/>
    <x v="42"/>
    <x v="67"/>
    <x v="2"/>
  </r>
  <r>
    <x v="0"/>
    <x v="23"/>
    <x v="23"/>
    <x v="12"/>
    <x v="12"/>
    <x v="12"/>
    <x v="7"/>
    <x v="157"/>
    <x v="134"/>
    <x v="112"/>
    <x v="191"/>
    <x v="22"/>
    <x v="10"/>
    <x v="2"/>
  </r>
  <r>
    <x v="0"/>
    <x v="23"/>
    <x v="23"/>
    <x v="11"/>
    <x v="11"/>
    <x v="11"/>
    <x v="8"/>
    <x v="122"/>
    <x v="150"/>
    <x v="173"/>
    <x v="312"/>
    <x v="127"/>
    <x v="245"/>
    <x v="2"/>
  </r>
  <r>
    <x v="0"/>
    <x v="23"/>
    <x v="23"/>
    <x v="7"/>
    <x v="7"/>
    <x v="7"/>
    <x v="9"/>
    <x v="166"/>
    <x v="10"/>
    <x v="59"/>
    <x v="200"/>
    <x v="56"/>
    <x v="246"/>
    <x v="2"/>
  </r>
  <r>
    <x v="0"/>
    <x v="23"/>
    <x v="23"/>
    <x v="13"/>
    <x v="13"/>
    <x v="13"/>
    <x v="10"/>
    <x v="167"/>
    <x v="28"/>
    <x v="158"/>
    <x v="313"/>
    <x v="56"/>
    <x v="246"/>
    <x v="2"/>
  </r>
  <r>
    <x v="0"/>
    <x v="23"/>
    <x v="23"/>
    <x v="17"/>
    <x v="17"/>
    <x v="17"/>
    <x v="11"/>
    <x v="124"/>
    <x v="46"/>
    <x v="89"/>
    <x v="140"/>
    <x v="68"/>
    <x v="232"/>
    <x v="2"/>
  </r>
  <r>
    <x v="0"/>
    <x v="23"/>
    <x v="23"/>
    <x v="8"/>
    <x v="8"/>
    <x v="8"/>
    <x v="11"/>
    <x v="124"/>
    <x v="46"/>
    <x v="96"/>
    <x v="314"/>
    <x v="116"/>
    <x v="119"/>
    <x v="2"/>
  </r>
  <r>
    <x v="0"/>
    <x v="23"/>
    <x v="23"/>
    <x v="9"/>
    <x v="9"/>
    <x v="9"/>
    <x v="13"/>
    <x v="150"/>
    <x v="59"/>
    <x v="142"/>
    <x v="283"/>
    <x v="109"/>
    <x v="74"/>
    <x v="1"/>
  </r>
  <r>
    <x v="0"/>
    <x v="23"/>
    <x v="23"/>
    <x v="10"/>
    <x v="10"/>
    <x v="10"/>
    <x v="14"/>
    <x v="125"/>
    <x v="109"/>
    <x v="67"/>
    <x v="315"/>
    <x v="70"/>
    <x v="247"/>
    <x v="2"/>
  </r>
  <r>
    <x v="0"/>
    <x v="23"/>
    <x v="23"/>
    <x v="15"/>
    <x v="15"/>
    <x v="15"/>
    <x v="15"/>
    <x v="158"/>
    <x v="136"/>
    <x v="67"/>
    <x v="315"/>
    <x v="56"/>
    <x v="246"/>
    <x v="2"/>
  </r>
  <r>
    <x v="0"/>
    <x v="23"/>
    <x v="23"/>
    <x v="14"/>
    <x v="14"/>
    <x v="14"/>
    <x v="16"/>
    <x v="127"/>
    <x v="126"/>
    <x v="128"/>
    <x v="92"/>
    <x v="74"/>
    <x v="36"/>
    <x v="2"/>
  </r>
  <r>
    <x v="0"/>
    <x v="23"/>
    <x v="23"/>
    <x v="20"/>
    <x v="20"/>
    <x v="20"/>
    <x v="17"/>
    <x v="159"/>
    <x v="157"/>
    <x v="142"/>
    <x v="283"/>
    <x v="57"/>
    <x v="126"/>
    <x v="2"/>
  </r>
  <r>
    <x v="0"/>
    <x v="23"/>
    <x v="23"/>
    <x v="23"/>
    <x v="23"/>
    <x v="23"/>
    <x v="17"/>
    <x v="159"/>
    <x v="157"/>
    <x v="112"/>
    <x v="191"/>
    <x v="122"/>
    <x v="9"/>
    <x v="2"/>
  </r>
  <r>
    <x v="0"/>
    <x v="23"/>
    <x v="23"/>
    <x v="36"/>
    <x v="36"/>
    <x v="36"/>
    <x v="19"/>
    <x v="129"/>
    <x v="31"/>
    <x v="137"/>
    <x v="104"/>
    <x v="23"/>
    <x v="47"/>
    <x v="2"/>
  </r>
  <r>
    <x v="0"/>
    <x v="24"/>
    <x v="24"/>
    <x v="1"/>
    <x v="1"/>
    <x v="1"/>
    <x v="0"/>
    <x v="55"/>
    <x v="212"/>
    <x v="141"/>
    <x v="316"/>
    <x v="41"/>
    <x v="248"/>
    <x v="2"/>
  </r>
  <r>
    <x v="0"/>
    <x v="24"/>
    <x v="24"/>
    <x v="0"/>
    <x v="0"/>
    <x v="0"/>
    <x v="0"/>
    <x v="55"/>
    <x v="212"/>
    <x v="43"/>
    <x v="317"/>
    <x v="47"/>
    <x v="37"/>
    <x v="2"/>
  </r>
  <r>
    <x v="0"/>
    <x v="24"/>
    <x v="24"/>
    <x v="3"/>
    <x v="3"/>
    <x v="3"/>
    <x v="2"/>
    <x v="194"/>
    <x v="213"/>
    <x v="165"/>
    <x v="318"/>
    <x v="23"/>
    <x v="249"/>
    <x v="2"/>
  </r>
  <r>
    <x v="0"/>
    <x v="24"/>
    <x v="24"/>
    <x v="2"/>
    <x v="2"/>
    <x v="2"/>
    <x v="3"/>
    <x v="123"/>
    <x v="214"/>
    <x v="157"/>
    <x v="319"/>
    <x v="120"/>
    <x v="250"/>
    <x v="2"/>
  </r>
  <r>
    <x v="0"/>
    <x v="24"/>
    <x v="24"/>
    <x v="10"/>
    <x v="10"/>
    <x v="10"/>
    <x v="4"/>
    <x v="125"/>
    <x v="2"/>
    <x v="129"/>
    <x v="320"/>
    <x v="69"/>
    <x v="251"/>
    <x v="2"/>
  </r>
  <r>
    <x v="0"/>
    <x v="24"/>
    <x v="24"/>
    <x v="4"/>
    <x v="4"/>
    <x v="4"/>
    <x v="5"/>
    <x v="158"/>
    <x v="215"/>
    <x v="142"/>
    <x v="321"/>
    <x v="116"/>
    <x v="252"/>
    <x v="2"/>
  </r>
  <r>
    <x v="0"/>
    <x v="24"/>
    <x v="24"/>
    <x v="8"/>
    <x v="8"/>
    <x v="8"/>
    <x v="6"/>
    <x v="127"/>
    <x v="53"/>
    <x v="160"/>
    <x v="309"/>
    <x v="57"/>
    <x v="22"/>
    <x v="2"/>
  </r>
  <r>
    <x v="0"/>
    <x v="24"/>
    <x v="24"/>
    <x v="6"/>
    <x v="6"/>
    <x v="6"/>
    <x v="6"/>
    <x v="127"/>
    <x v="53"/>
    <x v="173"/>
    <x v="186"/>
    <x v="109"/>
    <x v="223"/>
    <x v="2"/>
  </r>
  <r>
    <x v="0"/>
    <x v="24"/>
    <x v="24"/>
    <x v="7"/>
    <x v="7"/>
    <x v="7"/>
    <x v="8"/>
    <x v="159"/>
    <x v="216"/>
    <x v="73"/>
    <x v="28"/>
    <x v="40"/>
    <x v="253"/>
    <x v="2"/>
  </r>
  <r>
    <x v="0"/>
    <x v="24"/>
    <x v="24"/>
    <x v="5"/>
    <x v="5"/>
    <x v="5"/>
    <x v="9"/>
    <x v="130"/>
    <x v="5"/>
    <x v="88"/>
    <x v="129"/>
    <x v="57"/>
    <x v="22"/>
    <x v="2"/>
  </r>
  <r>
    <x v="0"/>
    <x v="24"/>
    <x v="24"/>
    <x v="11"/>
    <x v="11"/>
    <x v="11"/>
    <x v="10"/>
    <x v="151"/>
    <x v="217"/>
    <x v="73"/>
    <x v="28"/>
    <x v="73"/>
    <x v="105"/>
    <x v="2"/>
  </r>
  <r>
    <x v="0"/>
    <x v="24"/>
    <x v="24"/>
    <x v="12"/>
    <x v="12"/>
    <x v="12"/>
    <x v="11"/>
    <x v="136"/>
    <x v="218"/>
    <x v="67"/>
    <x v="322"/>
    <x v="73"/>
    <x v="105"/>
    <x v="2"/>
  </r>
  <r>
    <x v="0"/>
    <x v="24"/>
    <x v="24"/>
    <x v="19"/>
    <x v="19"/>
    <x v="19"/>
    <x v="12"/>
    <x v="139"/>
    <x v="219"/>
    <x v="67"/>
    <x v="322"/>
    <x v="59"/>
    <x v="112"/>
    <x v="2"/>
  </r>
  <r>
    <x v="0"/>
    <x v="24"/>
    <x v="24"/>
    <x v="21"/>
    <x v="21"/>
    <x v="21"/>
    <x v="13"/>
    <x v="140"/>
    <x v="165"/>
    <x v="76"/>
    <x v="92"/>
    <x v="118"/>
    <x v="254"/>
    <x v="2"/>
  </r>
  <r>
    <x v="0"/>
    <x v="24"/>
    <x v="24"/>
    <x v="13"/>
    <x v="13"/>
    <x v="13"/>
    <x v="14"/>
    <x v="141"/>
    <x v="28"/>
    <x v="132"/>
    <x v="34"/>
    <x v="74"/>
    <x v="255"/>
    <x v="2"/>
  </r>
  <r>
    <x v="0"/>
    <x v="24"/>
    <x v="24"/>
    <x v="9"/>
    <x v="9"/>
    <x v="9"/>
    <x v="15"/>
    <x v="143"/>
    <x v="60"/>
    <x v="57"/>
    <x v="323"/>
    <x v="23"/>
    <x v="249"/>
    <x v="2"/>
  </r>
  <r>
    <x v="0"/>
    <x v="24"/>
    <x v="24"/>
    <x v="17"/>
    <x v="17"/>
    <x v="17"/>
    <x v="16"/>
    <x v="144"/>
    <x v="92"/>
    <x v="76"/>
    <x v="92"/>
    <x v="73"/>
    <x v="105"/>
    <x v="2"/>
  </r>
  <r>
    <x v="0"/>
    <x v="24"/>
    <x v="24"/>
    <x v="15"/>
    <x v="15"/>
    <x v="15"/>
    <x v="17"/>
    <x v="162"/>
    <x v="126"/>
    <x v="70"/>
    <x v="324"/>
    <x v="47"/>
    <x v="37"/>
    <x v="2"/>
  </r>
  <r>
    <x v="0"/>
    <x v="24"/>
    <x v="24"/>
    <x v="44"/>
    <x v="44"/>
    <x v="44"/>
    <x v="17"/>
    <x v="162"/>
    <x v="126"/>
    <x v="57"/>
    <x v="323"/>
    <x v="115"/>
    <x v="244"/>
    <x v="2"/>
  </r>
  <r>
    <x v="0"/>
    <x v="24"/>
    <x v="24"/>
    <x v="23"/>
    <x v="23"/>
    <x v="23"/>
    <x v="17"/>
    <x v="162"/>
    <x v="126"/>
    <x v="187"/>
    <x v="325"/>
    <x v="116"/>
    <x v="252"/>
    <x v="2"/>
  </r>
  <r>
    <x v="0"/>
    <x v="25"/>
    <x v="25"/>
    <x v="1"/>
    <x v="1"/>
    <x v="1"/>
    <x v="0"/>
    <x v="204"/>
    <x v="220"/>
    <x v="184"/>
    <x v="326"/>
    <x v="118"/>
    <x v="177"/>
    <x v="2"/>
  </r>
  <r>
    <x v="0"/>
    <x v="25"/>
    <x v="25"/>
    <x v="0"/>
    <x v="0"/>
    <x v="0"/>
    <x v="1"/>
    <x v="54"/>
    <x v="221"/>
    <x v="85"/>
    <x v="327"/>
    <x v="72"/>
    <x v="256"/>
    <x v="1"/>
  </r>
  <r>
    <x v="0"/>
    <x v="25"/>
    <x v="25"/>
    <x v="4"/>
    <x v="4"/>
    <x v="4"/>
    <x v="2"/>
    <x v="194"/>
    <x v="222"/>
    <x v="179"/>
    <x v="328"/>
    <x v="116"/>
    <x v="148"/>
    <x v="2"/>
  </r>
  <r>
    <x v="0"/>
    <x v="25"/>
    <x v="25"/>
    <x v="12"/>
    <x v="12"/>
    <x v="12"/>
    <x v="3"/>
    <x v="135"/>
    <x v="214"/>
    <x v="118"/>
    <x v="26"/>
    <x v="73"/>
    <x v="257"/>
    <x v="2"/>
  </r>
  <r>
    <x v="0"/>
    <x v="25"/>
    <x v="25"/>
    <x v="2"/>
    <x v="2"/>
    <x v="2"/>
    <x v="4"/>
    <x v="158"/>
    <x v="53"/>
    <x v="34"/>
    <x v="97"/>
    <x v="120"/>
    <x v="258"/>
    <x v="2"/>
  </r>
  <r>
    <x v="0"/>
    <x v="25"/>
    <x v="25"/>
    <x v="7"/>
    <x v="7"/>
    <x v="7"/>
    <x v="5"/>
    <x v="168"/>
    <x v="124"/>
    <x v="59"/>
    <x v="329"/>
    <x v="59"/>
    <x v="259"/>
    <x v="2"/>
  </r>
  <r>
    <x v="0"/>
    <x v="25"/>
    <x v="25"/>
    <x v="10"/>
    <x v="10"/>
    <x v="10"/>
    <x v="6"/>
    <x v="152"/>
    <x v="134"/>
    <x v="149"/>
    <x v="75"/>
    <x v="65"/>
    <x v="260"/>
    <x v="2"/>
  </r>
  <r>
    <x v="0"/>
    <x v="25"/>
    <x v="25"/>
    <x v="5"/>
    <x v="5"/>
    <x v="5"/>
    <x v="7"/>
    <x v="138"/>
    <x v="8"/>
    <x v="59"/>
    <x v="329"/>
    <x v="109"/>
    <x v="100"/>
    <x v="2"/>
  </r>
  <r>
    <x v="0"/>
    <x v="25"/>
    <x v="25"/>
    <x v="6"/>
    <x v="6"/>
    <x v="6"/>
    <x v="7"/>
    <x v="138"/>
    <x v="8"/>
    <x v="50"/>
    <x v="330"/>
    <x v="116"/>
    <x v="148"/>
    <x v="2"/>
  </r>
  <r>
    <x v="0"/>
    <x v="25"/>
    <x v="25"/>
    <x v="19"/>
    <x v="19"/>
    <x v="19"/>
    <x v="9"/>
    <x v="161"/>
    <x v="223"/>
    <x v="158"/>
    <x v="331"/>
    <x v="109"/>
    <x v="100"/>
    <x v="2"/>
  </r>
  <r>
    <x v="0"/>
    <x v="25"/>
    <x v="25"/>
    <x v="8"/>
    <x v="8"/>
    <x v="8"/>
    <x v="10"/>
    <x v="139"/>
    <x v="142"/>
    <x v="137"/>
    <x v="247"/>
    <x v="71"/>
    <x v="261"/>
    <x v="2"/>
  </r>
  <r>
    <x v="0"/>
    <x v="25"/>
    <x v="25"/>
    <x v="14"/>
    <x v="14"/>
    <x v="14"/>
    <x v="11"/>
    <x v="141"/>
    <x v="108"/>
    <x v="70"/>
    <x v="332"/>
    <x v="63"/>
    <x v="213"/>
    <x v="2"/>
  </r>
  <r>
    <x v="0"/>
    <x v="25"/>
    <x v="25"/>
    <x v="17"/>
    <x v="17"/>
    <x v="17"/>
    <x v="12"/>
    <x v="142"/>
    <x v="80"/>
    <x v="70"/>
    <x v="332"/>
    <x v="127"/>
    <x v="262"/>
    <x v="2"/>
  </r>
  <r>
    <x v="0"/>
    <x v="25"/>
    <x v="25"/>
    <x v="11"/>
    <x v="11"/>
    <x v="11"/>
    <x v="12"/>
    <x v="142"/>
    <x v="80"/>
    <x v="87"/>
    <x v="176"/>
    <x v="23"/>
    <x v="98"/>
    <x v="1"/>
  </r>
  <r>
    <x v="0"/>
    <x v="25"/>
    <x v="25"/>
    <x v="3"/>
    <x v="3"/>
    <x v="3"/>
    <x v="14"/>
    <x v="143"/>
    <x v="81"/>
    <x v="187"/>
    <x v="198"/>
    <x v="109"/>
    <x v="100"/>
    <x v="2"/>
  </r>
  <r>
    <x v="0"/>
    <x v="25"/>
    <x v="25"/>
    <x v="36"/>
    <x v="36"/>
    <x v="36"/>
    <x v="14"/>
    <x v="143"/>
    <x v="81"/>
    <x v="71"/>
    <x v="333"/>
    <x v="116"/>
    <x v="148"/>
    <x v="2"/>
  </r>
  <r>
    <x v="0"/>
    <x v="25"/>
    <x v="25"/>
    <x v="16"/>
    <x v="16"/>
    <x v="16"/>
    <x v="16"/>
    <x v="144"/>
    <x v="136"/>
    <x v="126"/>
    <x v="10"/>
    <x v="127"/>
    <x v="262"/>
    <x v="2"/>
  </r>
  <r>
    <x v="0"/>
    <x v="25"/>
    <x v="25"/>
    <x v="18"/>
    <x v="18"/>
    <x v="18"/>
    <x v="17"/>
    <x v="162"/>
    <x v="137"/>
    <x v="149"/>
    <x v="75"/>
    <x v="52"/>
    <x v="263"/>
    <x v="2"/>
  </r>
  <r>
    <x v="0"/>
    <x v="25"/>
    <x v="25"/>
    <x v="9"/>
    <x v="9"/>
    <x v="9"/>
    <x v="18"/>
    <x v="169"/>
    <x v="50"/>
    <x v="138"/>
    <x v="119"/>
    <x v="72"/>
    <x v="256"/>
    <x v="2"/>
  </r>
  <r>
    <x v="0"/>
    <x v="25"/>
    <x v="25"/>
    <x v="43"/>
    <x v="43"/>
    <x v="43"/>
    <x v="19"/>
    <x v="189"/>
    <x v="224"/>
    <x v="131"/>
    <x v="334"/>
    <x v="116"/>
    <x v="148"/>
    <x v="2"/>
  </r>
  <r>
    <x v="0"/>
    <x v="25"/>
    <x v="25"/>
    <x v="23"/>
    <x v="23"/>
    <x v="23"/>
    <x v="19"/>
    <x v="189"/>
    <x v="224"/>
    <x v="87"/>
    <x v="176"/>
    <x v="57"/>
    <x v="59"/>
    <x v="2"/>
  </r>
  <r>
    <x v="0"/>
    <x v="25"/>
    <x v="25"/>
    <x v="51"/>
    <x v="51"/>
    <x v="51"/>
    <x v="19"/>
    <x v="189"/>
    <x v="224"/>
    <x v="149"/>
    <x v="75"/>
    <x v="109"/>
    <x v="100"/>
    <x v="2"/>
  </r>
  <r>
    <x v="0"/>
    <x v="26"/>
    <x v="26"/>
    <x v="45"/>
    <x v="45"/>
    <x v="45"/>
    <x v="0"/>
    <x v="81"/>
    <x v="225"/>
    <x v="189"/>
    <x v="335"/>
    <x v="63"/>
    <x v="264"/>
    <x v="2"/>
  </r>
  <r>
    <x v="0"/>
    <x v="26"/>
    <x v="26"/>
    <x v="1"/>
    <x v="1"/>
    <x v="1"/>
    <x v="1"/>
    <x v="123"/>
    <x v="226"/>
    <x v="75"/>
    <x v="336"/>
    <x v="72"/>
    <x v="265"/>
    <x v="2"/>
  </r>
  <r>
    <x v="0"/>
    <x v="26"/>
    <x v="26"/>
    <x v="3"/>
    <x v="3"/>
    <x v="3"/>
    <x v="2"/>
    <x v="128"/>
    <x v="227"/>
    <x v="102"/>
    <x v="337"/>
    <x v="57"/>
    <x v="266"/>
    <x v="2"/>
  </r>
  <r>
    <x v="0"/>
    <x v="26"/>
    <x v="26"/>
    <x v="0"/>
    <x v="0"/>
    <x v="0"/>
    <x v="2"/>
    <x v="128"/>
    <x v="227"/>
    <x v="160"/>
    <x v="338"/>
    <x v="71"/>
    <x v="110"/>
    <x v="2"/>
  </r>
  <r>
    <x v="0"/>
    <x v="26"/>
    <x v="26"/>
    <x v="22"/>
    <x v="22"/>
    <x v="22"/>
    <x v="4"/>
    <x v="140"/>
    <x v="228"/>
    <x v="139"/>
    <x v="131"/>
    <x v="71"/>
    <x v="110"/>
    <x v="2"/>
  </r>
  <r>
    <x v="0"/>
    <x v="26"/>
    <x v="26"/>
    <x v="8"/>
    <x v="8"/>
    <x v="8"/>
    <x v="5"/>
    <x v="153"/>
    <x v="3"/>
    <x v="50"/>
    <x v="339"/>
    <x v="123"/>
    <x v="164"/>
    <x v="2"/>
  </r>
  <r>
    <x v="0"/>
    <x v="26"/>
    <x v="26"/>
    <x v="9"/>
    <x v="9"/>
    <x v="9"/>
    <x v="6"/>
    <x v="143"/>
    <x v="229"/>
    <x v="87"/>
    <x v="84"/>
    <x v="105"/>
    <x v="267"/>
    <x v="2"/>
  </r>
  <r>
    <x v="0"/>
    <x v="26"/>
    <x v="26"/>
    <x v="2"/>
    <x v="2"/>
    <x v="2"/>
    <x v="7"/>
    <x v="144"/>
    <x v="188"/>
    <x v="59"/>
    <x v="340"/>
    <x v="123"/>
    <x v="164"/>
    <x v="2"/>
  </r>
  <r>
    <x v="0"/>
    <x v="26"/>
    <x v="26"/>
    <x v="4"/>
    <x v="4"/>
    <x v="4"/>
    <x v="8"/>
    <x v="162"/>
    <x v="117"/>
    <x v="71"/>
    <x v="341"/>
    <x v="57"/>
    <x v="266"/>
    <x v="2"/>
  </r>
  <r>
    <x v="0"/>
    <x v="26"/>
    <x v="26"/>
    <x v="11"/>
    <x v="11"/>
    <x v="11"/>
    <x v="9"/>
    <x v="188"/>
    <x v="106"/>
    <x v="149"/>
    <x v="104"/>
    <x v="72"/>
    <x v="265"/>
    <x v="2"/>
  </r>
  <r>
    <x v="0"/>
    <x v="26"/>
    <x v="26"/>
    <x v="5"/>
    <x v="5"/>
    <x v="5"/>
    <x v="10"/>
    <x v="189"/>
    <x v="45"/>
    <x v="66"/>
    <x v="342"/>
    <x v="120"/>
    <x v="268"/>
    <x v="2"/>
  </r>
  <r>
    <x v="0"/>
    <x v="26"/>
    <x v="26"/>
    <x v="21"/>
    <x v="21"/>
    <x v="21"/>
    <x v="11"/>
    <x v="170"/>
    <x v="107"/>
    <x v="131"/>
    <x v="38"/>
    <x v="58"/>
    <x v="116"/>
    <x v="2"/>
  </r>
  <r>
    <x v="0"/>
    <x v="26"/>
    <x v="26"/>
    <x v="30"/>
    <x v="30"/>
    <x v="30"/>
    <x v="11"/>
    <x v="170"/>
    <x v="107"/>
    <x v="67"/>
    <x v="343"/>
    <x v="123"/>
    <x v="164"/>
    <x v="1"/>
  </r>
  <r>
    <x v="0"/>
    <x v="26"/>
    <x v="26"/>
    <x v="52"/>
    <x v="52"/>
    <x v="52"/>
    <x v="11"/>
    <x v="170"/>
    <x v="107"/>
    <x v="67"/>
    <x v="343"/>
    <x v="121"/>
    <x v="126"/>
    <x v="2"/>
  </r>
  <r>
    <x v="0"/>
    <x v="26"/>
    <x v="26"/>
    <x v="7"/>
    <x v="7"/>
    <x v="7"/>
    <x v="14"/>
    <x v="172"/>
    <x v="136"/>
    <x v="76"/>
    <x v="122"/>
    <x v="109"/>
    <x v="154"/>
    <x v="2"/>
  </r>
  <r>
    <x v="0"/>
    <x v="26"/>
    <x v="26"/>
    <x v="20"/>
    <x v="20"/>
    <x v="20"/>
    <x v="15"/>
    <x v="173"/>
    <x v="62"/>
    <x v="131"/>
    <x v="38"/>
    <x v="121"/>
    <x v="126"/>
    <x v="2"/>
  </r>
  <r>
    <x v="0"/>
    <x v="26"/>
    <x v="26"/>
    <x v="53"/>
    <x v="53"/>
    <x v="53"/>
    <x v="16"/>
    <x v="174"/>
    <x v="127"/>
    <x v="70"/>
    <x v="313"/>
    <x v="57"/>
    <x v="266"/>
    <x v="2"/>
  </r>
  <r>
    <x v="0"/>
    <x v="26"/>
    <x v="26"/>
    <x v="44"/>
    <x v="44"/>
    <x v="44"/>
    <x v="16"/>
    <x v="174"/>
    <x v="127"/>
    <x v="138"/>
    <x v="344"/>
    <x v="121"/>
    <x v="126"/>
    <x v="2"/>
  </r>
  <r>
    <x v="0"/>
    <x v="26"/>
    <x v="26"/>
    <x v="6"/>
    <x v="6"/>
    <x v="6"/>
    <x v="16"/>
    <x v="174"/>
    <x v="127"/>
    <x v="138"/>
    <x v="344"/>
    <x v="121"/>
    <x v="126"/>
    <x v="2"/>
  </r>
  <r>
    <x v="0"/>
    <x v="26"/>
    <x v="26"/>
    <x v="12"/>
    <x v="12"/>
    <x v="12"/>
    <x v="19"/>
    <x v="217"/>
    <x v="121"/>
    <x v="126"/>
    <x v="332"/>
    <x v="58"/>
    <x v="116"/>
    <x v="2"/>
  </r>
  <r>
    <x v="0"/>
    <x v="26"/>
    <x v="26"/>
    <x v="39"/>
    <x v="39"/>
    <x v="39"/>
    <x v="19"/>
    <x v="217"/>
    <x v="121"/>
    <x v="129"/>
    <x v="52"/>
    <x v="116"/>
    <x v="220"/>
    <x v="2"/>
  </r>
  <r>
    <x v="0"/>
    <x v="26"/>
    <x v="26"/>
    <x v="54"/>
    <x v="54"/>
    <x v="54"/>
    <x v="19"/>
    <x v="217"/>
    <x v="121"/>
    <x v="127"/>
    <x v="324"/>
    <x v="120"/>
    <x v="268"/>
    <x v="2"/>
  </r>
  <r>
    <x v="0"/>
    <x v="27"/>
    <x v="27"/>
    <x v="1"/>
    <x v="1"/>
    <x v="1"/>
    <x v="0"/>
    <x v="216"/>
    <x v="230"/>
    <x v="58"/>
    <x v="345"/>
    <x v="63"/>
    <x v="269"/>
    <x v="2"/>
  </r>
  <r>
    <x v="0"/>
    <x v="27"/>
    <x v="27"/>
    <x v="0"/>
    <x v="0"/>
    <x v="0"/>
    <x v="1"/>
    <x v="166"/>
    <x v="160"/>
    <x v="103"/>
    <x v="346"/>
    <x v="116"/>
    <x v="270"/>
    <x v="2"/>
  </r>
  <r>
    <x v="0"/>
    <x v="27"/>
    <x v="27"/>
    <x v="10"/>
    <x v="10"/>
    <x v="10"/>
    <x v="2"/>
    <x v="152"/>
    <x v="231"/>
    <x v="76"/>
    <x v="104"/>
    <x v="56"/>
    <x v="271"/>
    <x v="2"/>
  </r>
  <r>
    <x v="0"/>
    <x v="27"/>
    <x v="27"/>
    <x v="5"/>
    <x v="5"/>
    <x v="5"/>
    <x v="3"/>
    <x v="142"/>
    <x v="232"/>
    <x v="128"/>
    <x v="347"/>
    <x v="115"/>
    <x v="272"/>
    <x v="2"/>
  </r>
  <r>
    <x v="0"/>
    <x v="27"/>
    <x v="27"/>
    <x v="15"/>
    <x v="15"/>
    <x v="15"/>
    <x v="4"/>
    <x v="144"/>
    <x v="233"/>
    <x v="149"/>
    <x v="348"/>
    <x v="59"/>
    <x v="273"/>
    <x v="2"/>
  </r>
  <r>
    <x v="0"/>
    <x v="27"/>
    <x v="27"/>
    <x v="2"/>
    <x v="2"/>
    <x v="2"/>
    <x v="5"/>
    <x v="162"/>
    <x v="116"/>
    <x v="144"/>
    <x v="349"/>
    <x v="121"/>
    <x v="274"/>
    <x v="2"/>
  </r>
  <r>
    <x v="0"/>
    <x v="27"/>
    <x v="27"/>
    <x v="12"/>
    <x v="12"/>
    <x v="12"/>
    <x v="6"/>
    <x v="188"/>
    <x v="134"/>
    <x v="57"/>
    <x v="153"/>
    <x v="116"/>
    <x v="270"/>
    <x v="2"/>
  </r>
  <r>
    <x v="0"/>
    <x v="27"/>
    <x v="27"/>
    <x v="7"/>
    <x v="7"/>
    <x v="7"/>
    <x v="7"/>
    <x v="189"/>
    <x v="70"/>
    <x v="130"/>
    <x v="289"/>
    <x v="72"/>
    <x v="31"/>
    <x v="2"/>
  </r>
  <r>
    <x v="0"/>
    <x v="27"/>
    <x v="27"/>
    <x v="44"/>
    <x v="44"/>
    <x v="44"/>
    <x v="7"/>
    <x v="189"/>
    <x v="70"/>
    <x v="131"/>
    <x v="350"/>
    <x v="116"/>
    <x v="270"/>
    <x v="2"/>
  </r>
  <r>
    <x v="0"/>
    <x v="27"/>
    <x v="27"/>
    <x v="3"/>
    <x v="3"/>
    <x v="3"/>
    <x v="9"/>
    <x v="170"/>
    <x v="9"/>
    <x v="138"/>
    <x v="194"/>
    <x v="116"/>
    <x v="270"/>
    <x v="2"/>
  </r>
  <r>
    <x v="0"/>
    <x v="27"/>
    <x v="27"/>
    <x v="4"/>
    <x v="4"/>
    <x v="4"/>
    <x v="9"/>
    <x v="170"/>
    <x v="9"/>
    <x v="128"/>
    <x v="347"/>
    <x v="123"/>
    <x v="164"/>
    <x v="2"/>
  </r>
  <r>
    <x v="0"/>
    <x v="27"/>
    <x v="27"/>
    <x v="6"/>
    <x v="6"/>
    <x v="6"/>
    <x v="9"/>
    <x v="170"/>
    <x v="9"/>
    <x v="138"/>
    <x v="194"/>
    <x v="116"/>
    <x v="270"/>
    <x v="2"/>
  </r>
  <r>
    <x v="0"/>
    <x v="27"/>
    <x v="27"/>
    <x v="14"/>
    <x v="14"/>
    <x v="14"/>
    <x v="12"/>
    <x v="218"/>
    <x v="165"/>
    <x v="126"/>
    <x v="179"/>
    <x v="115"/>
    <x v="272"/>
    <x v="2"/>
  </r>
  <r>
    <x v="0"/>
    <x v="27"/>
    <x v="27"/>
    <x v="32"/>
    <x v="32"/>
    <x v="32"/>
    <x v="13"/>
    <x v="172"/>
    <x v="13"/>
    <x v="143"/>
    <x v="351"/>
    <x v="47"/>
    <x v="275"/>
    <x v="2"/>
  </r>
  <r>
    <x v="0"/>
    <x v="27"/>
    <x v="27"/>
    <x v="16"/>
    <x v="16"/>
    <x v="16"/>
    <x v="14"/>
    <x v="173"/>
    <x v="14"/>
    <x v="145"/>
    <x v="138"/>
    <x v="52"/>
    <x v="133"/>
    <x v="2"/>
  </r>
  <r>
    <x v="0"/>
    <x v="27"/>
    <x v="27"/>
    <x v="18"/>
    <x v="18"/>
    <x v="18"/>
    <x v="14"/>
    <x v="173"/>
    <x v="14"/>
    <x v="129"/>
    <x v="352"/>
    <x v="72"/>
    <x v="31"/>
    <x v="2"/>
  </r>
  <r>
    <x v="0"/>
    <x v="27"/>
    <x v="27"/>
    <x v="13"/>
    <x v="13"/>
    <x v="13"/>
    <x v="16"/>
    <x v="174"/>
    <x v="15"/>
    <x v="69"/>
    <x v="114"/>
    <x v="107"/>
    <x v="167"/>
    <x v="2"/>
  </r>
  <r>
    <x v="0"/>
    <x v="27"/>
    <x v="27"/>
    <x v="19"/>
    <x v="19"/>
    <x v="19"/>
    <x v="16"/>
    <x v="174"/>
    <x v="15"/>
    <x v="130"/>
    <x v="289"/>
    <x v="120"/>
    <x v="276"/>
    <x v="2"/>
  </r>
  <r>
    <x v="0"/>
    <x v="27"/>
    <x v="27"/>
    <x v="17"/>
    <x v="17"/>
    <x v="17"/>
    <x v="18"/>
    <x v="217"/>
    <x v="50"/>
    <x v="121"/>
    <x v="163"/>
    <x v="107"/>
    <x v="167"/>
    <x v="2"/>
  </r>
  <r>
    <x v="0"/>
    <x v="27"/>
    <x v="27"/>
    <x v="23"/>
    <x v="23"/>
    <x v="23"/>
    <x v="18"/>
    <x v="217"/>
    <x v="50"/>
    <x v="119"/>
    <x v="291"/>
    <x v="42"/>
    <x v="277"/>
    <x v="2"/>
  </r>
  <r>
    <x v="0"/>
    <x v="27"/>
    <x v="27"/>
    <x v="36"/>
    <x v="36"/>
    <x v="36"/>
    <x v="18"/>
    <x v="217"/>
    <x v="50"/>
    <x v="127"/>
    <x v="353"/>
    <x v="120"/>
    <x v="276"/>
    <x v="2"/>
  </r>
  <r>
    <x v="0"/>
    <x v="28"/>
    <x v="28"/>
    <x v="1"/>
    <x v="1"/>
    <x v="1"/>
    <x v="0"/>
    <x v="210"/>
    <x v="234"/>
    <x v="164"/>
    <x v="354"/>
    <x v="59"/>
    <x v="278"/>
    <x v="2"/>
  </r>
  <r>
    <x v="0"/>
    <x v="28"/>
    <x v="28"/>
    <x v="0"/>
    <x v="0"/>
    <x v="0"/>
    <x v="1"/>
    <x v="211"/>
    <x v="235"/>
    <x v="124"/>
    <x v="355"/>
    <x v="57"/>
    <x v="138"/>
    <x v="2"/>
  </r>
  <r>
    <x v="0"/>
    <x v="28"/>
    <x v="28"/>
    <x v="29"/>
    <x v="29"/>
    <x v="29"/>
    <x v="2"/>
    <x v="149"/>
    <x v="236"/>
    <x v="71"/>
    <x v="356"/>
    <x v="54"/>
    <x v="279"/>
    <x v="2"/>
  </r>
  <r>
    <x v="0"/>
    <x v="28"/>
    <x v="28"/>
    <x v="5"/>
    <x v="5"/>
    <x v="5"/>
    <x v="3"/>
    <x v="136"/>
    <x v="228"/>
    <x v="39"/>
    <x v="132"/>
    <x v="58"/>
    <x v="101"/>
    <x v="2"/>
  </r>
  <r>
    <x v="0"/>
    <x v="28"/>
    <x v="28"/>
    <x v="2"/>
    <x v="2"/>
    <x v="2"/>
    <x v="4"/>
    <x v="139"/>
    <x v="54"/>
    <x v="137"/>
    <x v="357"/>
    <x v="71"/>
    <x v="66"/>
    <x v="2"/>
  </r>
  <r>
    <x v="0"/>
    <x v="28"/>
    <x v="28"/>
    <x v="9"/>
    <x v="9"/>
    <x v="9"/>
    <x v="5"/>
    <x v="141"/>
    <x v="237"/>
    <x v="73"/>
    <x v="358"/>
    <x v="107"/>
    <x v="113"/>
    <x v="2"/>
  </r>
  <r>
    <x v="0"/>
    <x v="28"/>
    <x v="28"/>
    <x v="6"/>
    <x v="6"/>
    <x v="6"/>
    <x v="6"/>
    <x v="143"/>
    <x v="42"/>
    <x v="89"/>
    <x v="359"/>
    <x v="58"/>
    <x v="101"/>
    <x v="2"/>
  </r>
  <r>
    <x v="0"/>
    <x v="28"/>
    <x v="28"/>
    <x v="3"/>
    <x v="3"/>
    <x v="3"/>
    <x v="7"/>
    <x v="155"/>
    <x v="26"/>
    <x v="73"/>
    <x v="358"/>
    <x v="120"/>
    <x v="168"/>
    <x v="2"/>
  </r>
  <r>
    <x v="0"/>
    <x v="28"/>
    <x v="28"/>
    <x v="7"/>
    <x v="7"/>
    <x v="7"/>
    <x v="8"/>
    <x v="188"/>
    <x v="185"/>
    <x v="126"/>
    <x v="32"/>
    <x v="52"/>
    <x v="222"/>
    <x v="2"/>
  </r>
  <r>
    <x v="0"/>
    <x v="28"/>
    <x v="28"/>
    <x v="12"/>
    <x v="12"/>
    <x v="12"/>
    <x v="9"/>
    <x v="189"/>
    <x v="59"/>
    <x v="130"/>
    <x v="12"/>
    <x v="72"/>
    <x v="215"/>
    <x v="2"/>
  </r>
  <r>
    <x v="0"/>
    <x v="28"/>
    <x v="28"/>
    <x v="11"/>
    <x v="11"/>
    <x v="11"/>
    <x v="9"/>
    <x v="189"/>
    <x v="59"/>
    <x v="57"/>
    <x v="283"/>
    <x v="58"/>
    <x v="101"/>
    <x v="2"/>
  </r>
  <r>
    <x v="0"/>
    <x v="28"/>
    <x v="28"/>
    <x v="13"/>
    <x v="13"/>
    <x v="13"/>
    <x v="9"/>
    <x v="189"/>
    <x v="59"/>
    <x v="70"/>
    <x v="241"/>
    <x v="107"/>
    <x v="113"/>
    <x v="2"/>
  </r>
  <r>
    <x v="0"/>
    <x v="28"/>
    <x v="28"/>
    <x v="22"/>
    <x v="22"/>
    <x v="22"/>
    <x v="9"/>
    <x v="189"/>
    <x v="59"/>
    <x v="128"/>
    <x v="360"/>
    <x v="121"/>
    <x v="49"/>
    <x v="2"/>
  </r>
  <r>
    <x v="0"/>
    <x v="28"/>
    <x v="28"/>
    <x v="15"/>
    <x v="15"/>
    <x v="15"/>
    <x v="13"/>
    <x v="170"/>
    <x v="92"/>
    <x v="121"/>
    <x v="361"/>
    <x v="45"/>
    <x v="255"/>
    <x v="2"/>
  </r>
  <r>
    <x v="0"/>
    <x v="28"/>
    <x v="28"/>
    <x v="23"/>
    <x v="23"/>
    <x v="23"/>
    <x v="13"/>
    <x v="170"/>
    <x v="92"/>
    <x v="87"/>
    <x v="9"/>
    <x v="120"/>
    <x v="168"/>
    <x v="2"/>
  </r>
  <r>
    <x v="0"/>
    <x v="28"/>
    <x v="28"/>
    <x v="4"/>
    <x v="4"/>
    <x v="4"/>
    <x v="15"/>
    <x v="218"/>
    <x v="137"/>
    <x v="57"/>
    <x v="283"/>
    <x v="120"/>
    <x v="168"/>
    <x v="2"/>
  </r>
  <r>
    <x v="0"/>
    <x v="28"/>
    <x v="28"/>
    <x v="36"/>
    <x v="36"/>
    <x v="36"/>
    <x v="15"/>
    <x v="218"/>
    <x v="137"/>
    <x v="131"/>
    <x v="118"/>
    <x v="57"/>
    <x v="138"/>
    <x v="2"/>
  </r>
  <r>
    <x v="0"/>
    <x v="28"/>
    <x v="28"/>
    <x v="20"/>
    <x v="20"/>
    <x v="20"/>
    <x v="17"/>
    <x v="171"/>
    <x v="31"/>
    <x v="70"/>
    <x v="241"/>
    <x v="42"/>
    <x v="270"/>
    <x v="2"/>
  </r>
  <r>
    <x v="0"/>
    <x v="28"/>
    <x v="28"/>
    <x v="18"/>
    <x v="18"/>
    <x v="18"/>
    <x v="17"/>
    <x v="171"/>
    <x v="31"/>
    <x v="127"/>
    <x v="334"/>
    <x v="109"/>
    <x v="211"/>
    <x v="2"/>
  </r>
  <r>
    <x v="0"/>
    <x v="28"/>
    <x v="28"/>
    <x v="55"/>
    <x v="55"/>
    <x v="55"/>
    <x v="19"/>
    <x v="172"/>
    <x v="18"/>
    <x v="145"/>
    <x v="217"/>
    <x v="59"/>
    <x v="278"/>
    <x v="2"/>
  </r>
  <r>
    <x v="0"/>
    <x v="29"/>
    <x v="29"/>
    <x v="1"/>
    <x v="1"/>
    <x v="1"/>
    <x v="0"/>
    <x v="68"/>
    <x v="238"/>
    <x v="115"/>
    <x v="362"/>
    <x v="57"/>
    <x v="205"/>
    <x v="2"/>
  </r>
  <r>
    <x v="0"/>
    <x v="29"/>
    <x v="29"/>
    <x v="10"/>
    <x v="10"/>
    <x v="10"/>
    <x v="1"/>
    <x v="136"/>
    <x v="239"/>
    <x v="76"/>
    <x v="108"/>
    <x v="68"/>
    <x v="280"/>
    <x v="2"/>
  </r>
  <r>
    <x v="0"/>
    <x v="29"/>
    <x v="29"/>
    <x v="45"/>
    <x v="45"/>
    <x v="45"/>
    <x v="2"/>
    <x v="161"/>
    <x v="240"/>
    <x v="112"/>
    <x v="363"/>
    <x v="116"/>
    <x v="200"/>
    <x v="2"/>
  </r>
  <r>
    <x v="0"/>
    <x v="29"/>
    <x v="29"/>
    <x v="0"/>
    <x v="0"/>
    <x v="0"/>
    <x v="3"/>
    <x v="141"/>
    <x v="241"/>
    <x v="50"/>
    <x v="115"/>
    <x v="71"/>
    <x v="6"/>
    <x v="2"/>
  </r>
  <r>
    <x v="0"/>
    <x v="29"/>
    <x v="29"/>
    <x v="2"/>
    <x v="2"/>
    <x v="2"/>
    <x v="4"/>
    <x v="143"/>
    <x v="21"/>
    <x v="59"/>
    <x v="364"/>
    <x v="121"/>
    <x v="281"/>
    <x v="2"/>
  </r>
  <r>
    <x v="0"/>
    <x v="29"/>
    <x v="29"/>
    <x v="3"/>
    <x v="3"/>
    <x v="3"/>
    <x v="5"/>
    <x v="162"/>
    <x v="88"/>
    <x v="89"/>
    <x v="365"/>
    <x v="120"/>
    <x v="5"/>
    <x v="2"/>
  </r>
  <r>
    <x v="0"/>
    <x v="29"/>
    <x v="29"/>
    <x v="11"/>
    <x v="11"/>
    <x v="11"/>
    <x v="6"/>
    <x v="188"/>
    <x v="242"/>
    <x v="130"/>
    <x v="366"/>
    <x v="107"/>
    <x v="226"/>
    <x v="2"/>
  </r>
  <r>
    <x v="0"/>
    <x v="29"/>
    <x v="29"/>
    <x v="14"/>
    <x v="14"/>
    <x v="14"/>
    <x v="7"/>
    <x v="170"/>
    <x v="44"/>
    <x v="126"/>
    <x v="244"/>
    <x v="105"/>
    <x v="282"/>
    <x v="2"/>
  </r>
  <r>
    <x v="0"/>
    <x v="29"/>
    <x v="29"/>
    <x v="9"/>
    <x v="9"/>
    <x v="9"/>
    <x v="8"/>
    <x v="171"/>
    <x v="149"/>
    <x v="127"/>
    <x v="367"/>
    <x v="109"/>
    <x v="283"/>
    <x v="2"/>
  </r>
  <r>
    <x v="0"/>
    <x v="29"/>
    <x v="29"/>
    <x v="44"/>
    <x v="44"/>
    <x v="44"/>
    <x v="8"/>
    <x v="171"/>
    <x v="149"/>
    <x v="138"/>
    <x v="331"/>
    <x v="57"/>
    <x v="205"/>
    <x v="2"/>
  </r>
  <r>
    <x v="0"/>
    <x v="29"/>
    <x v="29"/>
    <x v="4"/>
    <x v="4"/>
    <x v="4"/>
    <x v="10"/>
    <x v="173"/>
    <x v="118"/>
    <x v="57"/>
    <x v="368"/>
    <x v="123"/>
    <x v="164"/>
    <x v="2"/>
  </r>
  <r>
    <x v="0"/>
    <x v="29"/>
    <x v="29"/>
    <x v="12"/>
    <x v="12"/>
    <x v="12"/>
    <x v="11"/>
    <x v="174"/>
    <x v="46"/>
    <x v="76"/>
    <x v="108"/>
    <x v="116"/>
    <x v="200"/>
    <x v="2"/>
  </r>
  <r>
    <x v="0"/>
    <x v="29"/>
    <x v="29"/>
    <x v="16"/>
    <x v="16"/>
    <x v="16"/>
    <x v="12"/>
    <x v="175"/>
    <x v="14"/>
    <x v="121"/>
    <x v="369"/>
    <x v="115"/>
    <x v="107"/>
    <x v="2"/>
  </r>
  <r>
    <x v="0"/>
    <x v="29"/>
    <x v="29"/>
    <x v="7"/>
    <x v="7"/>
    <x v="7"/>
    <x v="12"/>
    <x v="175"/>
    <x v="14"/>
    <x v="127"/>
    <x v="367"/>
    <x v="57"/>
    <x v="205"/>
    <x v="2"/>
  </r>
  <r>
    <x v="0"/>
    <x v="29"/>
    <x v="29"/>
    <x v="6"/>
    <x v="6"/>
    <x v="6"/>
    <x v="12"/>
    <x v="175"/>
    <x v="14"/>
    <x v="130"/>
    <x v="366"/>
    <x v="71"/>
    <x v="6"/>
    <x v="2"/>
  </r>
  <r>
    <x v="0"/>
    <x v="29"/>
    <x v="29"/>
    <x v="43"/>
    <x v="43"/>
    <x v="43"/>
    <x v="15"/>
    <x v="217"/>
    <x v="62"/>
    <x v="126"/>
    <x v="244"/>
    <x v="58"/>
    <x v="62"/>
    <x v="2"/>
  </r>
  <r>
    <x v="0"/>
    <x v="29"/>
    <x v="29"/>
    <x v="56"/>
    <x v="56"/>
    <x v="56"/>
    <x v="15"/>
    <x v="217"/>
    <x v="62"/>
    <x v="126"/>
    <x v="244"/>
    <x v="58"/>
    <x v="62"/>
    <x v="2"/>
  </r>
  <r>
    <x v="0"/>
    <x v="29"/>
    <x v="29"/>
    <x v="20"/>
    <x v="20"/>
    <x v="20"/>
    <x v="15"/>
    <x v="217"/>
    <x v="62"/>
    <x v="126"/>
    <x v="244"/>
    <x v="58"/>
    <x v="62"/>
    <x v="2"/>
  </r>
  <r>
    <x v="0"/>
    <x v="29"/>
    <x v="29"/>
    <x v="8"/>
    <x v="8"/>
    <x v="8"/>
    <x v="15"/>
    <x v="217"/>
    <x v="62"/>
    <x v="149"/>
    <x v="370"/>
    <x v="123"/>
    <x v="164"/>
    <x v="2"/>
  </r>
  <r>
    <x v="0"/>
    <x v="29"/>
    <x v="29"/>
    <x v="42"/>
    <x v="42"/>
    <x v="42"/>
    <x v="19"/>
    <x v="176"/>
    <x v="18"/>
    <x v="145"/>
    <x v="193"/>
    <x v="107"/>
    <x v="226"/>
    <x v="2"/>
  </r>
  <r>
    <x v="0"/>
    <x v="29"/>
    <x v="29"/>
    <x v="18"/>
    <x v="18"/>
    <x v="18"/>
    <x v="19"/>
    <x v="176"/>
    <x v="18"/>
    <x v="132"/>
    <x v="371"/>
    <x v="42"/>
    <x v="137"/>
    <x v="2"/>
  </r>
  <r>
    <x v="0"/>
    <x v="29"/>
    <x v="29"/>
    <x v="19"/>
    <x v="19"/>
    <x v="19"/>
    <x v="19"/>
    <x v="176"/>
    <x v="18"/>
    <x v="127"/>
    <x v="367"/>
    <x v="71"/>
    <x v="6"/>
    <x v="2"/>
  </r>
  <r>
    <x v="0"/>
    <x v="30"/>
    <x v="30"/>
    <x v="0"/>
    <x v="0"/>
    <x v="0"/>
    <x v="0"/>
    <x v="125"/>
    <x v="243"/>
    <x v="134"/>
    <x v="372"/>
    <x v="120"/>
    <x v="68"/>
    <x v="2"/>
  </r>
  <r>
    <x v="0"/>
    <x v="30"/>
    <x v="30"/>
    <x v="12"/>
    <x v="12"/>
    <x v="12"/>
    <x v="1"/>
    <x v="137"/>
    <x v="227"/>
    <x v="158"/>
    <x v="373"/>
    <x v="107"/>
    <x v="123"/>
    <x v="2"/>
  </r>
  <r>
    <x v="0"/>
    <x v="30"/>
    <x v="30"/>
    <x v="4"/>
    <x v="4"/>
    <x v="4"/>
    <x v="2"/>
    <x v="140"/>
    <x v="244"/>
    <x v="50"/>
    <x v="374"/>
    <x v="120"/>
    <x v="68"/>
    <x v="2"/>
  </r>
  <r>
    <x v="0"/>
    <x v="30"/>
    <x v="30"/>
    <x v="2"/>
    <x v="2"/>
    <x v="2"/>
    <x v="3"/>
    <x v="144"/>
    <x v="245"/>
    <x v="158"/>
    <x v="373"/>
    <x v="121"/>
    <x v="30"/>
    <x v="2"/>
  </r>
  <r>
    <x v="0"/>
    <x v="30"/>
    <x v="30"/>
    <x v="7"/>
    <x v="7"/>
    <x v="7"/>
    <x v="4"/>
    <x v="154"/>
    <x v="114"/>
    <x v="67"/>
    <x v="256"/>
    <x v="42"/>
    <x v="98"/>
    <x v="2"/>
  </r>
  <r>
    <x v="0"/>
    <x v="30"/>
    <x v="30"/>
    <x v="10"/>
    <x v="10"/>
    <x v="10"/>
    <x v="5"/>
    <x v="187"/>
    <x v="133"/>
    <x v="121"/>
    <x v="375"/>
    <x v="63"/>
    <x v="284"/>
    <x v="2"/>
  </r>
  <r>
    <x v="0"/>
    <x v="30"/>
    <x v="30"/>
    <x v="3"/>
    <x v="3"/>
    <x v="3"/>
    <x v="6"/>
    <x v="169"/>
    <x v="246"/>
    <x v="128"/>
    <x v="99"/>
    <x v="120"/>
    <x v="68"/>
    <x v="2"/>
  </r>
  <r>
    <x v="0"/>
    <x v="30"/>
    <x v="30"/>
    <x v="15"/>
    <x v="15"/>
    <x v="15"/>
    <x v="7"/>
    <x v="189"/>
    <x v="124"/>
    <x v="126"/>
    <x v="376"/>
    <x v="23"/>
    <x v="285"/>
    <x v="2"/>
  </r>
  <r>
    <x v="0"/>
    <x v="30"/>
    <x v="30"/>
    <x v="16"/>
    <x v="16"/>
    <x v="16"/>
    <x v="8"/>
    <x v="170"/>
    <x v="55"/>
    <x v="126"/>
    <x v="376"/>
    <x v="105"/>
    <x v="286"/>
    <x v="2"/>
  </r>
  <r>
    <x v="0"/>
    <x v="30"/>
    <x v="30"/>
    <x v="6"/>
    <x v="6"/>
    <x v="6"/>
    <x v="9"/>
    <x v="218"/>
    <x v="105"/>
    <x v="57"/>
    <x v="377"/>
    <x v="120"/>
    <x v="68"/>
    <x v="2"/>
  </r>
  <r>
    <x v="0"/>
    <x v="30"/>
    <x v="30"/>
    <x v="23"/>
    <x v="23"/>
    <x v="23"/>
    <x v="10"/>
    <x v="171"/>
    <x v="91"/>
    <x v="130"/>
    <x v="85"/>
    <x v="116"/>
    <x v="28"/>
    <x v="2"/>
  </r>
  <r>
    <x v="0"/>
    <x v="30"/>
    <x v="30"/>
    <x v="14"/>
    <x v="14"/>
    <x v="14"/>
    <x v="11"/>
    <x v="173"/>
    <x v="28"/>
    <x v="119"/>
    <x v="162"/>
    <x v="107"/>
    <x v="123"/>
    <x v="2"/>
  </r>
  <r>
    <x v="0"/>
    <x v="30"/>
    <x v="30"/>
    <x v="42"/>
    <x v="42"/>
    <x v="42"/>
    <x v="12"/>
    <x v="174"/>
    <x v="247"/>
    <x v="143"/>
    <x v="378"/>
    <x v="52"/>
    <x v="175"/>
    <x v="2"/>
  </r>
  <r>
    <x v="0"/>
    <x v="30"/>
    <x v="30"/>
    <x v="8"/>
    <x v="8"/>
    <x v="8"/>
    <x v="12"/>
    <x v="174"/>
    <x v="247"/>
    <x v="138"/>
    <x v="368"/>
    <x v="121"/>
    <x v="30"/>
    <x v="2"/>
  </r>
  <r>
    <x v="0"/>
    <x v="30"/>
    <x v="30"/>
    <x v="5"/>
    <x v="5"/>
    <x v="5"/>
    <x v="14"/>
    <x v="175"/>
    <x v="92"/>
    <x v="130"/>
    <x v="85"/>
    <x v="71"/>
    <x v="287"/>
    <x v="2"/>
  </r>
  <r>
    <x v="0"/>
    <x v="30"/>
    <x v="30"/>
    <x v="45"/>
    <x v="45"/>
    <x v="45"/>
    <x v="15"/>
    <x v="217"/>
    <x v="15"/>
    <x v="70"/>
    <x v="212"/>
    <x v="71"/>
    <x v="287"/>
    <x v="2"/>
  </r>
  <r>
    <x v="0"/>
    <x v="30"/>
    <x v="30"/>
    <x v="43"/>
    <x v="43"/>
    <x v="43"/>
    <x v="16"/>
    <x v="176"/>
    <x v="158"/>
    <x v="129"/>
    <x v="154"/>
    <x v="58"/>
    <x v="266"/>
    <x v="2"/>
  </r>
  <r>
    <x v="0"/>
    <x v="30"/>
    <x v="30"/>
    <x v="38"/>
    <x v="38"/>
    <x v="38"/>
    <x v="16"/>
    <x v="176"/>
    <x v="158"/>
    <x v="132"/>
    <x v="65"/>
    <x v="109"/>
    <x v="171"/>
    <x v="2"/>
  </r>
  <r>
    <x v="0"/>
    <x v="30"/>
    <x v="30"/>
    <x v="28"/>
    <x v="28"/>
    <x v="28"/>
    <x v="16"/>
    <x v="176"/>
    <x v="158"/>
    <x v="76"/>
    <x v="353"/>
    <x v="120"/>
    <x v="68"/>
    <x v="2"/>
  </r>
  <r>
    <x v="0"/>
    <x v="30"/>
    <x v="30"/>
    <x v="37"/>
    <x v="37"/>
    <x v="37"/>
    <x v="16"/>
    <x v="176"/>
    <x v="158"/>
    <x v="132"/>
    <x v="65"/>
    <x v="109"/>
    <x v="171"/>
    <x v="2"/>
  </r>
  <r>
    <x v="0"/>
    <x v="30"/>
    <x v="30"/>
    <x v="9"/>
    <x v="9"/>
    <x v="9"/>
    <x v="16"/>
    <x v="176"/>
    <x v="158"/>
    <x v="129"/>
    <x v="154"/>
    <x v="58"/>
    <x v="266"/>
    <x v="2"/>
  </r>
  <r>
    <x v="0"/>
    <x v="30"/>
    <x v="30"/>
    <x v="17"/>
    <x v="17"/>
    <x v="17"/>
    <x v="16"/>
    <x v="176"/>
    <x v="158"/>
    <x v="126"/>
    <x v="376"/>
    <x v="57"/>
    <x v="288"/>
    <x v="2"/>
  </r>
  <r>
    <x v="0"/>
    <x v="30"/>
    <x v="30"/>
    <x v="18"/>
    <x v="18"/>
    <x v="18"/>
    <x v="16"/>
    <x v="176"/>
    <x v="158"/>
    <x v="129"/>
    <x v="154"/>
    <x v="57"/>
    <x v="288"/>
    <x v="2"/>
  </r>
  <r>
    <x v="0"/>
    <x v="31"/>
    <x v="31"/>
    <x v="0"/>
    <x v="0"/>
    <x v="0"/>
    <x v="0"/>
    <x v="123"/>
    <x v="248"/>
    <x v="136"/>
    <x v="379"/>
    <x v="58"/>
    <x v="165"/>
    <x v="2"/>
  </r>
  <r>
    <x v="0"/>
    <x v="31"/>
    <x v="31"/>
    <x v="2"/>
    <x v="2"/>
    <x v="2"/>
    <x v="1"/>
    <x v="137"/>
    <x v="20"/>
    <x v="53"/>
    <x v="380"/>
    <x v="71"/>
    <x v="59"/>
    <x v="2"/>
  </r>
  <r>
    <x v="0"/>
    <x v="31"/>
    <x v="31"/>
    <x v="12"/>
    <x v="12"/>
    <x v="12"/>
    <x v="2"/>
    <x v="141"/>
    <x v="249"/>
    <x v="187"/>
    <x v="82"/>
    <x v="115"/>
    <x v="221"/>
    <x v="2"/>
  </r>
  <r>
    <x v="0"/>
    <x v="31"/>
    <x v="31"/>
    <x v="7"/>
    <x v="7"/>
    <x v="7"/>
    <x v="2"/>
    <x v="141"/>
    <x v="249"/>
    <x v="67"/>
    <x v="381"/>
    <x v="23"/>
    <x v="260"/>
    <x v="2"/>
  </r>
  <r>
    <x v="0"/>
    <x v="31"/>
    <x v="31"/>
    <x v="5"/>
    <x v="5"/>
    <x v="5"/>
    <x v="2"/>
    <x v="141"/>
    <x v="249"/>
    <x v="59"/>
    <x v="382"/>
    <x v="57"/>
    <x v="100"/>
    <x v="2"/>
  </r>
  <r>
    <x v="0"/>
    <x v="31"/>
    <x v="31"/>
    <x v="4"/>
    <x v="4"/>
    <x v="4"/>
    <x v="5"/>
    <x v="142"/>
    <x v="250"/>
    <x v="50"/>
    <x v="383"/>
    <x v="121"/>
    <x v="261"/>
    <x v="2"/>
  </r>
  <r>
    <x v="0"/>
    <x v="31"/>
    <x v="31"/>
    <x v="10"/>
    <x v="10"/>
    <x v="10"/>
    <x v="6"/>
    <x v="153"/>
    <x v="130"/>
    <x v="119"/>
    <x v="223"/>
    <x v="118"/>
    <x v="289"/>
    <x v="2"/>
  </r>
  <r>
    <x v="0"/>
    <x v="31"/>
    <x v="31"/>
    <x v="41"/>
    <x v="41"/>
    <x v="41"/>
    <x v="7"/>
    <x v="143"/>
    <x v="232"/>
    <x v="138"/>
    <x v="343"/>
    <x v="59"/>
    <x v="290"/>
    <x v="2"/>
  </r>
  <r>
    <x v="0"/>
    <x v="31"/>
    <x v="31"/>
    <x v="1"/>
    <x v="1"/>
    <x v="1"/>
    <x v="8"/>
    <x v="154"/>
    <x v="133"/>
    <x v="130"/>
    <x v="312"/>
    <x v="23"/>
    <x v="260"/>
    <x v="2"/>
  </r>
  <r>
    <x v="0"/>
    <x v="31"/>
    <x v="31"/>
    <x v="3"/>
    <x v="3"/>
    <x v="3"/>
    <x v="9"/>
    <x v="169"/>
    <x v="251"/>
    <x v="71"/>
    <x v="384"/>
    <x v="123"/>
    <x v="164"/>
    <x v="2"/>
  </r>
  <r>
    <x v="0"/>
    <x v="31"/>
    <x v="31"/>
    <x v="9"/>
    <x v="9"/>
    <x v="9"/>
    <x v="10"/>
    <x v="189"/>
    <x v="69"/>
    <x v="57"/>
    <x v="214"/>
    <x v="58"/>
    <x v="165"/>
    <x v="2"/>
  </r>
  <r>
    <x v="0"/>
    <x v="31"/>
    <x v="31"/>
    <x v="18"/>
    <x v="18"/>
    <x v="18"/>
    <x v="11"/>
    <x v="218"/>
    <x v="78"/>
    <x v="138"/>
    <x v="343"/>
    <x v="57"/>
    <x v="100"/>
    <x v="2"/>
  </r>
  <r>
    <x v="0"/>
    <x v="31"/>
    <x v="31"/>
    <x v="23"/>
    <x v="23"/>
    <x v="23"/>
    <x v="12"/>
    <x v="172"/>
    <x v="252"/>
    <x v="138"/>
    <x v="343"/>
    <x v="120"/>
    <x v="148"/>
    <x v="2"/>
  </r>
  <r>
    <x v="0"/>
    <x v="31"/>
    <x v="31"/>
    <x v="57"/>
    <x v="57"/>
    <x v="57"/>
    <x v="12"/>
    <x v="172"/>
    <x v="252"/>
    <x v="170"/>
    <x v="262"/>
    <x v="45"/>
    <x v="291"/>
    <x v="2"/>
  </r>
  <r>
    <x v="0"/>
    <x v="31"/>
    <x v="31"/>
    <x v="21"/>
    <x v="21"/>
    <x v="21"/>
    <x v="14"/>
    <x v="174"/>
    <x v="14"/>
    <x v="138"/>
    <x v="343"/>
    <x v="121"/>
    <x v="261"/>
    <x v="2"/>
  </r>
  <r>
    <x v="0"/>
    <x v="31"/>
    <x v="31"/>
    <x v="20"/>
    <x v="20"/>
    <x v="20"/>
    <x v="14"/>
    <x v="174"/>
    <x v="14"/>
    <x v="138"/>
    <x v="343"/>
    <x v="121"/>
    <x v="261"/>
    <x v="2"/>
  </r>
  <r>
    <x v="0"/>
    <x v="31"/>
    <x v="31"/>
    <x v="6"/>
    <x v="6"/>
    <x v="6"/>
    <x v="14"/>
    <x v="174"/>
    <x v="14"/>
    <x v="131"/>
    <x v="385"/>
    <x v="123"/>
    <x v="164"/>
    <x v="2"/>
  </r>
  <r>
    <x v="0"/>
    <x v="31"/>
    <x v="31"/>
    <x v="16"/>
    <x v="16"/>
    <x v="16"/>
    <x v="17"/>
    <x v="175"/>
    <x v="15"/>
    <x v="69"/>
    <x v="149"/>
    <x v="72"/>
    <x v="16"/>
    <x v="2"/>
  </r>
  <r>
    <x v="0"/>
    <x v="31"/>
    <x v="31"/>
    <x v="8"/>
    <x v="8"/>
    <x v="8"/>
    <x v="17"/>
    <x v="175"/>
    <x v="15"/>
    <x v="149"/>
    <x v="212"/>
    <x v="121"/>
    <x v="261"/>
    <x v="2"/>
  </r>
  <r>
    <x v="0"/>
    <x v="31"/>
    <x v="31"/>
    <x v="28"/>
    <x v="28"/>
    <x v="28"/>
    <x v="19"/>
    <x v="217"/>
    <x v="127"/>
    <x v="130"/>
    <x v="312"/>
    <x v="121"/>
    <x v="261"/>
    <x v="2"/>
  </r>
  <r>
    <x v="0"/>
    <x v="31"/>
    <x v="31"/>
    <x v="17"/>
    <x v="17"/>
    <x v="17"/>
    <x v="19"/>
    <x v="217"/>
    <x v="127"/>
    <x v="132"/>
    <x v="386"/>
    <x v="72"/>
    <x v="16"/>
    <x v="2"/>
  </r>
  <r>
    <x v="0"/>
    <x v="31"/>
    <x v="31"/>
    <x v="58"/>
    <x v="58"/>
    <x v="58"/>
    <x v="19"/>
    <x v="217"/>
    <x v="127"/>
    <x v="170"/>
    <x v="262"/>
    <x v="123"/>
    <x v="164"/>
    <x v="2"/>
  </r>
  <r>
    <x v="0"/>
    <x v="32"/>
    <x v="32"/>
    <x v="1"/>
    <x v="1"/>
    <x v="1"/>
    <x v="0"/>
    <x v="48"/>
    <x v="253"/>
    <x v="190"/>
    <x v="387"/>
    <x v="107"/>
    <x v="137"/>
    <x v="2"/>
  </r>
  <r>
    <x v="0"/>
    <x v="32"/>
    <x v="32"/>
    <x v="0"/>
    <x v="0"/>
    <x v="0"/>
    <x v="1"/>
    <x v="68"/>
    <x v="160"/>
    <x v="65"/>
    <x v="388"/>
    <x v="107"/>
    <x v="137"/>
    <x v="2"/>
  </r>
  <r>
    <x v="0"/>
    <x v="32"/>
    <x v="32"/>
    <x v="3"/>
    <x v="3"/>
    <x v="3"/>
    <x v="2"/>
    <x v="129"/>
    <x v="175"/>
    <x v="88"/>
    <x v="255"/>
    <x v="42"/>
    <x v="183"/>
    <x v="2"/>
  </r>
  <r>
    <x v="0"/>
    <x v="32"/>
    <x v="32"/>
    <x v="2"/>
    <x v="2"/>
    <x v="2"/>
    <x v="2"/>
    <x v="129"/>
    <x v="175"/>
    <x v="75"/>
    <x v="232"/>
    <x v="123"/>
    <x v="164"/>
    <x v="2"/>
  </r>
  <r>
    <x v="0"/>
    <x v="32"/>
    <x v="32"/>
    <x v="8"/>
    <x v="8"/>
    <x v="8"/>
    <x v="4"/>
    <x v="151"/>
    <x v="88"/>
    <x v="140"/>
    <x v="389"/>
    <x v="57"/>
    <x v="109"/>
    <x v="2"/>
  </r>
  <r>
    <x v="0"/>
    <x v="32"/>
    <x v="32"/>
    <x v="6"/>
    <x v="6"/>
    <x v="6"/>
    <x v="5"/>
    <x v="131"/>
    <x v="199"/>
    <x v="118"/>
    <x v="99"/>
    <x v="57"/>
    <x v="109"/>
    <x v="2"/>
  </r>
  <r>
    <x v="0"/>
    <x v="32"/>
    <x v="32"/>
    <x v="10"/>
    <x v="10"/>
    <x v="10"/>
    <x v="6"/>
    <x v="138"/>
    <x v="216"/>
    <x v="119"/>
    <x v="13"/>
    <x v="56"/>
    <x v="292"/>
    <x v="2"/>
  </r>
  <r>
    <x v="0"/>
    <x v="32"/>
    <x v="32"/>
    <x v="4"/>
    <x v="4"/>
    <x v="4"/>
    <x v="7"/>
    <x v="139"/>
    <x v="176"/>
    <x v="137"/>
    <x v="390"/>
    <x v="71"/>
    <x v="108"/>
    <x v="2"/>
  </r>
  <r>
    <x v="0"/>
    <x v="32"/>
    <x v="32"/>
    <x v="5"/>
    <x v="5"/>
    <x v="5"/>
    <x v="8"/>
    <x v="141"/>
    <x v="24"/>
    <x v="112"/>
    <x v="391"/>
    <x v="120"/>
    <x v="110"/>
    <x v="2"/>
  </r>
  <r>
    <x v="0"/>
    <x v="32"/>
    <x v="32"/>
    <x v="9"/>
    <x v="9"/>
    <x v="9"/>
    <x v="9"/>
    <x v="162"/>
    <x v="8"/>
    <x v="57"/>
    <x v="146"/>
    <x v="115"/>
    <x v="232"/>
    <x v="2"/>
  </r>
  <r>
    <x v="0"/>
    <x v="32"/>
    <x v="32"/>
    <x v="7"/>
    <x v="7"/>
    <x v="7"/>
    <x v="10"/>
    <x v="154"/>
    <x v="219"/>
    <x v="70"/>
    <x v="140"/>
    <x v="59"/>
    <x v="293"/>
    <x v="2"/>
  </r>
  <r>
    <x v="0"/>
    <x v="32"/>
    <x v="32"/>
    <x v="12"/>
    <x v="12"/>
    <x v="12"/>
    <x v="11"/>
    <x v="155"/>
    <x v="10"/>
    <x v="131"/>
    <x v="261"/>
    <x v="107"/>
    <x v="137"/>
    <x v="2"/>
  </r>
  <r>
    <x v="0"/>
    <x v="32"/>
    <x v="32"/>
    <x v="11"/>
    <x v="11"/>
    <x v="11"/>
    <x v="12"/>
    <x v="187"/>
    <x v="108"/>
    <x v="130"/>
    <x v="392"/>
    <x v="105"/>
    <x v="154"/>
    <x v="2"/>
  </r>
  <r>
    <x v="0"/>
    <x v="32"/>
    <x v="32"/>
    <x v="30"/>
    <x v="30"/>
    <x v="30"/>
    <x v="13"/>
    <x v="188"/>
    <x v="109"/>
    <x v="128"/>
    <x v="178"/>
    <x v="71"/>
    <x v="108"/>
    <x v="2"/>
  </r>
  <r>
    <x v="0"/>
    <x v="32"/>
    <x v="32"/>
    <x v="18"/>
    <x v="18"/>
    <x v="18"/>
    <x v="14"/>
    <x v="189"/>
    <x v="136"/>
    <x v="69"/>
    <x v="155"/>
    <x v="59"/>
    <x v="293"/>
    <x v="2"/>
  </r>
  <r>
    <x v="0"/>
    <x v="32"/>
    <x v="32"/>
    <x v="19"/>
    <x v="19"/>
    <x v="19"/>
    <x v="14"/>
    <x v="189"/>
    <x v="136"/>
    <x v="138"/>
    <x v="298"/>
    <x v="42"/>
    <x v="183"/>
    <x v="2"/>
  </r>
  <r>
    <x v="0"/>
    <x v="32"/>
    <x v="32"/>
    <x v="44"/>
    <x v="44"/>
    <x v="44"/>
    <x v="16"/>
    <x v="171"/>
    <x v="119"/>
    <x v="149"/>
    <x v="179"/>
    <x v="58"/>
    <x v="82"/>
    <x v="2"/>
  </r>
  <r>
    <x v="0"/>
    <x v="32"/>
    <x v="32"/>
    <x v="15"/>
    <x v="15"/>
    <x v="15"/>
    <x v="17"/>
    <x v="172"/>
    <x v="36"/>
    <x v="129"/>
    <x v="181"/>
    <x v="107"/>
    <x v="137"/>
    <x v="2"/>
  </r>
  <r>
    <x v="0"/>
    <x v="32"/>
    <x v="32"/>
    <x v="21"/>
    <x v="21"/>
    <x v="21"/>
    <x v="17"/>
    <x v="172"/>
    <x v="36"/>
    <x v="126"/>
    <x v="282"/>
    <x v="72"/>
    <x v="220"/>
    <x v="2"/>
  </r>
  <r>
    <x v="0"/>
    <x v="32"/>
    <x v="32"/>
    <x v="13"/>
    <x v="13"/>
    <x v="13"/>
    <x v="17"/>
    <x v="172"/>
    <x v="36"/>
    <x v="76"/>
    <x v="332"/>
    <x v="109"/>
    <x v="294"/>
    <x v="2"/>
  </r>
  <r>
    <x v="0"/>
    <x v="33"/>
    <x v="33"/>
    <x v="41"/>
    <x v="41"/>
    <x v="41"/>
    <x v="0"/>
    <x v="184"/>
    <x v="254"/>
    <x v="65"/>
    <x v="393"/>
    <x v="54"/>
    <x v="295"/>
    <x v="2"/>
  </r>
  <r>
    <x v="0"/>
    <x v="33"/>
    <x v="33"/>
    <x v="0"/>
    <x v="0"/>
    <x v="0"/>
    <x v="1"/>
    <x v="124"/>
    <x v="231"/>
    <x v="103"/>
    <x v="394"/>
    <x v="121"/>
    <x v="39"/>
    <x v="2"/>
  </r>
  <r>
    <x v="0"/>
    <x v="33"/>
    <x v="33"/>
    <x v="2"/>
    <x v="2"/>
    <x v="2"/>
    <x v="2"/>
    <x v="127"/>
    <x v="155"/>
    <x v="34"/>
    <x v="395"/>
    <x v="71"/>
    <x v="66"/>
    <x v="2"/>
  </r>
  <r>
    <x v="0"/>
    <x v="33"/>
    <x v="33"/>
    <x v="12"/>
    <x v="12"/>
    <x v="12"/>
    <x v="3"/>
    <x v="159"/>
    <x v="255"/>
    <x v="137"/>
    <x v="396"/>
    <x v="59"/>
    <x v="262"/>
    <x v="2"/>
  </r>
  <r>
    <x v="0"/>
    <x v="33"/>
    <x v="33"/>
    <x v="7"/>
    <x v="7"/>
    <x v="7"/>
    <x v="4"/>
    <x v="130"/>
    <x v="232"/>
    <x v="73"/>
    <x v="397"/>
    <x v="127"/>
    <x v="296"/>
    <x v="2"/>
  </r>
  <r>
    <x v="0"/>
    <x v="33"/>
    <x v="33"/>
    <x v="10"/>
    <x v="10"/>
    <x v="10"/>
    <x v="5"/>
    <x v="140"/>
    <x v="148"/>
    <x v="138"/>
    <x v="182"/>
    <x v="73"/>
    <x v="192"/>
    <x v="2"/>
  </r>
  <r>
    <x v="0"/>
    <x v="33"/>
    <x v="33"/>
    <x v="1"/>
    <x v="1"/>
    <x v="1"/>
    <x v="5"/>
    <x v="140"/>
    <x v="148"/>
    <x v="89"/>
    <x v="368"/>
    <x v="72"/>
    <x v="112"/>
    <x v="2"/>
  </r>
  <r>
    <x v="0"/>
    <x v="33"/>
    <x v="33"/>
    <x v="9"/>
    <x v="9"/>
    <x v="9"/>
    <x v="7"/>
    <x v="153"/>
    <x v="56"/>
    <x v="187"/>
    <x v="331"/>
    <x v="72"/>
    <x v="112"/>
    <x v="2"/>
  </r>
  <r>
    <x v="0"/>
    <x v="33"/>
    <x v="33"/>
    <x v="11"/>
    <x v="11"/>
    <x v="11"/>
    <x v="8"/>
    <x v="143"/>
    <x v="184"/>
    <x v="73"/>
    <x v="397"/>
    <x v="42"/>
    <x v="266"/>
    <x v="2"/>
  </r>
  <r>
    <x v="0"/>
    <x v="33"/>
    <x v="33"/>
    <x v="4"/>
    <x v="4"/>
    <x v="4"/>
    <x v="8"/>
    <x v="143"/>
    <x v="184"/>
    <x v="158"/>
    <x v="356"/>
    <x v="71"/>
    <x v="66"/>
    <x v="2"/>
  </r>
  <r>
    <x v="0"/>
    <x v="33"/>
    <x v="33"/>
    <x v="20"/>
    <x v="20"/>
    <x v="20"/>
    <x v="10"/>
    <x v="162"/>
    <x v="178"/>
    <x v="73"/>
    <x v="397"/>
    <x v="58"/>
    <x v="297"/>
    <x v="2"/>
  </r>
  <r>
    <x v="0"/>
    <x v="33"/>
    <x v="33"/>
    <x v="43"/>
    <x v="43"/>
    <x v="43"/>
    <x v="11"/>
    <x v="169"/>
    <x v="13"/>
    <x v="187"/>
    <x v="331"/>
    <x v="71"/>
    <x v="66"/>
    <x v="2"/>
  </r>
  <r>
    <x v="0"/>
    <x v="33"/>
    <x v="33"/>
    <x v="14"/>
    <x v="14"/>
    <x v="14"/>
    <x v="12"/>
    <x v="188"/>
    <x v="256"/>
    <x v="76"/>
    <x v="270"/>
    <x v="23"/>
    <x v="77"/>
    <x v="2"/>
  </r>
  <r>
    <x v="0"/>
    <x v="33"/>
    <x v="33"/>
    <x v="36"/>
    <x v="36"/>
    <x v="36"/>
    <x v="12"/>
    <x v="188"/>
    <x v="256"/>
    <x v="128"/>
    <x v="100"/>
    <x v="71"/>
    <x v="66"/>
    <x v="2"/>
  </r>
  <r>
    <x v="0"/>
    <x v="33"/>
    <x v="33"/>
    <x v="3"/>
    <x v="3"/>
    <x v="3"/>
    <x v="14"/>
    <x v="189"/>
    <x v="126"/>
    <x v="87"/>
    <x v="398"/>
    <x v="57"/>
    <x v="56"/>
    <x v="2"/>
  </r>
  <r>
    <x v="0"/>
    <x v="33"/>
    <x v="33"/>
    <x v="8"/>
    <x v="8"/>
    <x v="8"/>
    <x v="14"/>
    <x v="189"/>
    <x v="126"/>
    <x v="149"/>
    <x v="51"/>
    <x v="109"/>
    <x v="277"/>
    <x v="2"/>
  </r>
  <r>
    <x v="0"/>
    <x v="33"/>
    <x v="33"/>
    <x v="53"/>
    <x v="53"/>
    <x v="53"/>
    <x v="16"/>
    <x v="170"/>
    <x v="48"/>
    <x v="138"/>
    <x v="182"/>
    <x v="116"/>
    <x v="100"/>
    <x v="2"/>
  </r>
  <r>
    <x v="0"/>
    <x v="33"/>
    <x v="33"/>
    <x v="5"/>
    <x v="5"/>
    <x v="5"/>
    <x v="16"/>
    <x v="170"/>
    <x v="48"/>
    <x v="149"/>
    <x v="51"/>
    <x v="42"/>
    <x v="266"/>
    <x v="2"/>
  </r>
  <r>
    <x v="0"/>
    <x v="33"/>
    <x v="33"/>
    <x v="59"/>
    <x v="59"/>
    <x v="59"/>
    <x v="18"/>
    <x v="218"/>
    <x v="33"/>
    <x v="126"/>
    <x v="14"/>
    <x v="115"/>
    <x v="115"/>
    <x v="2"/>
  </r>
  <r>
    <x v="0"/>
    <x v="33"/>
    <x v="33"/>
    <x v="6"/>
    <x v="6"/>
    <x v="6"/>
    <x v="18"/>
    <x v="218"/>
    <x v="33"/>
    <x v="66"/>
    <x v="366"/>
    <x v="121"/>
    <x v="39"/>
    <x v="2"/>
  </r>
  <r>
    <x v="0"/>
    <x v="34"/>
    <x v="34"/>
    <x v="1"/>
    <x v="1"/>
    <x v="1"/>
    <x v="0"/>
    <x v="131"/>
    <x v="257"/>
    <x v="39"/>
    <x v="399"/>
    <x v="42"/>
    <x v="298"/>
    <x v="2"/>
  </r>
  <r>
    <x v="0"/>
    <x v="34"/>
    <x v="34"/>
    <x v="45"/>
    <x v="45"/>
    <x v="45"/>
    <x v="1"/>
    <x v="154"/>
    <x v="258"/>
    <x v="128"/>
    <x v="400"/>
    <x v="116"/>
    <x v="299"/>
    <x v="2"/>
  </r>
  <r>
    <x v="0"/>
    <x v="34"/>
    <x v="34"/>
    <x v="0"/>
    <x v="0"/>
    <x v="0"/>
    <x v="1"/>
    <x v="154"/>
    <x v="258"/>
    <x v="147"/>
    <x v="401"/>
    <x v="121"/>
    <x v="6"/>
    <x v="2"/>
  </r>
  <r>
    <x v="0"/>
    <x v="34"/>
    <x v="34"/>
    <x v="9"/>
    <x v="9"/>
    <x v="9"/>
    <x v="3"/>
    <x v="170"/>
    <x v="97"/>
    <x v="130"/>
    <x v="304"/>
    <x v="109"/>
    <x v="300"/>
    <x v="2"/>
  </r>
  <r>
    <x v="0"/>
    <x v="34"/>
    <x v="34"/>
    <x v="3"/>
    <x v="3"/>
    <x v="3"/>
    <x v="4"/>
    <x v="173"/>
    <x v="259"/>
    <x v="130"/>
    <x v="304"/>
    <x v="57"/>
    <x v="246"/>
    <x v="2"/>
  </r>
  <r>
    <x v="0"/>
    <x v="34"/>
    <x v="34"/>
    <x v="10"/>
    <x v="10"/>
    <x v="10"/>
    <x v="5"/>
    <x v="174"/>
    <x v="260"/>
    <x v="132"/>
    <x v="248"/>
    <x v="115"/>
    <x v="301"/>
    <x v="2"/>
  </r>
  <r>
    <x v="0"/>
    <x v="34"/>
    <x v="34"/>
    <x v="2"/>
    <x v="2"/>
    <x v="2"/>
    <x v="6"/>
    <x v="217"/>
    <x v="115"/>
    <x v="149"/>
    <x v="255"/>
    <x v="123"/>
    <x v="164"/>
    <x v="2"/>
  </r>
  <r>
    <x v="0"/>
    <x v="34"/>
    <x v="34"/>
    <x v="4"/>
    <x v="4"/>
    <x v="4"/>
    <x v="7"/>
    <x v="177"/>
    <x v="24"/>
    <x v="127"/>
    <x v="257"/>
    <x v="121"/>
    <x v="6"/>
    <x v="2"/>
  </r>
  <r>
    <x v="0"/>
    <x v="34"/>
    <x v="34"/>
    <x v="14"/>
    <x v="14"/>
    <x v="14"/>
    <x v="8"/>
    <x v="219"/>
    <x v="218"/>
    <x v="132"/>
    <x v="248"/>
    <x v="116"/>
    <x v="299"/>
    <x v="2"/>
  </r>
  <r>
    <x v="0"/>
    <x v="34"/>
    <x v="34"/>
    <x v="17"/>
    <x v="17"/>
    <x v="17"/>
    <x v="8"/>
    <x v="219"/>
    <x v="218"/>
    <x v="69"/>
    <x v="104"/>
    <x v="58"/>
    <x v="302"/>
    <x v="2"/>
  </r>
  <r>
    <x v="0"/>
    <x v="34"/>
    <x v="34"/>
    <x v="44"/>
    <x v="44"/>
    <x v="44"/>
    <x v="8"/>
    <x v="219"/>
    <x v="218"/>
    <x v="126"/>
    <x v="402"/>
    <x v="71"/>
    <x v="244"/>
    <x v="2"/>
  </r>
  <r>
    <x v="0"/>
    <x v="34"/>
    <x v="34"/>
    <x v="20"/>
    <x v="20"/>
    <x v="20"/>
    <x v="11"/>
    <x v="220"/>
    <x v="223"/>
    <x v="129"/>
    <x v="370"/>
    <x v="71"/>
    <x v="244"/>
    <x v="2"/>
  </r>
  <r>
    <x v="0"/>
    <x v="34"/>
    <x v="34"/>
    <x v="8"/>
    <x v="8"/>
    <x v="8"/>
    <x v="11"/>
    <x v="220"/>
    <x v="223"/>
    <x v="129"/>
    <x v="370"/>
    <x v="71"/>
    <x v="244"/>
    <x v="2"/>
  </r>
  <r>
    <x v="0"/>
    <x v="34"/>
    <x v="34"/>
    <x v="28"/>
    <x v="28"/>
    <x v="28"/>
    <x v="13"/>
    <x v="221"/>
    <x v="80"/>
    <x v="69"/>
    <x v="104"/>
    <x v="120"/>
    <x v="113"/>
    <x v="2"/>
  </r>
  <r>
    <x v="0"/>
    <x v="34"/>
    <x v="34"/>
    <x v="7"/>
    <x v="7"/>
    <x v="7"/>
    <x v="13"/>
    <x v="221"/>
    <x v="80"/>
    <x v="69"/>
    <x v="104"/>
    <x v="120"/>
    <x v="113"/>
    <x v="2"/>
  </r>
  <r>
    <x v="0"/>
    <x v="34"/>
    <x v="34"/>
    <x v="11"/>
    <x v="11"/>
    <x v="11"/>
    <x v="13"/>
    <x v="221"/>
    <x v="80"/>
    <x v="121"/>
    <x v="315"/>
    <x v="58"/>
    <x v="302"/>
    <x v="2"/>
  </r>
  <r>
    <x v="0"/>
    <x v="34"/>
    <x v="34"/>
    <x v="13"/>
    <x v="13"/>
    <x v="13"/>
    <x v="13"/>
    <x v="221"/>
    <x v="80"/>
    <x v="170"/>
    <x v="262"/>
    <x v="109"/>
    <x v="300"/>
    <x v="2"/>
  </r>
  <r>
    <x v="0"/>
    <x v="34"/>
    <x v="34"/>
    <x v="22"/>
    <x v="22"/>
    <x v="22"/>
    <x v="13"/>
    <x v="221"/>
    <x v="80"/>
    <x v="126"/>
    <x v="402"/>
    <x v="123"/>
    <x v="164"/>
    <x v="2"/>
  </r>
  <r>
    <x v="0"/>
    <x v="34"/>
    <x v="34"/>
    <x v="16"/>
    <x v="16"/>
    <x v="16"/>
    <x v="18"/>
    <x v="222"/>
    <x v="137"/>
    <x v="69"/>
    <x v="104"/>
    <x v="71"/>
    <x v="244"/>
    <x v="2"/>
  </r>
  <r>
    <x v="0"/>
    <x v="34"/>
    <x v="34"/>
    <x v="15"/>
    <x v="15"/>
    <x v="15"/>
    <x v="18"/>
    <x v="222"/>
    <x v="137"/>
    <x v="69"/>
    <x v="104"/>
    <x v="71"/>
    <x v="244"/>
    <x v="2"/>
  </r>
  <r>
    <x v="0"/>
    <x v="34"/>
    <x v="34"/>
    <x v="50"/>
    <x v="50"/>
    <x v="50"/>
    <x v="18"/>
    <x v="222"/>
    <x v="137"/>
    <x v="143"/>
    <x v="39"/>
    <x v="116"/>
    <x v="299"/>
    <x v="2"/>
  </r>
  <r>
    <x v="0"/>
    <x v="34"/>
    <x v="34"/>
    <x v="32"/>
    <x v="32"/>
    <x v="32"/>
    <x v="18"/>
    <x v="222"/>
    <x v="137"/>
    <x v="170"/>
    <x v="262"/>
    <x v="42"/>
    <x v="298"/>
    <x v="2"/>
  </r>
  <r>
    <x v="0"/>
    <x v="34"/>
    <x v="34"/>
    <x v="60"/>
    <x v="60"/>
    <x v="60"/>
    <x v="18"/>
    <x v="222"/>
    <x v="137"/>
    <x v="143"/>
    <x v="39"/>
    <x v="116"/>
    <x v="299"/>
    <x v="2"/>
  </r>
  <r>
    <x v="0"/>
    <x v="35"/>
    <x v="35"/>
    <x v="45"/>
    <x v="45"/>
    <x v="45"/>
    <x v="0"/>
    <x v="138"/>
    <x v="261"/>
    <x v="112"/>
    <x v="403"/>
    <x v="42"/>
    <x v="303"/>
    <x v="2"/>
  </r>
  <r>
    <x v="0"/>
    <x v="35"/>
    <x v="35"/>
    <x v="0"/>
    <x v="0"/>
    <x v="0"/>
    <x v="1"/>
    <x v="176"/>
    <x v="262"/>
    <x v="130"/>
    <x v="404"/>
    <x v="123"/>
    <x v="164"/>
    <x v="2"/>
  </r>
  <r>
    <x v="0"/>
    <x v="35"/>
    <x v="35"/>
    <x v="12"/>
    <x v="12"/>
    <x v="12"/>
    <x v="2"/>
    <x v="177"/>
    <x v="263"/>
    <x v="76"/>
    <x v="405"/>
    <x v="71"/>
    <x v="140"/>
    <x v="2"/>
  </r>
  <r>
    <x v="0"/>
    <x v="35"/>
    <x v="35"/>
    <x v="22"/>
    <x v="22"/>
    <x v="22"/>
    <x v="3"/>
    <x v="219"/>
    <x v="39"/>
    <x v="127"/>
    <x v="143"/>
    <x v="123"/>
    <x v="164"/>
    <x v="2"/>
  </r>
  <r>
    <x v="0"/>
    <x v="35"/>
    <x v="35"/>
    <x v="4"/>
    <x v="4"/>
    <x v="4"/>
    <x v="4"/>
    <x v="220"/>
    <x v="199"/>
    <x v="126"/>
    <x v="406"/>
    <x v="121"/>
    <x v="69"/>
    <x v="2"/>
  </r>
  <r>
    <x v="0"/>
    <x v="35"/>
    <x v="35"/>
    <x v="10"/>
    <x v="10"/>
    <x v="10"/>
    <x v="5"/>
    <x v="221"/>
    <x v="104"/>
    <x v="132"/>
    <x v="407"/>
    <x v="57"/>
    <x v="304"/>
    <x v="2"/>
  </r>
  <r>
    <x v="0"/>
    <x v="35"/>
    <x v="35"/>
    <x v="2"/>
    <x v="2"/>
    <x v="2"/>
    <x v="5"/>
    <x v="221"/>
    <x v="104"/>
    <x v="126"/>
    <x v="406"/>
    <x v="123"/>
    <x v="164"/>
    <x v="2"/>
  </r>
  <r>
    <x v="0"/>
    <x v="35"/>
    <x v="35"/>
    <x v="16"/>
    <x v="16"/>
    <x v="16"/>
    <x v="7"/>
    <x v="222"/>
    <x v="42"/>
    <x v="69"/>
    <x v="43"/>
    <x v="71"/>
    <x v="140"/>
    <x v="2"/>
  </r>
  <r>
    <x v="0"/>
    <x v="35"/>
    <x v="35"/>
    <x v="11"/>
    <x v="11"/>
    <x v="11"/>
    <x v="7"/>
    <x v="222"/>
    <x v="42"/>
    <x v="119"/>
    <x v="87"/>
    <x v="121"/>
    <x v="69"/>
    <x v="2"/>
  </r>
  <r>
    <x v="0"/>
    <x v="35"/>
    <x v="35"/>
    <x v="5"/>
    <x v="5"/>
    <x v="5"/>
    <x v="7"/>
    <x v="222"/>
    <x v="42"/>
    <x v="69"/>
    <x v="43"/>
    <x v="71"/>
    <x v="140"/>
    <x v="2"/>
  </r>
  <r>
    <x v="0"/>
    <x v="35"/>
    <x v="35"/>
    <x v="20"/>
    <x v="20"/>
    <x v="20"/>
    <x v="10"/>
    <x v="223"/>
    <x v="9"/>
    <x v="119"/>
    <x v="87"/>
    <x v="123"/>
    <x v="164"/>
    <x v="2"/>
  </r>
  <r>
    <x v="0"/>
    <x v="35"/>
    <x v="35"/>
    <x v="9"/>
    <x v="9"/>
    <x v="9"/>
    <x v="10"/>
    <x v="223"/>
    <x v="9"/>
    <x v="132"/>
    <x v="407"/>
    <x v="71"/>
    <x v="140"/>
    <x v="2"/>
  </r>
  <r>
    <x v="0"/>
    <x v="35"/>
    <x v="35"/>
    <x v="17"/>
    <x v="17"/>
    <x v="17"/>
    <x v="10"/>
    <x v="223"/>
    <x v="9"/>
    <x v="143"/>
    <x v="408"/>
    <x v="58"/>
    <x v="305"/>
    <x v="2"/>
  </r>
  <r>
    <x v="0"/>
    <x v="35"/>
    <x v="35"/>
    <x v="42"/>
    <x v="42"/>
    <x v="42"/>
    <x v="10"/>
    <x v="223"/>
    <x v="9"/>
    <x v="143"/>
    <x v="408"/>
    <x v="58"/>
    <x v="305"/>
    <x v="2"/>
  </r>
  <r>
    <x v="0"/>
    <x v="35"/>
    <x v="35"/>
    <x v="3"/>
    <x v="3"/>
    <x v="3"/>
    <x v="10"/>
    <x v="223"/>
    <x v="9"/>
    <x v="119"/>
    <x v="87"/>
    <x v="123"/>
    <x v="164"/>
    <x v="2"/>
  </r>
  <r>
    <x v="0"/>
    <x v="35"/>
    <x v="35"/>
    <x v="61"/>
    <x v="61"/>
    <x v="61"/>
    <x v="15"/>
    <x v="224"/>
    <x v="191"/>
    <x v="145"/>
    <x v="282"/>
    <x v="120"/>
    <x v="306"/>
    <x v="2"/>
  </r>
  <r>
    <x v="0"/>
    <x v="35"/>
    <x v="35"/>
    <x v="14"/>
    <x v="14"/>
    <x v="14"/>
    <x v="15"/>
    <x v="224"/>
    <x v="191"/>
    <x v="121"/>
    <x v="50"/>
    <x v="71"/>
    <x v="140"/>
    <x v="2"/>
  </r>
  <r>
    <x v="0"/>
    <x v="35"/>
    <x v="35"/>
    <x v="7"/>
    <x v="7"/>
    <x v="7"/>
    <x v="15"/>
    <x v="224"/>
    <x v="191"/>
    <x v="121"/>
    <x v="50"/>
    <x v="71"/>
    <x v="140"/>
    <x v="2"/>
  </r>
  <r>
    <x v="0"/>
    <x v="35"/>
    <x v="35"/>
    <x v="62"/>
    <x v="62"/>
    <x v="62"/>
    <x v="15"/>
    <x v="224"/>
    <x v="191"/>
    <x v="121"/>
    <x v="50"/>
    <x v="71"/>
    <x v="140"/>
    <x v="2"/>
  </r>
  <r>
    <x v="0"/>
    <x v="35"/>
    <x v="35"/>
    <x v="6"/>
    <x v="6"/>
    <x v="6"/>
    <x v="15"/>
    <x v="224"/>
    <x v="191"/>
    <x v="69"/>
    <x v="43"/>
    <x v="123"/>
    <x v="164"/>
    <x v="2"/>
  </r>
  <r>
    <x v="0"/>
    <x v="36"/>
    <x v="36"/>
    <x v="45"/>
    <x v="45"/>
    <x v="45"/>
    <x v="0"/>
    <x v="165"/>
    <x v="264"/>
    <x v="156"/>
    <x v="409"/>
    <x v="57"/>
    <x v="307"/>
    <x v="2"/>
  </r>
  <r>
    <x v="0"/>
    <x v="36"/>
    <x v="36"/>
    <x v="9"/>
    <x v="9"/>
    <x v="9"/>
    <x v="1"/>
    <x v="173"/>
    <x v="265"/>
    <x v="131"/>
    <x v="410"/>
    <x v="121"/>
    <x v="134"/>
    <x v="2"/>
  </r>
  <r>
    <x v="0"/>
    <x v="36"/>
    <x v="36"/>
    <x v="54"/>
    <x v="54"/>
    <x v="54"/>
    <x v="2"/>
    <x v="174"/>
    <x v="227"/>
    <x v="131"/>
    <x v="410"/>
    <x v="123"/>
    <x v="164"/>
    <x v="2"/>
  </r>
  <r>
    <x v="0"/>
    <x v="36"/>
    <x v="36"/>
    <x v="52"/>
    <x v="52"/>
    <x v="52"/>
    <x v="2"/>
    <x v="174"/>
    <x v="227"/>
    <x v="138"/>
    <x v="364"/>
    <x v="121"/>
    <x v="134"/>
    <x v="2"/>
  </r>
  <r>
    <x v="0"/>
    <x v="36"/>
    <x v="36"/>
    <x v="0"/>
    <x v="0"/>
    <x v="0"/>
    <x v="4"/>
    <x v="217"/>
    <x v="266"/>
    <x v="149"/>
    <x v="147"/>
    <x v="123"/>
    <x v="164"/>
    <x v="2"/>
  </r>
  <r>
    <x v="0"/>
    <x v="36"/>
    <x v="36"/>
    <x v="1"/>
    <x v="1"/>
    <x v="1"/>
    <x v="5"/>
    <x v="176"/>
    <x v="249"/>
    <x v="127"/>
    <x v="21"/>
    <x v="71"/>
    <x v="33"/>
    <x v="2"/>
  </r>
  <r>
    <x v="0"/>
    <x v="36"/>
    <x v="36"/>
    <x v="11"/>
    <x v="11"/>
    <x v="11"/>
    <x v="6"/>
    <x v="177"/>
    <x v="197"/>
    <x v="126"/>
    <x v="63"/>
    <x v="120"/>
    <x v="308"/>
    <x v="2"/>
  </r>
  <r>
    <x v="0"/>
    <x v="36"/>
    <x v="36"/>
    <x v="12"/>
    <x v="12"/>
    <x v="12"/>
    <x v="7"/>
    <x v="220"/>
    <x v="176"/>
    <x v="132"/>
    <x v="244"/>
    <x v="58"/>
    <x v="309"/>
    <x v="2"/>
  </r>
  <r>
    <x v="0"/>
    <x v="36"/>
    <x v="36"/>
    <x v="7"/>
    <x v="7"/>
    <x v="7"/>
    <x v="7"/>
    <x v="220"/>
    <x v="176"/>
    <x v="119"/>
    <x v="29"/>
    <x v="120"/>
    <x v="308"/>
    <x v="2"/>
  </r>
  <r>
    <x v="0"/>
    <x v="36"/>
    <x v="36"/>
    <x v="3"/>
    <x v="3"/>
    <x v="3"/>
    <x v="7"/>
    <x v="220"/>
    <x v="176"/>
    <x v="126"/>
    <x v="63"/>
    <x v="121"/>
    <x v="134"/>
    <x v="2"/>
  </r>
  <r>
    <x v="0"/>
    <x v="36"/>
    <x v="36"/>
    <x v="2"/>
    <x v="2"/>
    <x v="2"/>
    <x v="7"/>
    <x v="220"/>
    <x v="176"/>
    <x v="76"/>
    <x v="411"/>
    <x v="123"/>
    <x v="164"/>
    <x v="2"/>
  </r>
  <r>
    <x v="0"/>
    <x v="36"/>
    <x v="36"/>
    <x v="10"/>
    <x v="10"/>
    <x v="10"/>
    <x v="11"/>
    <x v="221"/>
    <x v="170"/>
    <x v="145"/>
    <x v="371"/>
    <x v="116"/>
    <x v="310"/>
    <x v="2"/>
  </r>
  <r>
    <x v="0"/>
    <x v="36"/>
    <x v="36"/>
    <x v="16"/>
    <x v="16"/>
    <x v="16"/>
    <x v="11"/>
    <x v="221"/>
    <x v="170"/>
    <x v="132"/>
    <x v="244"/>
    <x v="57"/>
    <x v="307"/>
    <x v="2"/>
  </r>
  <r>
    <x v="0"/>
    <x v="36"/>
    <x v="36"/>
    <x v="14"/>
    <x v="14"/>
    <x v="14"/>
    <x v="11"/>
    <x v="221"/>
    <x v="170"/>
    <x v="69"/>
    <x v="367"/>
    <x v="120"/>
    <x v="308"/>
    <x v="2"/>
  </r>
  <r>
    <x v="0"/>
    <x v="36"/>
    <x v="36"/>
    <x v="42"/>
    <x v="42"/>
    <x v="42"/>
    <x v="11"/>
    <x v="221"/>
    <x v="170"/>
    <x v="145"/>
    <x v="371"/>
    <x v="116"/>
    <x v="310"/>
    <x v="2"/>
  </r>
  <r>
    <x v="0"/>
    <x v="36"/>
    <x v="36"/>
    <x v="44"/>
    <x v="44"/>
    <x v="44"/>
    <x v="15"/>
    <x v="222"/>
    <x v="178"/>
    <x v="129"/>
    <x v="331"/>
    <x v="123"/>
    <x v="164"/>
    <x v="2"/>
  </r>
  <r>
    <x v="0"/>
    <x v="36"/>
    <x v="36"/>
    <x v="22"/>
    <x v="22"/>
    <x v="22"/>
    <x v="15"/>
    <x v="222"/>
    <x v="178"/>
    <x v="129"/>
    <x v="331"/>
    <x v="123"/>
    <x v="164"/>
    <x v="2"/>
  </r>
  <r>
    <x v="0"/>
    <x v="36"/>
    <x v="36"/>
    <x v="47"/>
    <x v="47"/>
    <x v="47"/>
    <x v="17"/>
    <x v="224"/>
    <x v="49"/>
    <x v="121"/>
    <x v="270"/>
    <x v="71"/>
    <x v="33"/>
    <x v="2"/>
  </r>
  <r>
    <x v="0"/>
    <x v="36"/>
    <x v="36"/>
    <x v="6"/>
    <x v="6"/>
    <x v="6"/>
    <x v="17"/>
    <x v="224"/>
    <x v="49"/>
    <x v="69"/>
    <x v="367"/>
    <x v="123"/>
    <x v="164"/>
    <x v="2"/>
  </r>
  <r>
    <x v="0"/>
    <x v="36"/>
    <x v="36"/>
    <x v="19"/>
    <x v="19"/>
    <x v="19"/>
    <x v="17"/>
    <x v="224"/>
    <x v="49"/>
    <x v="69"/>
    <x v="367"/>
    <x v="123"/>
    <x v="164"/>
    <x v="2"/>
  </r>
  <r>
    <x v="0"/>
    <x v="37"/>
    <x v="37"/>
    <x v="45"/>
    <x v="45"/>
    <x v="45"/>
    <x v="0"/>
    <x v="159"/>
    <x v="267"/>
    <x v="75"/>
    <x v="412"/>
    <x v="71"/>
    <x v="311"/>
    <x v="2"/>
  </r>
  <r>
    <x v="0"/>
    <x v="37"/>
    <x v="37"/>
    <x v="2"/>
    <x v="2"/>
    <x v="2"/>
    <x v="1"/>
    <x v="174"/>
    <x v="268"/>
    <x v="131"/>
    <x v="413"/>
    <x v="123"/>
    <x v="164"/>
    <x v="2"/>
  </r>
  <r>
    <x v="0"/>
    <x v="37"/>
    <x v="37"/>
    <x v="3"/>
    <x v="3"/>
    <x v="3"/>
    <x v="2"/>
    <x v="176"/>
    <x v="269"/>
    <x v="127"/>
    <x v="111"/>
    <x v="71"/>
    <x v="311"/>
    <x v="2"/>
  </r>
  <r>
    <x v="0"/>
    <x v="37"/>
    <x v="37"/>
    <x v="9"/>
    <x v="9"/>
    <x v="9"/>
    <x v="3"/>
    <x v="177"/>
    <x v="270"/>
    <x v="76"/>
    <x v="396"/>
    <x v="71"/>
    <x v="311"/>
    <x v="2"/>
  </r>
  <r>
    <x v="0"/>
    <x v="37"/>
    <x v="37"/>
    <x v="0"/>
    <x v="0"/>
    <x v="0"/>
    <x v="3"/>
    <x v="177"/>
    <x v="270"/>
    <x v="70"/>
    <x v="414"/>
    <x v="123"/>
    <x v="164"/>
    <x v="2"/>
  </r>
  <r>
    <x v="0"/>
    <x v="37"/>
    <x v="37"/>
    <x v="5"/>
    <x v="5"/>
    <x v="5"/>
    <x v="5"/>
    <x v="219"/>
    <x v="130"/>
    <x v="129"/>
    <x v="303"/>
    <x v="120"/>
    <x v="239"/>
    <x v="2"/>
  </r>
  <r>
    <x v="0"/>
    <x v="37"/>
    <x v="37"/>
    <x v="20"/>
    <x v="20"/>
    <x v="20"/>
    <x v="6"/>
    <x v="220"/>
    <x v="205"/>
    <x v="126"/>
    <x v="415"/>
    <x v="121"/>
    <x v="312"/>
    <x v="2"/>
  </r>
  <r>
    <x v="0"/>
    <x v="37"/>
    <x v="37"/>
    <x v="7"/>
    <x v="7"/>
    <x v="7"/>
    <x v="7"/>
    <x v="221"/>
    <x v="176"/>
    <x v="121"/>
    <x v="324"/>
    <x v="58"/>
    <x v="313"/>
    <x v="2"/>
  </r>
  <r>
    <x v="0"/>
    <x v="37"/>
    <x v="37"/>
    <x v="44"/>
    <x v="44"/>
    <x v="44"/>
    <x v="7"/>
    <x v="221"/>
    <x v="176"/>
    <x v="126"/>
    <x v="415"/>
    <x v="123"/>
    <x v="164"/>
    <x v="2"/>
  </r>
  <r>
    <x v="0"/>
    <x v="37"/>
    <x v="37"/>
    <x v="22"/>
    <x v="22"/>
    <x v="22"/>
    <x v="9"/>
    <x v="222"/>
    <x v="69"/>
    <x v="129"/>
    <x v="303"/>
    <x v="123"/>
    <x v="164"/>
    <x v="2"/>
  </r>
  <r>
    <x v="0"/>
    <x v="37"/>
    <x v="37"/>
    <x v="52"/>
    <x v="52"/>
    <x v="52"/>
    <x v="9"/>
    <x v="222"/>
    <x v="69"/>
    <x v="132"/>
    <x v="102"/>
    <x v="120"/>
    <x v="239"/>
    <x v="2"/>
  </r>
  <r>
    <x v="0"/>
    <x v="37"/>
    <x v="37"/>
    <x v="17"/>
    <x v="17"/>
    <x v="17"/>
    <x v="11"/>
    <x v="223"/>
    <x v="142"/>
    <x v="132"/>
    <x v="102"/>
    <x v="71"/>
    <x v="311"/>
    <x v="2"/>
  </r>
  <r>
    <x v="0"/>
    <x v="37"/>
    <x v="37"/>
    <x v="36"/>
    <x v="36"/>
    <x v="36"/>
    <x v="11"/>
    <x v="223"/>
    <x v="142"/>
    <x v="119"/>
    <x v="28"/>
    <x v="123"/>
    <x v="164"/>
    <x v="2"/>
  </r>
  <r>
    <x v="0"/>
    <x v="37"/>
    <x v="37"/>
    <x v="10"/>
    <x v="10"/>
    <x v="10"/>
    <x v="13"/>
    <x v="224"/>
    <x v="14"/>
    <x v="143"/>
    <x v="416"/>
    <x v="57"/>
    <x v="314"/>
    <x v="2"/>
  </r>
  <r>
    <x v="0"/>
    <x v="37"/>
    <x v="37"/>
    <x v="11"/>
    <x v="11"/>
    <x v="11"/>
    <x v="13"/>
    <x v="224"/>
    <x v="14"/>
    <x v="132"/>
    <x v="102"/>
    <x v="121"/>
    <x v="312"/>
    <x v="2"/>
  </r>
  <r>
    <x v="0"/>
    <x v="37"/>
    <x v="37"/>
    <x v="23"/>
    <x v="23"/>
    <x v="23"/>
    <x v="13"/>
    <x v="224"/>
    <x v="14"/>
    <x v="145"/>
    <x v="417"/>
    <x v="120"/>
    <x v="239"/>
    <x v="2"/>
  </r>
  <r>
    <x v="0"/>
    <x v="37"/>
    <x v="37"/>
    <x v="19"/>
    <x v="19"/>
    <x v="19"/>
    <x v="13"/>
    <x v="224"/>
    <x v="14"/>
    <x v="132"/>
    <x v="102"/>
    <x v="121"/>
    <x v="312"/>
    <x v="2"/>
  </r>
  <r>
    <x v="0"/>
    <x v="37"/>
    <x v="37"/>
    <x v="12"/>
    <x v="12"/>
    <x v="12"/>
    <x v="17"/>
    <x v="225"/>
    <x v="35"/>
    <x v="121"/>
    <x v="324"/>
    <x v="121"/>
    <x v="312"/>
    <x v="2"/>
  </r>
  <r>
    <x v="0"/>
    <x v="37"/>
    <x v="37"/>
    <x v="28"/>
    <x v="28"/>
    <x v="28"/>
    <x v="17"/>
    <x v="225"/>
    <x v="35"/>
    <x v="132"/>
    <x v="102"/>
    <x v="123"/>
    <x v="164"/>
    <x v="2"/>
  </r>
  <r>
    <x v="0"/>
    <x v="37"/>
    <x v="37"/>
    <x v="63"/>
    <x v="63"/>
    <x v="63"/>
    <x v="17"/>
    <x v="225"/>
    <x v="35"/>
    <x v="143"/>
    <x v="416"/>
    <x v="120"/>
    <x v="239"/>
    <x v="2"/>
  </r>
  <r>
    <x v="0"/>
    <x v="37"/>
    <x v="37"/>
    <x v="21"/>
    <x v="21"/>
    <x v="21"/>
    <x v="17"/>
    <x v="225"/>
    <x v="35"/>
    <x v="170"/>
    <x v="262"/>
    <x v="57"/>
    <x v="314"/>
    <x v="2"/>
  </r>
  <r>
    <x v="0"/>
    <x v="37"/>
    <x v="37"/>
    <x v="64"/>
    <x v="64"/>
    <x v="64"/>
    <x v="17"/>
    <x v="225"/>
    <x v="35"/>
    <x v="132"/>
    <x v="102"/>
    <x v="123"/>
    <x v="164"/>
    <x v="2"/>
  </r>
  <r>
    <x v="0"/>
    <x v="37"/>
    <x v="37"/>
    <x v="6"/>
    <x v="6"/>
    <x v="6"/>
    <x v="17"/>
    <x v="225"/>
    <x v="35"/>
    <x v="132"/>
    <x v="102"/>
    <x v="123"/>
    <x v="164"/>
    <x v="2"/>
  </r>
  <r>
    <x v="0"/>
    <x v="38"/>
    <x v="38"/>
    <x v="45"/>
    <x v="45"/>
    <x v="45"/>
    <x v="0"/>
    <x v="144"/>
    <x v="271"/>
    <x v="73"/>
    <x v="418"/>
    <x v="116"/>
    <x v="182"/>
    <x v="2"/>
  </r>
  <r>
    <x v="0"/>
    <x v="38"/>
    <x v="38"/>
    <x v="9"/>
    <x v="9"/>
    <x v="9"/>
    <x v="1"/>
    <x v="174"/>
    <x v="272"/>
    <x v="149"/>
    <x v="209"/>
    <x v="71"/>
    <x v="315"/>
    <x v="2"/>
  </r>
  <r>
    <x v="0"/>
    <x v="38"/>
    <x v="38"/>
    <x v="2"/>
    <x v="2"/>
    <x v="2"/>
    <x v="2"/>
    <x v="217"/>
    <x v="273"/>
    <x v="149"/>
    <x v="209"/>
    <x v="123"/>
    <x v="164"/>
    <x v="2"/>
  </r>
  <r>
    <x v="0"/>
    <x v="38"/>
    <x v="38"/>
    <x v="0"/>
    <x v="0"/>
    <x v="0"/>
    <x v="2"/>
    <x v="217"/>
    <x v="273"/>
    <x v="149"/>
    <x v="209"/>
    <x v="123"/>
    <x v="164"/>
    <x v="2"/>
  </r>
  <r>
    <x v="0"/>
    <x v="38"/>
    <x v="38"/>
    <x v="5"/>
    <x v="5"/>
    <x v="5"/>
    <x v="4"/>
    <x v="176"/>
    <x v="274"/>
    <x v="126"/>
    <x v="419"/>
    <x v="57"/>
    <x v="106"/>
    <x v="2"/>
  </r>
  <r>
    <x v="0"/>
    <x v="38"/>
    <x v="38"/>
    <x v="1"/>
    <x v="1"/>
    <x v="1"/>
    <x v="5"/>
    <x v="177"/>
    <x v="175"/>
    <x v="76"/>
    <x v="131"/>
    <x v="71"/>
    <x v="315"/>
    <x v="2"/>
  </r>
  <r>
    <x v="0"/>
    <x v="38"/>
    <x v="38"/>
    <x v="52"/>
    <x v="52"/>
    <x v="52"/>
    <x v="5"/>
    <x v="177"/>
    <x v="175"/>
    <x v="76"/>
    <x v="131"/>
    <x v="71"/>
    <x v="315"/>
    <x v="2"/>
  </r>
  <r>
    <x v="0"/>
    <x v="38"/>
    <x v="38"/>
    <x v="10"/>
    <x v="10"/>
    <x v="10"/>
    <x v="7"/>
    <x v="219"/>
    <x v="275"/>
    <x v="145"/>
    <x v="137"/>
    <x v="109"/>
    <x v="316"/>
    <x v="2"/>
  </r>
  <r>
    <x v="0"/>
    <x v="38"/>
    <x v="38"/>
    <x v="54"/>
    <x v="54"/>
    <x v="54"/>
    <x v="8"/>
    <x v="220"/>
    <x v="53"/>
    <x v="76"/>
    <x v="131"/>
    <x v="123"/>
    <x v="164"/>
    <x v="2"/>
  </r>
  <r>
    <x v="0"/>
    <x v="38"/>
    <x v="38"/>
    <x v="44"/>
    <x v="44"/>
    <x v="44"/>
    <x v="9"/>
    <x v="221"/>
    <x v="251"/>
    <x v="126"/>
    <x v="419"/>
    <x v="123"/>
    <x v="164"/>
    <x v="2"/>
  </r>
  <r>
    <x v="0"/>
    <x v="38"/>
    <x v="38"/>
    <x v="15"/>
    <x v="15"/>
    <x v="15"/>
    <x v="10"/>
    <x v="222"/>
    <x v="135"/>
    <x v="132"/>
    <x v="420"/>
    <x v="120"/>
    <x v="72"/>
    <x v="2"/>
  </r>
  <r>
    <x v="0"/>
    <x v="38"/>
    <x v="38"/>
    <x v="7"/>
    <x v="7"/>
    <x v="7"/>
    <x v="10"/>
    <x v="222"/>
    <x v="135"/>
    <x v="121"/>
    <x v="421"/>
    <x v="57"/>
    <x v="106"/>
    <x v="2"/>
  </r>
  <r>
    <x v="0"/>
    <x v="38"/>
    <x v="38"/>
    <x v="11"/>
    <x v="11"/>
    <x v="11"/>
    <x v="10"/>
    <x v="222"/>
    <x v="135"/>
    <x v="132"/>
    <x v="420"/>
    <x v="120"/>
    <x v="72"/>
    <x v="2"/>
  </r>
  <r>
    <x v="0"/>
    <x v="38"/>
    <x v="38"/>
    <x v="3"/>
    <x v="3"/>
    <x v="3"/>
    <x v="10"/>
    <x v="222"/>
    <x v="135"/>
    <x v="129"/>
    <x v="422"/>
    <x v="123"/>
    <x v="164"/>
    <x v="2"/>
  </r>
  <r>
    <x v="0"/>
    <x v="38"/>
    <x v="38"/>
    <x v="16"/>
    <x v="16"/>
    <x v="16"/>
    <x v="14"/>
    <x v="223"/>
    <x v="28"/>
    <x v="143"/>
    <x v="134"/>
    <x v="58"/>
    <x v="317"/>
    <x v="2"/>
  </r>
  <r>
    <x v="0"/>
    <x v="38"/>
    <x v="38"/>
    <x v="21"/>
    <x v="21"/>
    <x v="21"/>
    <x v="14"/>
    <x v="223"/>
    <x v="28"/>
    <x v="69"/>
    <x v="156"/>
    <x v="121"/>
    <x v="152"/>
    <x v="2"/>
  </r>
  <r>
    <x v="0"/>
    <x v="38"/>
    <x v="38"/>
    <x v="17"/>
    <x v="17"/>
    <x v="17"/>
    <x v="14"/>
    <x v="223"/>
    <x v="28"/>
    <x v="145"/>
    <x v="137"/>
    <x v="57"/>
    <x v="106"/>
    <x v="2"/>
  </r>
  <r>
    <x v="0"/>
    <x v="38"/>
    <x v="38"/>
    <x v="28"/>
    <x v="28"/>
    <x v="28"/>
    <x v="17"/>
    <x v="224"/>
    <x v="30"/>
    <x v="69"/>
    <x v="156"/>
    <x v="123"/>
    <x v="164"/>
    <x v="2"/>
  </r>
  <r>
    <x v="0"/>
    <x v="38"/>
    <x v="38"/>
    <x v="14"/>
    <x v="14"/>
    <x v="14"/>
    <x v="17"/>
    <x v="224"/>
    <x v="30"/>
    <x v="170"/>
    <x v="262"/>
    <x v="58"/>
    <x v="317"/>
    <x v="2"/>
  </r>
  <r>
    <x v="0"/>
    <x v="38"/>
    <x v="38"/>
    <x v="49"/>
    <x v="49"/>
    <x v="49"/>
    <x v="17"/>
    <x v="224"/>
    <x v="30"/>
    <x v="143"/>
    <x v="134"/>
    <x v="57"/>
    <x v="106"/>
    <x v="2"/>
  </r>
  <r>
    <x v="0"/>
    <x v="38"/>
    <x v="38"/>
    <x v="65"/>
    <x v="65"/>
    <x v="65"/>
    <x v="17"/>
    <x v="224"/>
    <x v="30"/>
    <x v="145"/>
    <x v="137"/>
    <x v="120"/>
    <x v="72"/>
    <x v="2"/>
  </r>
  <r>
    <x v="0"/>
    <x v="38"/>
    <x v="38"/>
    <x v="42"/>
    <x v="42"/>
    <x v="42"/>
    <x v="17"/>
    <x v="224"/>
    <x v="30"/>
    <x v="121"/>
    <x v="421"/>
    <x v="71"/>
    <x v="315"/>
    <x v="2"/>
  </r>
  <r>
    <x v="0"/>
    <x v="38"/>
    <x v="38"/>
    <x v="23"/>
    <x v="23"/>
    <x v="23"/>
    <x v="17"/>
    <x v="224"/>
    <x v="30"/>
    <x v="69"/>
    <x v="156"/>
    <x v="123"/>
    <x v="164"/>
    <x v="2"/>
  </r>
  <r>
    <x v="0"/>
    <x v="39"/>
    <x v="39"/>
    <x v="1"/>
    <x v="1"/>
    <x v="1"/>
    <x v="0"/>
    <x v="156"/>
    <x v="276"/>
    <x v="51"/>
    <x v="423"/>
    <x v="47"/>
    <x v="318"/>
    <x v="2"/>
  </r>
  <r>
    <x v="0"/>
    <x v="39"/>
    <x v="39"/>
    <x v="0"/>
    <x v="0"/>
    <x v="0"/>
    <x v="1"/>
    <x v="160"/>
    <x v="64"/>
    <x v="53"/>
    <x v="424"/>
    <x v="72"/>
    <x v="180"/>
    <x v="2"/>
  </r>
  <r>
    <x v="0"/>
    <x v="39"/>
    <x v="39"/>
    <x v="10"/>
    <x v="10"/>
    <x v="10"/>
    <x v="2"/>
    <x v="138"/>
    <x v="277"/>
    <x v="70"/>
    <x v="286"/>
    <x v="40"/>
    <x v="319"/>
    <x v="2"/>
  </r>
  <r>
    <x v="0"/>
    <x v="39"/>
    <x v="39"/>
    <x v="5"/>
    <x v="5"/>
    <x v="5"/>
    <x v="3"/>
    <x v="187"/>
    <x v="278"/>
    <x v="66"/>
    <x v="293"/>
    <x v="116"/>
    <x v="231"/>
    <x v="2"/>
  </r>
  <r>
    <x v="0"/>
    <x v="39"/>
    <x v="39"/>
    <x v="2"/>
    <x v="2"/>
    <x v="2"/>
    <x v="4"/>
    <x v="188"/>
    <x v="211"/>
    <x v="73"/>
    <x v="309"/>
    <x v="123"/>
    <x v="164"/>
    <x v="2"/>
  </r>
  <r>
    <x v="0"/>
    <x v="39"/>
    <x v="39"/>
    <x v="7"/>
    <x v="7"/>
    <x v="7"/>
    <x v="5"/>
    <x v="170"/>
    <x v="200"/>
    <x v="130"/>
    <x v="330"/>
    <x v="109"/>
    <x v="283"/>
    <x v="2"/>
  </r>
  <r>
    <x v="0"/>
    <x v="39"/>
    <x v="39"/>
    <x v="4"/>
    <x v="4"/>
    <x v="4"/>
    <x v="5"/>
    <x v="170"/>
    <x v="200"/>
    <x v="66"/>
    <x v="293"/>
    <x v="71"/>
    <x v="6"/>
    <x v="2"/>
  </r>
  <r>
    <x v="0"/>
    <x v="39"/>
    <x v="39"/>
    <x v="12"/>
    <x v="12"/>
    <x v="12"/>
    <x v="7"/>
    <x v="218"/>
    <x v="242"/>
    <x v="149"/>
    <x v="425"/>
    <x v="116"/>
    <x v="231"/>
    <x v="2"/>
  </r>
  <r>
    <x v="0"/>
    <x v="39"/>
    <x v="39"/>
    <x v="14"/>
    <x v="14"/>
    <x v="14"/>
    <x v="7"/>
    <x v="218"/>
    <x v="242"/>
    <x v="119"/>
    <x v="426"/>
    <x v="23"/>
    <x v="320"/>
    <x v="2"/>
  </r>
  <r>
    <x v="0"/>
    <x v="39"/>
    <x v="39"/>
    <x v="3"/>
    <x v="3"/>
    <x v="3"/>
    <x v="9"/>
    <x v="171"/>
    <x v="279"/>
    <x v="131"/>
    <x v="427"/>
    <x v="120"/>
    <x v="5"/>
    <x v="2"/>
  </r>
  <r>
    <x v="0"/>
    <x v="39"/>
    <x v="39"/>
    <x v="8"/>
    <x v="8"/>
    <x v="8"/>
    <x v="9"/>
    <x v="171"/>
    <x v="279"/>
    <x v="66"/>
    <x v="293"/>
    <x v="123"/>
    <x v="164"/>
    <x v="2"/>
  </r>
  <r>
    <x v="0"/>
    <x v="39"/>
    <x v="39"/>
    <x v="11"/>
    <x v="11"/>
    <x v="11"/>
    <x v="11"/>
    <x v="172"/>
    <x v="280"/>
    <x v="69"/>
    <x v="190"/>
    <x v="105"/>
    <x v="321"/>
    <x v="2"/>
  </r>
  <r>
    <x v="0"/>
    <x v="39"/>
    <x v="39"/>
    <x v="15"/>
    <x v="15"/>
    <x v="15"/>
    <x v="12"/>
    <x v="174"/>
    <x v="57"/>
    <x v="119"/>
    <x v="426"/>
    <x v="72"/>
    <x v="180"/>
    <x v="2"/>
  </r>
  <r>
    <x v="0"/>
    <x v="39"/>
    <x v="39"/>
    <x v="9"/>
    <x v="9"/>
    <x v="9"/>
    <x v="12"/>
    <x v="174"/>
    <x v="57"/>
    <x v="70"/>
    <x v="286"/>
    <x v="57"/>
    <x v="244"/>
    <x v="2"/>
  </r>
  <r>
    <x v="0"/>
    <x v="39"/>
    <x v="39"/>
    <x v="16"/>
    <x v="16"/>
    <x v="16"/>
    <x v="14"/>
    <x v="175"/>
    <x v="107"/>
    <x v="145"/>
    <x v="34"/>
    <x v="105"/>
    <x v="321"/>
    <x v="2"/>
  </r>
  <r>
    <x v="0"/>
    <x v="39"/>
    <x v="39"/>
    <x v="19"/>
    <x v="19"/>
    <x v="19"/>
    <x v="14"/>
    <x v="175"/>
    <x v="107"/>
    <x v="129"/>
    <x v="428"/>
    <x v="42"/>
    <x v="103"/>
    <x v="2"/>
  </r>
  <r>
    <x v="0"/>
    <x v="39"/>
    <x v="39"/>
    <x v="48"/>
    <x v="48"/>
    <x v="48"/>
    <x v="16"/>
    <x v="217"/>
    <x v="46"/>
    <x v="170"/>
    <x v="262"/>
    <x v="120"/>
    <x v="5"/>
    <x v="2"/>
  </r>
  <r>
    <x v="0"/>
    <x v="39"/>
    <x v="39"/>
    <x v="18"/>
    <x v="18"/>
    <x v="18"/>
    <x v="17"/>
    <x v="176"/>
    <x v="180"/>
    <x v="69"/>
    <x v="190"/>
    <x v="42"/>
    <x v="103"/>
    <x v="2"/>
  </r>
  <r>
    <x v="0"/>
    <x v="39"/>
    <x v="39"/>
    <x v="28"/>
    <x v="28"/>
    <x v="28"/>
    <x v="18"/>
    <x v="177"/>
    <x v="31"/>
    <x v="126"/>
    <x v="323"/>
    <x v="120"/>
    <x v="5"/>
    <x v="2"/>
  </r>
  <r>
    <x v="0"/>
    <x v="39"/>
    <x v="39"/>
    <x v="6"/>
    <x v="6"/>
    <x v="6"/>
    <x v="18"/>
    <x v="177"/>
    <x v="31"/>
    <x v="127"/>
    <x v="117"/>
    <x v="121"/>
    <x v="281"/>
    <x v="2"/>
  </r>
  <r>
    <x v="0"/>
    <x v="40"/>
    <x v="40"/>
    <x v="0"/>
    <x v="0"/>
    <x v="0"/>
    <x v="0"/>
    <x v="123"/>
    <x v="281"/>
    <x v="34"/>
    <x v="345"/>
    <x v="109"/>
    <x v="57"/>
    <x v="2"/>
  </r>
  <r>
    <x v="0"/>
    <x v="40"/>
    <x v="40"/>
    <x v="6"/>
    <x v="6"/>
    <x v="6"/>
    <x v="1"/>
    <x v="143"/>
    <x v="282"/>
    <x v="89"/>
    <x v="429"/>
    <x v="58"/>
    <x v="96"/>
    <x v="2"/>
  </r>
  <r>
    <x v="0"/>
    <x v="40"/>
    <x v="40"/>
    <x v="5"/>
    <x v="5"/>
    <x v="5"/>
    <x v="2"/>
    <x v="162"/>
    <x v="175"/>
    <x v="66"/>
    <x v="430"/>
    <x v="72"/>
    <x v="322"/>
    <x v="2"/>
  </r>
  <r>
    <x v="0"/>
    <x v="40"/>
    <x v="40"/>
    <x v="11"/>
    <x v="11"/>
    <x v="11"/>
    <x v="3"/>
    <x v="154"/>
    <x v="283"/>
    <x v="138"/>
    <x v="203"/>
    <x v="105"/>
    <x v="132"/>
    <x v="2"/>
  </r>
  <r>
    <x v="0"/>
    <x v="40"/>
    <x v="40"/>
    <x v="1"/>
    <x v="1"/>
    <x v="1"/>
    <x v="3"/>
    <x v="154"/>
    <x v="283"/>
    <x v="70"/>
    <x v="330"/>
    <x v="59"/>
    <x v="203"/>
    <x v="2"/>
  </r>
  <r>
    <x v="0"/>
    <x v="40"/>
    <x v="40"/>
    <x v="3"/>
    <x v="3"/>
    <x v="3"/>
    <x v="5"/>
    <x v="187"/>
    <x v="284"/>
    <x v="73"/>
    <x v="431"/>
    <x v="71"/>
    <x v="119"/>
    <x v="2"/>
  </r>
  <r>
    <x v="0"/>
    <x v="40"/>
    <x v="40"/>
    <x v="7"/>
    <x v="7"/>
    <x v="7"/>
    <x v="6"/>
    <x v="189"/>
    <x v="41"/>
    <x v="126"/>
    <x v="398"/>
    <x v="23"/>
    <x v="169"/>
    <x v="2"/>
  </r>
  <r>
    <x v="0"/>
    <x v="40"/>
    <x v="40"/>
    <x v="2"/>
    <x v="2"/>
    <x v="2"/>
    <x v="7"/>
    <x v="170"/>
    <x v="117"/>
    <x v="128"/>
    <x v="432"/>
    <x v="123"/>
    <x v="164"/>
    <x v="2"/>
  </r>
  <r>
    <x v="0"/>
    <x v="40"/>
    <x v="40"/>
    <x v="9"/>
    <x v="9"/>
    <x v="9"/>
    <x v="8"/>
    <x v="218"/>
    <x v="279"/>
    <x v="127"/>
    <x v="72"/>
    <x v="72"/>
    <x v="322"/>
    <x v="2"/>
  </r>
  <r>
    <x v="0"/>
    <x v="40"/>
    <x v="40"/>
    <x v="10"/>
    <x v="10"/>
    <x v="10"/>
    <x v="9"/>
    <x v="171"/>
    <x v="280"/>
    <x v="170"/>
    <x v="262"/>
    <x v="122"/>
    <x v="323"/>
    <x v="2"/>
  </r>
  <r>
    <x v="0"/>
    <x v="40"/>
    <x v="40"/>
    <x v="29"/>
    <x v="29"/>
    <x v="29"/>
    <x v="10"/>
    <x v="173"/>
    <x v="9"/>
    <x v="69"/>
    <x v="89"/>
    <x v="115"/>
    <x v="257"/>
    <x v="2"/>
  </r>
  <r>
    <x v="0"/>
    <x v="40"/>
    <x v="40"/>
    <x v="24"/>
    <x v="24"/>
    <x v="24"/>
    <x v="11"/>
    <x v="174"/>
    <x v="10"/>
    <x v="145"/>
    <x v="433"/>
    <x v="23"/>
    <x v="169"/>
    <x v="2"/>
  </r>
  <r>
    <x v="0"/>
    <x v="40"/>
    <x v="40"/>
    <x v="19"/>
    <x v="19"/>
    <x v="19"/>
    <x v="12"/>
    <x v="175"/>
    <x v="80"/>
    <x v="70"/>
    <x v="330"/>
    <x v="120"/>
    <x v="324"/>
    <x v="2"/>
  </r>
  <r>
    <x v="0"/>
    <x v="40"/>
    <x v="40"/>
    <x v="12"/>
    <x v="12"/>
    <x v="12"/>
    <x v="13"/>
    <x v="217"/>
    <x v="81"/>
    <x v="126"/>
    <x v="398"/>
    <x v="58"/>
    <x v="96"/>
    <x v="2"/>
  </r>
  <r>
    <x v="0"/>
    <x v="40"/>
    <x v="40"/>
    <x v="14"/>
    <x v="14"/>
    <x v="14"/>
    <x v="13"/>
    <x v="217"/>
    <x v="81"/>
    <x v="69"/>
    <x v="89"/>
    <x v="109"/>
    <x v="57"/>
    <x v="2"/>
  </r>
  <r>
    <x v="0"/>
    <x v="40"/>
    <x v="40"/>
    <x v="4"/>
    <x v="4"/>
    <x v="4"/>
    <x v="13"/>
    <x v="217"/>
    <x v="81"/>
    <x v="70"/>
    <x v="330"/>
    <x v="71"/>
    <x v="119"/>
    <x v="2"/>
  </r>
  <r>
    <x v="0"/>
    <x v="40"/>
    <x v="40"/>
    <x v="15"/>
    <x v="15"/>
    <x v="15"/>
    <x v="16"/>
    <x v="176"/>
    <x v="61"/>
    <x v="145"/>
    <x v="433"/>
    <x v="107"/>
    <x v="124"/>
    <x v="2"/>
  </r>
  <r>
    <x v="0"/>
    <x v="40"/>
    <x v="40"/>
    <x v="22"/>
    <x v="22"/>
    <x v="22"/>
    <x v="16"/>
    <x v="176"/>
    <x v="61"/>
    <x v="130"/>
    <x v="306"/>
    <x v="123"/>
    <x v="164"/>
    <x v="2"/>
  </r>
  <r>
    <x v="0"/>
    <x v="40"/>
    <x v="40"/>
    <x v="51"/>
    <x v="51"/>
    <x v="51"/>
    <x v="16"/>
    <x v="176"/>
    <x v="61"/>
    <x v="76"/>
    <x v="88"/>
    <x v="120"/>
    <x v="324"/>
    <x v="2"/>
  </r>
  <r>
    <x v="0"/>
    <x v="40"/>
    <x v="40"/>
    <x v="34"/>
    <x v="34"/>
    <x v="34"/>
    <x v="19"/>
    <x v="177"/>
    <x v="158"/>
    <x v="129"/>
    <x v="19"/>
    <x v="57"/>
    <x v="242"/>
    <x v="2"/>
  </r>
  <r>
    <x v="0"/>
    <x v="40"/>
    <x v="40"/>
    <x v="13"/>
    <x v="13"/>
    <x v="13"/>
    <x v="19"/>
    <x v="177"/>
    <x v="158"/>
    <x v="143"/>
    <x v="434"/>
    <x v="107"/>
    <x v="124"/>
    <x v="2"/>
  </r>
  <r>
    <x v="0"/>
    <x v="40"/>
    <x v="40"/>
    <x v="18"/>
    <x v="18"/>
    <x v="18"/>
    <x v="19"/>
    <x v="177"/>
    <x v="158"/>
    <x v="121"/>
    <x v="33"/>
    <x v="109"/>
    <x v="57"/>
    <x v="2"/>
  </r>
  <r>
    <x v="0"/>
    <x v="41"/>
    <x v="41"/>
    <x v="1"/>
    <x v="1"/>
    <x v="1"/>
    <x v="0"/>
    <x v="88"/>
    <x v="285"/>
    <x v="135"/>
    <x v="435"/>
    <x v="76"/>
    <x v="191"/>
    <x v="2"/>
  </r>
  <r>
    <x v="0"/>
    <x v="41"/>
    <x v="41"/>
    <x v="0"/>
    <x v="0"/>
    <x v="0"/>
    <x v="1"/>
    <x v="126"/>
    <x v="286"/>
    <x v="142"/>
    <x v="436"/>
    <x v="42"/>
    <x v="325"/>
    <x v="2"/>
  </r>
  <r>
    <x v="0"/>
    <x v="41"/>
    <x v="41"/>
    <x v="5"/>
    <x v="5"/>
    <x v="5"/>
    <x v="2"/>
    <x v="139"/>
    <x v="287"/>
    <x v="144"/>
    <x v="437"/>
    <x v="109"/>
    <x v="70"/>
    <x v="2"/>
  </r>
  <r>
    <x v="0"/>
    <x v="41"/>
    <x v="41"/>
    <x v="6"/>
    <x v="6"/>
    <x v="6"/>
    <x v="3"/>
    <x v="189"/>
    <x v="116"/>
    <x v="67"/>
    <x v="438"/>
    <x v="71"/>
    <x v="40"/>
    <x v="2"/>
  </r>
  <r>
    <x v="0"/>
    <x v="41"/>
    <x v="41"/>
    <x v="7"/>
    <x v="7"/>
    <x v="7"/>
    <x v="4"/>
    <x v="170"/>
    <x v="237"/>
    <x v="119"/>
    <x v="215"/>
    <x v="52"/>
    <x v="326"/>
    <x v="2"/>
  </r>
  <r>
    <x v="0"/>
    <x v="41"/>
    <x v="41"/>
    <x v="13"/>
    <x v="13"/>
    <x v="13"/>
    <x v="4"/>
    <x v="170"/>
    <x v="237"/>
    <x v="145"/>
    <x v="16"/>
    <x v="122"/>
    <x v="327"/>
    <x v="2"/>
  </r>
  <r>
    <x v="0"/>
    <x v="41"/>
    <x v="41"/>
    <x v="2"/>
    <x v="2"/>
    <x v="2"/>
    <x v="6"/>
    <x v="218"/>
    <x v="148"/>
    <x v="87"/>
    <x v="147"/>
    <x v="71"/>
    <x v="40"/>
    <x v="2"/>
  </r>
  <r>
    <x v="0"/>
    <x v="41"/>
    <x v="41"/>
    <x v="16"/>
    <x v="16"/>
    <x v="16"/>
    <x v="7"/>
    <x v="171"/>
    <x v="55"/>
    <x v="145"/>
    <x v="16"/>
    <x v="47"/>
    <x v="328"/>
    <x v="2"/>
  </r>
  <r>
    <x v="0"/>
    <x v="41"/>
    <x v="41"/>
    <x v="10"/>
    <x v="10"/>
    <x v="10"/>
    <x v="8"/>
    <x v="172"/>
    <x v="218"/>
    <x v="145"/>
    <x v="16"/>
    <x v="59"/>
    <x v="192"/>
    <x v="2"/>
  </r>
  <r>
    <x v="0"/>
    <x v="41"/>
    <x v="41"/>
    <x v="15"/>
    <x v="15"/>
    <x v="15"/>
    <x v="9"/>
    <x v="173"/>
    <x v="149"/>
    <x v="119"/>
    <x v="215"/>
    <x v="107"/>
    <x v="329"/>
    <x v="2"/>
  </r>
  <r>
    <x v="0"/>
    <x v="41"/>
    <x v="41"/>
    <x v="3"/>
    <x v="3"/>
    <x v="3"/>
    <x v="9"/>
    <x v="173"/>
    <x v="149"/>
    <x v="131"/>
    <x v="405"/>
    <x v="121"/>
    <x v="330"/>
    <x v="2"/>
  </r>
  <r>
    <x v="0"/>
    <x v="41"/>
    <x v="41"/>
    <x v="14"/>
    <x v="14"/>
    <x v="14"/>
    <x v="11"/>
    <x v="217"/>
    <x v="60"/>
    <x v="121"/>
    <x v="65"/>
    <x v="107"/>
    <x v="329"/>
    <x v="2"/>
  </r>
  <r>
    <x v="0"/>
    <x v="41"/>
    <x v="41"/>
    <x v="11"/>
    <x v="11"/>
    <x v="11"/>
    <x v="11"/>
    <x v="217"/>
    <x v="60"/>
    <x v="126"/>
    <x v="322"/>
    <x v="58"/>
    <x v="27"/>
    <x v="2"/>
  </r>
  <r>
    <x v="0"/>
    <x v="41"/>
    <x v="41"/>
    <x v="32"/>
    <x v="32"/>
    <x v="32"/>
    <x v="11"/>
    <x v="217"/>
    <x v="60"/>
    <x v="143"/>
    <x v="439"/>
    <x v="105"/>
    <x v="331"/>
    <x v="2"/>
  </r>
  <r>
    <x v="0"/>
    <x v="41"/>
    <x v="41"/>
    <x v="19"/>
    <x v="19"/>
    <x v="19"/>
    <x v="14"/>
    <x v="176"/>
    <x v="30"/>
    <x v="76"/>
    <x v="53"/>
    <x v="120"/>
    <x v="332"/>
    <x v="2"/>
  </r>
  <r>
    <x v="0"/>
    <x v="41"/>
    <x v="41"/>
    <x v="66"/>
    <x v="66"/>
    <x v="66"/>
    <x v="15"/>
    <x v="219"/>
    <x v="35"/>
    <x v="121"/>
    <x v="65"/>
    <x v="42"/>
    <x v="325"/>
    <x v="2"/>
  </r>
  <r>
    <x v="0"/>
    <x v="41"/>
    <x v="41"/>
    <x v="17"/>
    <x v="17"/>
    <x v="17"/>
    <x v="15"/>
    <x v="219"/>
    <x v="35"/>
    <x v="121"/>
    <x v="65"/>
    <x v="42"/>
    <x v="325"/>
    <x v="2"/>
  </r>
  <r>
    <x v="0"/>
    <x v="41"/>
    <x v="41"/>
    <x v="24"/>
    <x v="24"/>
    <x v="24"/>
    <x v="15"/>
    <x v="219"/>
    <x v="35"/>
    <x v="170"/>
    <x v="262"/>
    <x v="107"/>
    <x v="329"/>
    <x v="2"/>
  </r>
  <r>
    <x v="0"/>
    <x v="41"/>
    <x v="41"/>
    <x v="18"/>
    <x v="18"/>
    <x v="18"/>
    <x v="15"/>
    <x v="219"/>
    <x v="35"/>
    <x v="126"/>
    <x v="322"/>
    <x v="71"/>
    <x v="40"/>
    <x v="2"/>
  </r>
  <r>
    <x v="0"/>
    <x v="41"/>
    <x v="41"/>
    <x v="67"/>
    <x v="67"/>
    <x v="67"/>
    <x v="19"/>
    <x v="220"/>
    <x v="288"/>
    <x v="143"/>
    <x v="439"/>
    <x v="109"/>
    <x v="70"/>
    <x v="2"/>
  </r>
  <r>
    <x v="0"/>
    <x v="41"/>
    <x v="41"/>
    <x v="20"/>
    <x v="20"/>
    <x v="20"/>
    <x v="19"/>
    <x v="220"/>
    <x v="288"/>
    <x v="119"/>
    <x v="215"/>
    <x v="120"/>
    <x v="332"/>
    <x v="2"/>
  </r>
  <r>
    <x v="0"/>
    <x v="41"/>
    <x v="41"/>
    <x v="9"/>
    <x v="9"/>
    <x v="9"/>
    <x v="19"/>
    <x v="220"/>
    <x v="288"/>
    <x v="119"/>
    <x v="215"/>
    <x v="120"/>
    <x v="332"/>
    <x v="2"/>
  </r>
  <r>
    <x v="0"/>
    <x v="41"/>
    <x v="41"/>
    <x v="39"/>
    <x v="39"/>
    <x v="39"/>
    <x v="19"/>
    <x v="220"/>
    <x v="288"/>
    <x v="129"/>
    <x v="440"/>
    <x v="71"/>
    <x v="40"/>
    <x v="2"/>
  </r>
  <r>
    <x v="0"/>
    <x v="42"/>
    <x v="42"/>
    <x v="1"/>
    <x v="1"/>
    <x v="1"/>
    <x v="0"/>
    <x v="174"/>
    <x v="289"/>
    <x v="76"/>
    <x v="349"/>
    <x v="58"/>
    <x v="333"/>
    <x v="2"/>
  </r>
  <r>
    <x v="0"/>
    <x v="42"/>
    <x v="42"/>
    <x v="10"/>
    <x v="10"/>
    <x v="10"/>
    <x v="1"/>
    <x v="217"/>
    <x v="282"/>
    <x v="143"/>
    <x v="369"/>
    <x v="105"/>
    <x v="334"/>
    <x v="2"/>
  </r>
  <r>
    <x v="0"/>
    <x v="42"/>
    <x v="42"/>
    <x v="9"/>
    <x v="9"/>
    <x v="9"/>
    <x v="1"/>
    <x v="217"/>
    <x v="282"/>
    <x v="130"/>
    <x v="441"/>
    <x v="121"/>
    <x v="227"/>
    <x v="2"/>
  </r>
  <r>
    <x v="0"/>
    <x v="42"/>
    <x v="42"/>
    <x v="0"/>
    <x v="0"/>
    <x v="0"/>
    <x v="3"/>
    <x v="176"/>
    <x v="204"/>
    <x v="70"/>
    <x v="442"/>
    <x v="121"/>
    <x v="227"/>
    <x v="2"/>
  </r>
  <r>
    <x v="0"/>
    <x v="42"/>
    <x v="42"/>
    <x v="42"/>
    <x v="42"/>
    <x v="42"/>
    <x v="4"/>
    <x v="177"/>
    <x v="275"/>
    <x v="132"/>
    <x v="333"/>
    <x v="42"/>
    <x v="335"/>
    <x v="2"/>
  </r>
  <r>
    <x v="0"/>
    <x v="42"/>
    <x v="42"/>
    <x v="2"/>
    <x v="2"/>
    <x v="2"/>
    <x v="4"/>
    <x v="177"/>
    <x v="275"/>
    <x v="70"/>
    <x v="442"/>
    <x v="123"/>
    <x v="164"/>
    <x v="2"/>
  </r>
  <r>
    <x v="0"/>
    <x v="42"/>
    <x v="42"/>
    <x v="45"/>
    <x v="45"/>
    <x v="45"/>
    <x v="6"/>
    <x v="220"/>
    <x v="242"/>
    <x v="121"/>
    <x v="57"/>
    <x v="116"/>
    <x v="336"/>
    <x v="2"/>
  </r>
  <r>
    <x v="0"/>
    <x v="42"/>
    <x v="42"/>
    <x v="44"/>
    <x v="44"/>
    <x v="44"/>
    <x v="6"/>
    <x v="220"/>
    <x v="242"/>
    <x v="119"/>
    <x v="187"/>
    <x v="120"/>
    <x v="337"/>
    <x v="2"/>
  </r>
  <r>
    <x v="0"/>
    <x v="42"/>
    <x v="42"/>
    <x v="16"/>
    <x v="16"/>
    <x v="16"/>
    <x v="8"/>
    <x v="221"/>
    <x v="100"/>
    <x v="143"/>
    <x v="369"/>
    <x v="42"/>
    <x v="335"/>
    <x v="2"/>
  </r>
  <r>
    <x v="0"/>
    <x v="42"/>
    <x v="42"/>
    <x v="20"/>
    <x v="20"/>
    <x v="20"/>
    <x v="8"/>
    <x v="221"/>
    <x v="100"/>
    <x v="69"/>
    <x v="245"/>
    <x v="120"/>
    <x v="337"/>
    <x v="2"/>
  </r>
  <r>
    <x v="0"/>
    <x v="42"/>
    <x v="42"/>
    <x v="11"/>
    <x v="11"/>
    <x v="11"/>
    <x v="8"/>
    <x v="221"/>
    <x v="100"/>
    <x v="69"/>
    <x v="245"/>
    <x v="120"/>
    <x v="337"/>
    <x v="2"/>
  </r>
  <r>
    <x v="0"/>
    <x v="42"/>
    <x v="42"/>
    <x v="3"/>
    <x v="3"/>
    <x v="3"/>
    <x v="8"/>
    <x v="221"/>
    <x v="100"/>
    <x v="129"/>
    <x v="443"/>
    <x v="121"/>
    <x v="227"/>
    <x v="2"/>
  </r>
  <r>
    <x v="0"/>
    <x v="42"/>
    <x v="42"/>
    <x v="8"/>
    <x v="8"/>
    <x v="8"/>
    <x v="8"/>
    <x v="221"/>
    <x v="100"/>
    <x v="129"/>
    <x v="443"/>
    <x v="121"/>
    <x v="227"/>
    <x v="2"/>
  </r>
  <r>
    <x v="0"/>
    <x v="42"/>
    <x v="42"/>
    <x v="5"/>
    <x v="5"/>
    <x v="5"/>
    <x v="8"/>
    <x v="221"/>
    <x v="100"/>
    <x v="126"/>
    <x v="444"/>
    <x v="123"/>
    <x v="164"/>
    <x v="2"/>
  </r>
  <r>
    <x v="0"/>
    <x v="42"/>
    <x v="42"/>
    <x v="19"/>
    <x v="19"/>
    <x v="19"/>
    <x v="8"/>
    <x v="221"/>
    <x v="100"/>
    <x v="132"/>
    <x v="333"/>
    <x v="57"/>
    <x v="75"/>
    <x v="2"/>
  </r>
  <r>
    <x v="0"/>
    <x v="42"/>
    <x v="42"/>
    <x v="7"/>
    <x v="7"/>
    <x v="7"/>
    <x v="15"/>
    <x v="222"/>
    <x v="219"/>
    <x v="121"/>
    <x v="57"/>
    <x v="57"/>
    <x v="75"/>
    <x v="2"/>
  </r>
  <r>
    <x v="0"/>
    <x v="42"/>
    <x v="42"/>
    <x v="4"/>
    <x v="4"/>
    <x v="4"/>
    <x v="15"/>
    <x v="222"/>
    <x v="219"/>
    <x v="129"/>
    <x v="443"/>
    <x v="123"/>
    <x v="164"/>
    <x v="2"/>
  </r>
  <r>
    <x v="0"/>
    <x v="42"/>
    <x v="42"/>
    <x v="12"/>
    <x v="12"/>
    <x v="12"/>
    <x v="17"/>
    <x v="223"/>
    <x v="191"/>
    <x v="69"/>
    <x v="245"/>
    <x v="121"/>
    <x v="227"/>
    <x v="2"/>
  </r>
  <r>
    <x v="0"/>
    <x v="42"/>
    <x v="42"/>
    <x v="29"/>
    <x v="29"/>
    <x v="29"/>
    <x v="17"/>
    <x v="223"/>
    <x v="191"/>
    <x v="170"/>
    <x v="262"/>
    <x v="116"/>
    <x v="336"/>
    <x v="2"/>
  </r>
  <r>
    <x v="0"/>
    <x v="42"/>
    <x v="42"/>
    <x v="60"/>
    <x v="60"/>
    <x v="60"/>
    <x v="17"/>
    <x v="223"/>
    <x v="191"/>
    <x v="145"/>
    <x v="197"/>
    <x v="57"/>
    <x v="75"/>
    <x v="2"/>
  </r>
  <r>
    <x v="0"/>
    <x v="43"/>
    <x v="43"/>
    <x v="0"/>
    <x v="0"/>
    <x v="0"/>
    <x v="0"/>
    <x v="130"/>
    <x v="290"/>
    <x v="140"/>
    <x v="445"/>
    <x v="58"/>
    <x v="18"/>
    <x v="2"/>
  </r>
  <r>
    <x v="0"/>
    <x v="43"/>
    <x v="43"/>
    <x v="3"/>
    <x v="3"/>
    <x v="3"/>
    <x v="1"/>
    <x v="189"/>
    <x v="2"/>
    <x v="66"/>
    <x v="446"/>
    <x v="120"/>
    <x v="71"/>
    <x v="2"/>
  </r>
  <r>
    <x v="0"/>
    <x v="43"/>
    <x v="43"/>
    <x v="2"/>
    <x v="2"/>
    <x v="2"/>
    <x v="1"/>
    <x v="189"/>
    <x v="2"/>
    <x v="67"/>
    <x v="309"/>
    <x v="71"/>
    <x v="54"/>
    <x v="2"/>
  </r>
  <r>
    <x v="0"/>
    <x v="43"/>
    <x v="43"/>
    <x v="12"/>
    <x v="12"/>
    <x v="12"/>
    <x v="3"/>
    <x v="170"/>
    <x v="233"/>
    <x v="130"/>
    <x v="447"/>
    <x v="109"/>
    <x v="135"/>
    <x v="2"/>
  </r>
  <r>
    <x v="0"/>
    <x v="43"/>
    <x v="43"/>
    <x v="10"/>
    <x v="10"/>
    <x v="10"/>
    <x v="4"/>
    <x v="172"/>
    <x v="77"/>
    <x v="121"/>
    <x v="307"/>
    <x v="52"/>
    <x v="21"/>
    <x v="2"/>
  </r>
  <r>
    <x v="0"/>
    <x v="43"/>
    <x v="43"/>
    <x v="6"/>
    <x v="6"/>
    <x v="6"/>
    <x v="4"/>
    <x v="172"/>
    <x v="77"/>
    <x v="57"/>
    <x v="448"/>
    <x v="121"/>
    <x v="176"/>
    <x v="2"/>
  </r>
  <r>
    <x v="0"/>
    <x v="43"/>
    <x v="43"/>
    <x v="14"/>
    <x v="14"/>
    <x v="14"/>
    <x v="6"/>
    <x v="173"/>
    <x v="100"/>
    <x v="132"/>
    <x v="270"/>
    <x v="105"/>
    <x v="338"/>
    <x v="2"/>
  </r>
  <r>
    <x v="0"/>
    <x v="43"/>
    <x v="43"/>
    <x v="9"/>
    <x v="9"/>
    <x v="9"/>
    <x v="6"/>
    <x v="173"/>
    <x v="100"/>
    <x v="127"/>
    <x v="27"/>
    <x v="116"/>
    <x v="34"/>
    <x v="2"/>
  </r>
  <r>
    <x v="0"/>
    <x v="43"/>
    <x v="43"/>
    <x v="48"/>
    <x v="48"/>
    <x v="48"/>
    <x v="6"/>
    <x v="173"/>
    <x v="100"/>
    <x v="170"/>
    <x v="262"/>
    <x v="123"/>
    <x v="164"/>
    <x v="2"/>
  </r>
  <r>
    <x v="0"/>
    <x v="43"/>
    <x v="43"/>
    <x v="68"/>
    <x v="68"/>
    <x v="68"/>
    <x v="9"/>
    <x v="174"/>
    <x v="70"/>
    <x v="126"/>
    <x v="366"/>
    <x v="42"/>
    <x v="259"/>
    <x v="2"/>
  </r>
  <r>
    <x v="0"/>
    <x v="43"/>
    <x v="43"/>
    <x v="11"/>
    <x v="11"/>
    <x v="11"/>
    <x v="10"/>
    <x v="175"/>
    <x v="45"/>
    <x v="129"/>
    <x v="180"/>
    <x v="116"/>
    <x v="34"/>
    <x v="2"/>
  </r>
  <r>
    <x v="0"/>
    <x v="43"/>
    <x v="43"/>
    <x v="1"/>
    <x v="1"/>
    <x v="1"/>
    <x v="10"/>
    <x v="175"/>
    <x v="45"/>
    <x v="127"/>
    <x v="27"/>
    <x v="57"/>
    <x v="151"/>
    <x v="2"/>
  </r>
  <r>
    <x v="0"/>
    <x v="43"/>
    <x v="43"/>
    <x v="15"/>
    <x v="15"/>
    <x v="15"/>
    <x v="12"/>
    <x v="217"/>
    <x v="252"/>
    <x v="121"/>
    <x v="307"/>
    <x v="107"/>
    <x v="72"/>
    <x v="2"/>
  </r>
  <r>
    <x v="0"/>
    <x v="43"/>
    <x v="43"/>
    <x v="49"/>
    <x v="49"/>
    <x v="49"/>
    <x v="12"/>
    <x v="217"/>
    <x v="252"/>
    <x v="126"/>
    <x v="366"/>
    <x v="58"/>
    <x v="18"/>
    <x v="2"/>
  </r>
  <r>
    <x v="0"/>
    <x v="43"/>
    <x v="43"/>
    <x v="7"/>
    <x v="7"/>
    <x v="7"/>
    <x v="12"/>
    <x v="217"/>
    <x v="252"/>
    <x v="129"/>
    <x v="180"/>
    <x v="116"/>
    <x v="34"/>
    <x v="2"/>
  </r>
  <r>
    <x v="0"/>
    <x v="43"/>
    <x v="43"/>
    <x v="13"/>
    <x v="13"/>
    <x v="13"/>
    <x v="12"/>
    <x v="217"/>
    <x v="252"/>
    <x v="170"/>
    <x v="262"/>
    <x v="23"/>
    <x v="267"/>
    <x v="2"/>
  </r>
  <r>
    <x v="0"/>
    <x v="43"/>
    <x v="43"/>
    <x v="4"/>
    <x v="4"/>
    <x v="4"/>
    <x v="12"/>
    <x v="217"/>
    <x v="252"/>
    <x v="149"/>
    <x v="224"/>
    <x v="123"/>
    <x v="164"/>
    <x v="2"/>
  </r>
  <r>
    <x v="0"/>
    <x v="43"/>
    <x v="43"/>
    <x v="20"/>
    <x v="20"/>
    <x v="20"/>
    <x v="17"/>
    <x v="177"/>
    <x v="30"/>
    <x v="76"/>
    <x v="271"/>
    <x v="71"/>
    <x v="54"/>
    <x v="2"/>
  </r>
  <r>
    <x v="0"/>
    <x v="43"/>
    <x v="43"/>
    <x v="17"/>
    <x v="17"/>
    <x v="17"/>
    <x v="17"/>
    <x v="177"/>
    <x v="30"/>
    <x v="129"/>
    <x v="180"/>
    <x v="57"/>
    <x v="151"/>
    <x v="2"/>
  </r>
  <r>
    <x v="0"/>
    <x v="43"/>
    <x v="43"/>
    <x v="5"/>
    <x v="5"/>
    <x v="5"/>
    <x v="19"/>
    <x v="219"/>
    <x v="127"/>
    <x v="76"/>
    <x v="271"/>
    <x v="121"/>
    <x v="176"/>
    <x v="2"/>
  </r>
  <r>
    <x v="0"/>
    <x v="44"/>
    <x v="44"/>
    <x v="9"/>
    <x v="9"/>
    <x v="9"/>
    <x v="0"/>
    <x v="155"/>
    <x v="151"/>
    <x v="128"/>
    <x v="449"/>
    <x v="120"/>
    <x v="145"/>
    <x v="0"/>
  </r>
  <r>
    <x v="0"/>
    <x v="44"/>
    <x v="44"/>
    <x v="41"/>
    <x v="41"/>
    <x v="41"/>
    <x v="1"/>
    <x v="169"/>
    <x v="291"/>
    <x v="130"/>
    <x v="450"/>
    <x v="109"/>
    <x v="339"/>
    <x v="6"/>
  </r>
  <r>
    <x v="0"/>
    <x v="44"/>
    <x v="44"/>
    <x v="45"/>
    <x v="45"/>
    <x v="45"/>
    <x v="2"/>
    <x v="173"/>
    <x v="292"/>
    <x v="138"/>
    <x v="451"/>
    <x v="71"/>
    <x v="208"/>
    <x v="2"/>
  </r>
  <r>
    <x v="0"/>
    <x v="44"/>
    <x v="44"/>
    <x v="2"/>
    <x v="2"/>
    <x v="2"/>
    <x v="3"/>
    <x v="176"/>
    <x v="293"/>
    <x v="130"/>
    <x v="450"/>
    <x v="123"/>
    <x v="164"/>
    <x v="2"/>
  </r>
  <r>
    <x v="0"/>
    <x v="44"/>
    <x v="44"/>
    <x v="42"/>
    <x v="42"/>
    <x v="42"/>
    <x v="4"/>
    <x v="219"/>
    <x v="163"/>
    <x v="132"/>
    <x v="37"/>
    <x v="116"/>
    <x v="340"/>
    <x v="2"/>
  </r>
  <r>
    <x v="0"/>
    <x v="44"/>
    <x v="44"/>
    <x v="12"/>
    <x v="12"/>
    <x v="12"/>
    <x v="5"/>
    <x v="220"/>
    <x v="146"/>
    <x v="119"/>
    <x v="202"/>
    <x v="120"/>
    <x v="145"/>
    <x v="2"/>
  </r>
  <r>
    <x v="0"/>
    <x v="44"/>
    <x v="44"/>
    <x v="0"/>
    <x v="0"/>
    <x v="0"/>
    <x v="5"/>
    <x v="220"/>
    <x v="146"/>
    <x v="76"/>
    <x v="452"/>
    <x v="123"/>
    <x v="164"/>
    <x v="2"/>
  </r>
  <r>
    <x v="0"/>
    <x v="44"/>
    <x v="44"/>
    <x v="10"/>
    <x v="10"/>
    <x v="10"/>
    <x v="7"/>
    <x v="221"/>
    <x v="294"/>
    <x v="143"/>
    <x v="453"/>
    <x v="42"/>
    <x v="341"/>
    <x v="2"/>
  </r>
  <r>
    <x v="0"/>
    <x v="44"/>
    <x v="44"/>
    <x v="14"/>
    <x v="14"/>
    <x v="14"/>
    <x v="7"/>
    <x v="221"/>
    <x v="294"/>
    <x v="121"/>
    <x v="200"/>
    <x v="58"/>
    <x v="342"/>
    <x v="2"/>
  </r>
  <r>
    <x v="0"/>
    <x v="44"/>
    <x v="44"/>
    <x v="69"/>
    <x v="69"/>
    <x v="69"/>
    <x v="7"/>
    <x v="221"/>
    <x v="294"/>
    <x v="129"/>
    <x v="454"/>
    <x v="121"/>
    <x v="170"/>
    <x v="2"/>
  </r>
  <r>
    <x v="0"/>
    <x v="44"/>
    <x v="44"/>
    <x v="20"/>
    <x v="20"/>
    <x v="20"/>
    <x v="7"/>
    <x v="221"/>
    <x v="294"/>
    <x v="129"/>
    <x v="454"/>
    <x v="121"/>
    <x v="170"/>
    <x v="2"/>
  </r>
  <r>
    <x v="0"/>
    <x v="44"/>
    <x v="44"/>
    <x v="44"/>
    <x v="44"/>
    <x v="44"/>
    <x v="11"/>
    <x v="222"/>
    <x v="147"/>
    <x v="119"/>
    <x v="202"/>
    <x v="121"/>
    <x v="170"/>
    <x v="2"/>
  </r>
  <r>
    <x v="0"/>
    <x v="44"/>
    <x v="44"/>
    <x v="4"/>
    <x v="4"/>
    <x v="4"/>
    <x v="11"/>
    <x v="222"/>
    <x v="147"/>
    <x v="129"/>
    <x v="454"/>
    <x v="123"/>
    <x v="164"/>
    <x v="2"/>
  </r>
  <r>
    <x v="0"/>
    <x v="44"/>
    <x v="44"/>
    <x v="3"/>
    <x v="3"/>
    <x v="3"/>
    <x v="13"/>
    <x v="223"/>
    <x v="184"/>
    <x v="119"/>
    <x v="202"/>
    <x v="123"/>
    <x v="164"/>
    <x v="2"/>
  </r>
  <r>
    <x v="0"/>
    <x v="44"/>
    <x v="44"/>
    <x v="22"/>
    <x v="22"/>
    <x v="22"/>
    <x v="13"/>
    <x v="223"/>
    <x v="184"/>
    <x v="69"/>
    <x v="325"/>
    <x v="121"/>
    <x v="170"/>
    <x v="2"/>
  </r>
  <r>
    <x v="0"/>
    <x v="44"/>
    <x v="44"/>
    <x v="21"/>
    <x v="21"/>
    <x v="21"/>
    <x v="15"/>
    <x v="224"/>
    <x v="12"/>
    <x v="69"/>
    <x v="325"/>
    <x v="123"/>
    <x v="164"/>
    <x v="2"/>
  </r>
  <r>
    <x v="0"/>
    <x v="44"/>
    <x v="44"/>
    <x v="7"/>
    <x v="7"/>
    <x v="7"/>
    <x v="15"/>
    <x v="224"/>
    <x v="12"/>
    <x v="132"/>
    <x v="37"/>
    <x v="121"/>
    <x v="170"/>
    <x v="2"/>
  </r>
  <r>
    <x v="0"/>
    <x v="44"/>
    <x v="44"/>
    <x v="6"/>
    <x v="6"/>
    <x v="6"/>
    <x v="15"/>
    <x v="224"/>
    <x v="12"/>
    <x v="69"/>
    <x v="325"/>
    <x v="123"/>
    <x v="164"/>
    <x v="2"/>
  </r>
  <r>
    <x v="0"/>
    <x v="44"/>
    <x v="44"/>
    <x v="70"/>
    <x v="70"/>
    <x v="70"/>
    <x v="18"/>
    <x v="225"/>
    <x v="17"/>
    <x v="121"/>
    <x v="200"/>
    <x v="121"/>
    <x v="170"/>
    <x v="2"/>
  </r>
  <r>
    <x v="0"/>
    <x v="44"/>
    <x v="44"/>
    <x v="54"/>
    <x v="54"/>
    <x v="54"/>
    <x v="18"/>
    <x v="225"/>
    <x v="17"/>
    <x v="132"/>
    <x v="37"/>
    <x v="123"/>
    <x v="164"/>
    <x v="2"/>
  </r>
  <r>
    <x v="0"/>
    <x v="44"/>
    <x v="44"/>
    <x v="23"/>
    <x v="23"/>
    <x v="23"/>
    <x v="18"/>
    <x v="225"/>
    <x v="17"/>
    <x v="132"/>
    <x v="37"/>
    <x v="123"/>
    <x v="164"/>
    <x v="2"/>
  </r>
  <r>
    <x v="0"/>
    <x v="44"/>
    <x v="44"/>
    <x v="71"/>
    <x v="71"/>
    <x v="71"/>
    <x v="18"/>
    <x v="225"/>
    <x v="17"/>
    <x v="121"/>
    <x v="200"/>
    <x v="121"/>
    <x v="170"/>
    <x v="2"/>
  </r>
  <r>
    <x v="0"/>
    <x v="45"/>
    <x v="45"/>
    <x v="0"/>
    <x v="0"/>
    <x v="0"/>
    <x v="0"/>
    <x v="187"/>
    <x v="295"/>
    <x v="89"/>
    <x v="455"/>
    <x v="123"/>
    <x v="164"/>
    <x v="2"/>
  </r>
  <r>
    <x v="0"/>
    <x v="45"/>
    <x v="45"/>
    <x v="12"/>
    <x v="12"/>
    <x v="12"/>
    <x v="1"/>
    <x v="169"/>
    <x v="296"/>
    <x v="57"/>
    <x v="395"/>
    <x v="42"/>
    <x v="343"/>
    <x v="2"/>
  </r>
  <r>
    <x v="0"/>
    <x v="45"/>
    <x v="45"/>
    <x v="9"/>
    <x v="9"/>
    <x v="9"/>
    <x v="2"/>
    <x v="171"/>
    <x v="262"/>
    <x v="149"/>
    <x v="133"/>
    <x v="58"/>
    <x v="344"/>
    <x v="2"/>
  </r>
  <r>
    <x v="0"/>
    <x v="45"/>
    <x v="45"/>
    <x v="2"/>
    <x v="2"/>
    <x v="2"/>
    <x v="2"/>
    <x v="171"/>
    <x v="262"/>
    <x v="66"/>
    <x v="456"/>
    <x v="123"/>
    <x v="164"/>
    <x v="2"/>
  </r>
  <r>
    <x v="0"/>
    <x v="45"/>
    <x v="45"/>
    <x v="10"/>
    <x v="10"/>
    <x v="10"/>
    <x v="4"/>
    <x v="175"/>
    <x v="197"/>
    <x v="145"/>
    <x v="386"/>
    <x v="105"/>
    <x v="345"/>
    <x v="2"/>
  </r>
  <r>
    <x v="0"/>
    <x v="45"/>
    <x v="45"/>
    <x v="5"/>
    <x v="5"/>
    <x v="5"/>
    <x v="4"/>
    <x v="175"/>
    <x v="197"/>
    <x v="138"/>
    <x v="44"/>
    <x v="123"/>
    <x v="164"/>
    <x v="2"/>
  </r>
  <r>
    <x v="0"/>
    <x v="45"/>
    <x v="45"/>
    <x v="6"/>
    <x v="6"/>
    <x v="6"/>
    <x v="6"/>
    <x v="217"/>
    <x v="74"/>
    <x v="149"/>
    <x v="133"/>
    <x v="123"/>
    <x v="164"/>
    <x v="2"/>
  </r>
  <r>
    <x v="0"/>
    <x v="45"/>
    <x v="45"/>
    <x v="14"/>
    <x v="14"/>
    <x v="14"/>
    <x v="7"/>
    <x v="219"/>
    <x v="100"/>
    <x v="69"/>
    <x v="269"/>
    <x v="58"/>
    <x v="344"/>
    <x v="2"/>
  </r>
  <r>
    <x v="0"/>
    <x v="45"/>
    <x v="45"/>
    <x v="20"/>
    <x v="20"/>
    <x v="20"/>
    <x v="7"/>
    <x v="219"/>
    <x v="100"/>
    <x v="76"/>
    <x v="68"/>
    <x v="121"/>
    <x v="146"/>
    <x v="2"/>
  </r>
  <r>
    <x v="0"/>
    <x v="45"/>
    <x v="45"/>
    <x v="1"/>
    <x v="1"/>
    <x v="1"/>
    <x v="7"/>
    <x v="219"/>
    <x v="100"/>
    <x v="69"/>
    <x v="269"/>
    <x v="57"/>
    <x v="16"/>
    <x v="2"/>
  </r>
  <r>
    <x v="0"/>
    <x v="45"/>
    <x v="45"/>
    <x v="16"/>
    <x v="16"/>
    <x v="16"/>
    <x v="10"/>
    <x v="220"/>
    <x v="26"/>
    <x v="143"/>
    <x v="457"/>
    <x v="109"/>
    <x v="346"/>
    <x v="2"/>
  </r>
  <r>
    <x v="0"/>
    <x v="45"/>
    <x v="45"/>
    <x v="41"/>
    <x v="41"/>
    <x v="41"/>
    <x v="10"/>
    <x v="220"/>
    <x v="26"/>
    <x v="132"/>
    <x v="50"/>
    <x v="58"/>
    <x v="344"/>
    <x v="2"/>
  </r>
  <r>
    <x v="0"/>
    <x v="45"/>
    <x v="45"/>
    <x v="63"/>
    <x v="63"/>
    <x v="63"/>
    <x v="12"/>
    <x v="221"/>
    <x v="12"/>
    <x v="132"/>
    <x v="50"/>
    <x v="57"/>
    <x v="16"/>
    <x v="2"/>
  </r>
  <r>
    <x v="0"/>
    <x v="45"/>
    <x v="45"/>
    <x v="42"/>
    <x v="42"/>
    <x v="42"/>
    <x v="12"/>
    <x v="221"/>
    <x v="12"/>
    <x v="121"/>
    <x v="223"/>
    <x v="58"/>
    <x v="344"/>
    <x v="2"/>
  </r>
  <r>
    <x v="0"/>
    <x v="45"/>
    <x v="45"/>
    <x v="18"/>
    <x v="18"/>
    <x v="18"/>
    <x v="12"/>
    <x v="221"/>
    <x v="12"/>
    <x v="132"/>
    <x v="50"/>
    <x v="57"/>
    <x v="16"/>
    <x v="2"/>
  </r>
  <r>
    <x v="0"/>
    <x v="45"/>
    <x v="45"/>
    <x v="4"/>
    <x v="4"/>
    <x v="4"/>
    <x v="12"/>
    <x v="221"/>
    <x v="12"/>
    <x v="126"/>
    <x v="87"/>
    <x v="123"/>
    <x v="164"/>
    <x v="2"/>
  </r>
  <r>
    <x v="0"/>
    <x v="45"/>
    <x v="45"/>
    <x v="15"/>
    <x v="15"/>
    <x v="15"/>
    <x v="16"/>
    <x v="222"/>
    <x v="110"/>
    <x v="132"/>
    <x v="50"/>
    <x v="120"/>
    <x v="347"/>
    <x v="2"/>
  </r>
  <r>
    <x v="0"/>
    <x v="45"/>
    <x v="45"/>
    <x v="7"/>
    <x v="7"/>
    <x v="7"/>
    <x v="16"/>
    <x v="222"/>
    <x v="110"/>
    <x v="145"/>
    <x v="386"/>
    <x v="58"/>
    <x v="344"/>
    <x v="2"/>
  </r>
  <r>
    <x v="0"/>
    <x v="45"/>
    <x v="45"/>
    <x v="11"/>
    <x v="11"/>
    <x v="11"/>
    <x v="16"/>
    <x v="222"/>
    <x v="110"/>
    <x v="119"/>
    <x v="55"/>
    <x v="121"/>
    <x v="146"/>
    <x v="2"/>
  </r>
  <r>
    <x v="0"/>
    <x v="45"/>
    <x v="45"/>
    <x v="33"/>
    <x v="33"/>
    <x v="33"/>
    <x v="19"/>
    <x v="223"/>
    <x v="128"/>
    <x v="121"/>
    <x v="223"/>
    <x v="120"/>
    <x v="347"/>
    <x v="2"/>
  </r>
  <r>
    <x v="0"/>
    <x v="45"/>
    <x v="45"/>
    <x v="43"/>
    <x v="43"/>
    <x v="43"/>
    <x v="19"/>
    <x v="223"/>
    <x v="128"/>
    <x v="121"/>
    <x v="223"/>
    <x v="120"/>
    <x v="347"/>
    <x v="2"/>
  </r>
  <r>
    <x v="0"/>
    <x v="45"/>
    <x v="45"/>
    <x v="28"/>
    <x v="28"/>
    <x v="28"/>
    <x v="19"/>
    <x v="223"/>
    <x v="128"/>
    <x v="145"/>
    <x v="386"/>
    <x v="57"/>
    <x v="16"/>
    <x v="2"/>
  </r>
  <r>
    <x v="0"/>
    <x v="45"/>
    <x v="45"/>
    <x v="17"/>
    <x v="17"/>
    <x v="17"/>
    <x v="19"/>
    <x v="223"/>
    <x v="128"/>
    <x v="132"/>
    <x v="50"/>
    <x v="71"/>
    <x v="134"/>
    <x v="2"/>
  </r>
  <r>
    <x v="0"/>
    <x v="45"/>
    <x v="45"/>
    <x v="44"/>
    <x v="44"/>
    <x v="44"/>
    <x v="19"/>
    <x v="223"/>
    <x v="128"/>
    <x v="119"/>
    <x v="55"/>
    <x v="123"/>
    <x v="164"/>
    <x v="2"/>
  </r>
  <r>
    <x v="0"/>
    <x v="45"/>
    <x v="45"/>
    <x v="19"/>
    <x v="19"/>
    <x v="19"/>
    <x v="19"/>
    <x v="223"/>
    <x v="128"/>
    <x v="69"/>
    <x v="269"/>
    <x v="121"/>
    <x v="146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3F2DCA-30B9-419D-954C-687B7D70D87D}" name="pvt_L" cacheId="2191" applyNumberFormats="0" applyBorderFormats="0" applyFontFormats="0" applyPatternFormats="0" applyAlignmentFormats="0" applyWidthHeightFormats="1" dataCaption="値" updatedVersion="8" minRefreshableVersion="3" useAutoFormatting="1" rowGrandTotals="0" colGrandTotals="0" itemPrintTitles="1" createdVersion="5" indent="0" outline="1" outlineData="1" multipleFieldFilters="0" rowHeaderCaption="自治体／産業大分類" fieldListSortAscending="1">
  <location ref="A1:H737" firstHeaderRow="0" firstDataRow="1" firstDataCol="1"/>
  <pivotFields count="11">
    <pivotField showAll="0"/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2"/>
    <field x="3"/>
  </rowFields>
  <rowItems count="736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1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2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3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4" baseField="0" baseItem="0" numFmtId="176"/>
    <dataField name="総数／構成比" fld="5" baseField="0" baseItem="0" numFmtId="177"/>
    <dataField name="個人／事業所数" fld="6" baseField="0" baseItem="0" numFmtId="176"/>
    <dataField name="個人／構成比" fld="7" baseField="0" baseItem="0" numFmtId="177"/>
    <dataField name="法人／事業所数" fld="8" baseField="0" baseItem="0" numFmtId="176"/>
    <dataField name="法人／構成比" fld="9" baseField="0" baseItem="0" numFmtId="177"/>
    <dataField name="法人以外の団体／事業所数" fld="10" baseField="0" baseItem="0" numFmtId="176"/>
  </dataFields>
  <formats count="16">
    <format dxfId="693">
      <pivotArea field="2" type="button" dataOnly="0" labelOnly="1" outline="0" axis="axisRow" fieldPosition="0"/>
    </format>
    <format dxfId="692">
      <pivotArea outline="0" fieldPosition="0">
        <references count="1">
          <reference field="4294967294" count="1">
            <x v="0"/>
          </reference>
        </references>
      </pivotArea>
    </format>
    <format dxfId="691">
      <pivotArea outline="0" fieldPosition="0">
        <references count="1">
          <reference field="4294967294" count="1">
            <x v="1"/>
          </reference>
        </references>
      </pivotArea>
    </format>
    <format dxfId="690">
      <pivotArea outline="0" fieldPosition="0">
        <references count="1">
          <reference field="4294967294" count="1">
            <x v="2"/>
          </reference>
        </references>
      </pivotArea>
    </format>
    <format dxfId="689">
      <pivotArea outline="0" fieldPosition="0">
        <references count="1">
          <reference field="4294967294" count="1">
            <x v="3"/>
          </reference>
        </references>
      </pivotArea>
    </format>
    <format dxfId="688">
      <pivotArea outline="0" fieldPosition="0">
        <references count="1">
          <reference field="4294967294" count="1">
            <x v="4"/>
          </reference>
        </references>
      </pivotArea>
    </format>
    <format dxfId="687">
      <pivotArea outline="0" fieldPosition="0">
        <references count="1">
          <reference field="4294967294" count="1">
            <x v="5"/>
          </reference>
        </references>
      </pivotArea>
    </format>
    <format dxfId="686">
      <pivotArea outline="0" fieldPosition="0">
        <references count="1">
          <reference field="4294967294" count="1">
            <x v="6"/>
          </reference>
        </references>
      </pivotArea>
    </format>
    <format dxfId="685">
      <pivotArea field="2" type="button" dataOnly="0" labelOnly="1" outline="0" axis="axisRow" fieldPosition="0"/>
    </format>
    <format dxfId="68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3">
      <pivotArea field="2" type="button" dataOnly="0" labelOnly="1" outline="0" axis="axisRow" fieldPosition="0"/>
    </format>
    <format dxfId="68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81">
      <pivotArea field="2" type="button" dataOnly="0" labelOnly="1" outline="0" axis="axisRow" fieldPosition="0"/>
    </format>
    <format dxfId="680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7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</format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F7F7DC-6DE0-4AA3-BC9C-D73E57903C4B}" name="pvt_M" cacheId="2192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42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6">
        <item x="17"/>
        <item x="32"/>
        <item x="29"/>
        <item x="26"/>
        <item x="35"/>
        <item x="37"/>
        <item x="38"/>
        <item x="34"/>
        <item x="36"/>
        <item x="22"/>
        <item x="31"/>
        <item x="28"/>
        <item x="30"/>
        <item x="24"/>
        <item x="15"/>
        <item x="45"/>
        <item x="42"/>
        <item x="40"/>
        <item x="41"/>
        <item x="13"/>
        <item x="21"/>
        <item x="43"/>
        <item x="44"/>
        <item x="27"/>
        <item x="0"/>
        <item x="1"/>
        <item x="2"/>
        <item x="3"/>
        <item x="4"/>
        <item x="25"/>
        <item x="39"/>
        <item x="18"/>
        <item x="23"/>
        <item x="14"/>
        <item x="20"/>
        <item x="5"/>
        <item x="8"/>
        <item x="6"/>
        <item x="12"/>
        <item x="7"/>
        <item x="9"/>
        <item x="11"/>
        <item x="10"/>
        <item x="16"/>
        <item x="19"/>
        <item x="33"/>
      </items>
    </pivotField>
    <pivotField axis="axisRow" showAll="0" insertBlankRow="1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>
      <items count="45">
        <item x="4"/>
        <item x="5"/>
        <item x="8"/>
        <item x="31"/>
        <item x="29"/>
        <item x="27"/>
        <item x="28"/>
        <item x="22"/>
        <item x="38"/>
        <item x="44"/>
        <item x="15"/>
        <item x="18"/>
        <item x="36"/>
        <item x="43"/>
        <item x="25"/>
        <item x="23"/>
        <item x="39"/>
        <item x="24"/>
        <item x="16"/>
        <item x="14"/>
        <item x="20"/>
        <item x="12"/>
        <item x="6"/>
        <item x="9"/>
        <item x="3"/>
        <item x="41"/>
        <item x="17"/>
        <item x="2"/>
        <item x="35"/>
        <item x="11"/>
        <item x="13"/>
        <item x="30"/>
        <item x="0"/>
        <item x="34"/>
        <item x="1"/>
        <item x="26"/>
        <item x="32"/>
        <item x="7"/>
        <item x="10"/>
        <item x="21"/>
        <item x="42"/>
        <item x="19"/>
        <item x="40"/>
        <item x="33"/>
        <item x="37"/>
      </items>
    </pivotField>
    <pivotField showAll="0" defaultSubtotal="0">
      <items count="45">
        <item x="37"/>
        <item x="20"/>
        <item x="7"/>
        <item x="33"/>
        <item x="3"/>
        <item x="26"/>
        <item x="23"/>
        <item x="44"/>
        <item x="38"/>
        <item x="10"/>
        <item x="0"/>
        <item x="24"/>
        <item x="6"/>
        <item x="29"/>
        <item x="22"/>
        <item x="14"/>
        <item x="9"/>
        <item x="40"/>
        <item x="13"/>
        <item x="36"/>
        <item x="15"/>
        <item x="16"/>
        <item x="32"/>
        <item x="34"/>
        <item x="19"/>
        <item x="21"/>
        <item x="30"/>
        <item x="12"/>
        <item x="5"/>
        <item x="31"/>
        <item x="18"/>
        <item x="8"/>
        <item x="11"/>
        <item x="1"/>
        <item x="27"/>
        <item x="4"/>
        <item x="43"/>
        <item x="39"/>
        <item x="42"/>
        <item x="17"/>
        <item x="2"/>
        <item x="35"/>
        <item x="41"/>
        <item x="28"/>
        <item x="25"/>
      </items>
    </pivotField>
    <pivotField axis="axisRow" showAll="0" defaultSubtotal="0">
      <items count="45">
        <item x="4"/>
        <item x="5"/>
        <item x="8"/>
        <item x="31"/>
        <item x="29"/>
        <item x="27"/>
        <item x="28"/>
        <item x="22"/>
        <item x="38"/>
        <item x="44"/>
        <item x="15"/>
        <item x="18"/>
        <item x="36"/>
        <item x="43"/>
        <item x="25"/>
        <item x="23"/>
        <item x="39"/>
        <item x="24"/>
        <item x="16"/>
        <item x="14"/>
        <item x="20"/>
        <item x="12"/>
        <item x="6"/>
        <item x="9"/>
        <item x="3"/>
        <item x="41"/>
        <item x="17"/>
        <item x="2"/>
        <item x="35"/>
        <item x="11"/>
        <item x="13"/>
        <item x="30"/>
        <item x="0"/>
        <item x="34"/>
        <item x="1"/>
        <item x="26"/>
        <item x="32"/>
        <item x="7"/>
        <item x="10"/>
        <item x="21"/>
        <item x="42"/>
        <item x="19"/>
        <item x="40"/>
        <item x="33"/>
        <item x="37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303">
        <item x="302"/>
        <item x="300"/>
        <item x="299"/>
        <item x="297"/>
        <item x="296"/>
        <item x="295"/>
        <item x="294"/>
        <item x="198"/>
        <item x="289"/>
        <item x="298"/>
        <item x="288"/>
        <item x="197"/>
        <item x="287"/>
        <item x="196"/>
        <item x="285"/>
        <item x="195"/>
        <item x="194"/>
        <item x="220"/>
        <item x="193"/>
        <item x="219"/>
        <item x="282"/>
        <item x="284"/>
        <item x="192"/>
        <item x="191"/>
        <item x="218"/>
        <item x="281"/>
        <item x="177"/>
        <item x="176"/>
        <item x="175"/>
        <item x="154"/>
        <item x="186"/>
        <item x="153"/>
        <item x="152"/>
        <item x="174"/>
        <item x="237"/>
        <item x="169"/>
        <item x="190"/>
        <item x="168"/>
        <item x="231"/>
        <item x="230"/>
        <item x="151"/>
        <item x="150"/>
        <item x="167"/>
        <item x="149"/>
        <item x="247"/>
        <item x="229"/>
        <item x="185"/>
        <item x="292"/>
        <item x="236"/>
        <item x="184"/>
        <item x="246"/>
        <item x="166"/>
        <item x="217"/>
        <item x="165"/>
        <item x="189"/>
        <item x="183"/>
        <item x="164"/>
        <item x="148"/>
        <item x="235"/>
        <item x="291"/>
        <item x="267"/>
        <item x="275"/>
        <item x="245"/>
        <item x="147"/>
        <item x="141"/>
        <item x="216"/>
        <item x="244"/>
        <item x="163"/>
        <item x="162"/>
        <item x="188"/>
        <item x="187"/>
        <item x="140"/>
        <item x="301"/>
        <item x="139"/>
        <item x="274"/>
        <item x="138"/>
        <item x="266"/>
        <item x="228"/>
        <item x="137"/>
        <item x="212"/>
        <item x="161"/>
        <item x="243"/>
        <item x="94"/>
        <item x="78"/>
        <item x="126"/>
        <item x="279"/>
        <item x="211"/>
        <item x="146"/>
        <item x="145"/>
        <item x="210"/>
        <item x="93"/>
        <item x="173"/>
        <item x="136"/>
        <item x="172"/>
        <item x="92"/>
        <item x="91"/>
        <item x="135"/>
        <item x="125"/>
        <item x="182"/>
        <item x="77"/>
        <item x="134"/>
        <item x="290"/>
        <item x="293"/>
        <item x="160"/>
        <item x="227"/>
        <item x="76"/>
        <item x="242"/>
        <item x="209"/>
        <item x="59"/>
        <item x="58"/>
        <item x="259"/>
        <item x="90"/>
        <item x="273"/>
        <item x="226"/>
        <item x="159"/>
        <item x="271"/>
        <item x="75"/>
        <item x="265"/>
        <item x="158"/>
        <item x="57"/>
        <item x="74"/>
        <item x="133"/>
        <item x="215"/>
        <item x="73"/>
        <item x="56"/>
        <item x="55"/>
        <item x="286"/>
        <item x="258"/>
        <item x="181"/>
        <item x="157"/>
        <item x="124"/>
        <item x="144"/>
        <item x="54"/>
        <item x="156"/>
        <item x="225"/>
        <item x="264"/>
        <item x="89"/>
        <item x="132"/>
        <item x="263"/>
        <item x="257"/>
        <item x="171"/>
        <item x="72"/>
        <item x="208"/>
        <item x="71"/>
        <item x="70"/>
        <item x="131"/>
        <item x="143"/>
        <item x="53"/>
        <item x="123"/>
        <item x="280"/>
        <item x="180"/>
        <item x="69"/>
        <item x="278"/>
        <item x="249"/>
        <item x="224"/>
        <item x="248"/>
        <item x="122"/>
        <item x="241"/>
        <item x="207"/>
        <item x="68"/>
        <item x="234"/>
        <item x="240"/>
        <item x="179"/>
        <item x="214"/>
        <item x="67"/>
        <item x="283"/>
        <item x="121"/>
        <item x="88"/>
        <item x="270"/>
        <item x="52"/>
        <item x="206"/>
        <item x="130"/>
        <item x="277"/>
        <item x="269"/>
        <item x="178"/>
        <item x="51"/>
        <item x="155"/>
        <item x="129"/>
        <item x="120"/>
        <item x="262"/>
        <item x="268"/>
        <item x="142"/>
        <item x="170"/>
        <item x="87"/>
        <item x="239"/>
        <item x="50"/>
        <item x="119"/>
        <item x="128"/>
        <item x="205"/>
        <item x="66"/>
        <item x="233"/>
        <item x="65"/>
        <item x="49"/>
        <item x="118"/>
        <item x="204"/>
        <item x="86"/>
        <item x="256"/>
        <item x="39"/>
        <item x="261"/>
        <item x="203"/>
        <item x="64"/>
        <item x="117"/>
        <item x="112"/>
        <item x="48"/>
        <item x="255"/>
        <item x="213"/>
        <item x="38"/>
        <item x="272"/>
        <item x="85"/>
        <item x="111"/>
        <item x="110"/>
        <item x="63"/>
        <item x="254"/>
        <item x="223"/>
        <item x="109"/>
        <item x="276"/>
        <item x="37"/>
        <item x="127"/>
        <item x="47"/>
        <item x="46"/>
        <item x="202"/>
        <item x="36"/>
        <item x="45"/>
        <item x="35"/>
        <item x="84"/>
        <item x="108"/>
        <item x="116"/>
        <item x="260"/>
        <item x="83"/>
        <item x="253"/>
        <item x="107"/>
        <item x="82"/>
        <item x="238"/>
        <item x="81"/>
        <item x="44"/>
        <item x="232"/>
        <item x="115"/>
        <item x="201"/>
        <item x="62"/>
        <item x="34"/>
        <item x="222"/>
        <item x="33"/>
        <item x="106"/>
        <item x="221"/>
        <item x="61"/>
        <item x="60"/>
        <item x="43"/>
        <item x="200"/>
        <item x="42"/>
        <item x="32"/>
        <item x="31"/>
        <item x="30"/>
        <item x="105"/>
        <item x="252"/>
        <item x="199"/>
        <item x="251"/>
        <item x="29"/>
        <item x="28"/>
        <item x="250"/>
        <item x="80"/>
        <item x="79"/>
        <item x="27"/>
        <item x="104"/>
        <item x="103"/>
        <item x="102"/>
        <item x="114"/>
        <item x="101"/>
        <item x="100"/>
        <item x="41"/>
        <item x="26"/>
        <item x="25"/>
        <item x="24"/>
        <item x="99"/>
        <item x="113"/>
        <item x="40"/>
        <item x="98"/>
        <item x="23"/>
        <item x="97"/>
        <item x="19"/>
        <item x="18"/>
        <item x="17"/>
        <item x="16"/>
        <item x="15"/>
        <item x="22"/>
        <item x="14"/>
        <item x="96"/>
        <item x="95"/>
        <item x="21"/>
        <item x="20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501">
        <item x="494"/>
        <item x="429"/>
        <item x="336"/>
        <item x="402"/>
        <item x="493"/>
        <item x="421"/>
        <item x="342"/>
        <item x="436"/>
        <item x="199"/>
        <item x="254"/>
        <item x="352"/>
        <item x="253"/>
        <item x="451"/>
        <item x="410"/>
        <item x="121"/>
        <item x="120"/>
        <item x="316"/>
        <item x="420"/>
        <item x="224"/>
        <item x="326"/>
        <item x="239"/>
        <item x="274"/>
        <item x="17"/>
        <item x="325"/>
        <item x="273"/>
        <item x="16"/>
        <item x="89"/>
        <item x="223"/>
        <item x="15"/>
        <item x="308"/>
        <item x="272"/>
        <item x="174"/>
        <item x="119"/>
        <item x="14"/>
        <item x="188"/>
        <item x="54"/>
        <item x="35"/>
        <item x="88"/>
        <item x="238"/>
        <item x="187"/>
        <item x="211"/>
        <item x="103"/>
        <item x="148"/>
        <item x="315"/>
        <item x="252"/>
        <item x="34"/>
        <item x="87"/>
        <item x="86"/>
        <item x="73"/>
        <item x="53"/>
        <item x="262"/>
        <item x="210"/>
        <item x="222"/>
        <item x="209"/>
        <item x="419"/>
        <item x="409"/>
        <item x="52"/>
        <item x="51"/>
        <item x="173"/>
        <item x="271"/>
        <item x="33"/>
        <item x="261"/>
        <item x="251"/>
        <item x="118"/>
        <item x="32"/>
        <item x="161"/>
        <item x="307"/>
        <item x="102"/>
        <item x="198"/>
        <item x="50"/>
        <item x="221"/>
        <item x="85"/>
        <item x="335"/>
        <item x="294"/>
        <item x="250"/>
        <item x="101"/>
        <item x="172"/>
        <item x="160"/>
        <item x="72"/>
        <item x="147"/>
        <item x="186"/>
        <item x="117"/>
        <item x="134"/>
        <item x="146"/>
        <item x="185"/>
        <item x="159"/>
        <item x="351"/>
        <item x="408"/>
        <item x="306"/>
        <item x="71"/>
        <item x="158"/>
        <item x="401"/>
        <item x="49"/>
        <item x="237"/>
        <item x="171"/>
        <item x="31"/>
        <item x="70"/>
        <item x="13"/>
        <item x="293"/>
        <item x="435"/>
        <item x="220"/>
        <item x="100"/>
        <item x="249"/>
        <item x="350"/>
        <item x="133"/>
        <item x="30"/>
        <item x="292"/>
        <item x="69"/>
        <item x="461"/>
        <item x="132"/>
        <item x="375"/>
        <item x="349"/>
        <item x="116"/>
        <item x="184"/>
        <item x="131"/>
        <item x="68"/>
        <item x="361"/>
        <item x="469"/>
        <item x="84"/>
        <item x="341"/>
        <item x="115"/>
        <item x="391"/>
        <item x="67"/>
        <item x="305"/>
        <item x="285"/>
        <item x="260"/>
        <item x="48"/>
        <item x="12"/>
        <item x="236"/>
        <item x="270"/>
        <item x="219"/>
        <item x="291"/>
        <item x="183"/>
        <item x="99"/>
        <item x="47"/>
        <item x="269"/>
        <item x="235"/>
        <item x="460"/>
        <item x="157"/>
        <item x="11"/>
        <item x="114"/>
        <item x="324"/>
        <item x="400"/>
        <item x="145"/>
        <item x="445"/>
        <item x="360"/>
        <item x="248"/>
        <item x="218"/>
        <item x="29"/>
        <item x="383"/>
        <item x="399"/>
        <item x="130"/>
        <item x="208"/>
        <item x="66"/>
        <item x="197"/>
        <item x="46"/>
        <item x="113"/>
        <item x="359"/>
        <item x="28"/>
        <item x="65"/>
        <item x="268"/>
        <item x="64"/>
        <item x="144"/>
        <item x="10"/>
        <item x="196"/>
        <item x="247"/>
        <item x="476"/>
        <item x="314"/>
        <item x="284"/>
        <item x="83"/>
        <item x="334"/>
        <item x="63"/>
        <item x="112"/>
        <item x="374"/>
        <item x="475"/>
        <item x="9"/>
        <item x="207"/>
        <item x="313"/>
        <item x="234"/>
        <item x="45"/>
        <item x="82"/>
        <item x="111"/>
        <item x="62"/>
        <item x="283"/>
        <item x="304"/>
        <item x="487"/>
        <item x="27"/>
        <item x="323"/>
        <item x="182"/>
        <item x="459"/>
        <item x="26"/>
        <item x="474"/>
        <item x="170"/>
        <item x="398"/>
        <item x="322"/>
        <item x="110"/>
        <item x="290"/>
        <item x="25"/>
        <item x="333"/>
        <item x="450"/>
        <item x="195"/>
        <item x="61"/>
        <item x="98"/>
        <item x="233"/>
        <item x="44"/>
        <item x="81"/>
        <item x="8"/>
        <item x="97"/>
        <item x="382"/>
        <item x="169"/>
        <item x="407"/>
        <item x="444"/>
        <item x="303"/>
        <item x="7"/>
        <item x="96"/>
        <item x="481"/>
        <item x="232"/>
        <item x="194"/>
        <item x="406"/>
        <item x="449"/>
        <item x="156"/>
        <item x="500"/>
        <item x="129"/>
        <item x="246"/>
        <item x="181"/>
        <item x="109"/>
        <item x="282"/>
        <item x="418"/>
        <item x="443"/>
        <item x="348"/>
        <item x="231"/>
        <item x="143"/>
        <item x="499"/>
        <item x="468"/>
        <item x="434"/>
        <item x="312"/>
        <item x="180"/>
        <item x="43"/>
        <item x="486"/>
        <item x="155"/>
        <item x="397"/>
        <item x="281"/>
        <item x="142"/>
        <item x="42"/>
        <item x="141"/>
        <item x="193"/>
        <item x="390"/>
        <item x="332"/>
        <item x="259"/>
        <item x="331"/>
        <item x="41"/>
        <item x="280"/>
        <item x="206"/>
        <item x="217"/>
        <item x="492"/>
        <item x="230"/>
        <item x="245"/>
        <item x="389"/>
        <item x="302"/>
        <item x="485"/>
        <item x="128"/>
        <item x="358"/>
        <item x="60"/>
        <item x="229"/>
        <item x="192"/>
        <item x="24"/>
        <item x="168"/>
        <item x="23"/>
        <item x="80"/>
        <item x="6"/>
        <item x="167"/>
        <item x="301"/>
        <item x="166"/>
        <item x="205"/>
        <item x="22"/>
        <item x="127"/>
        <item x="289"/>
        <item x="357"/>
        <item x="5"/>
        <item x="216"/>
        <item x="473"/>
        <item x="467"/>
        <item x="95"/>
        <item x="458"/>
        <item x="244"/>
        <item x="381"/>
        <item x="154"/>
        <item x="388"/>
        <item x="40"/>
        <item x="204"/>
        <item x="457"/>
        <item x="396"/>
        <item x="498"/>
        <item x="59"/>
        <item x="108"/>
        <item x="472"/>
        <item x="442"/>
        <item x="321"/>
        <item x="466"/>
        <item x="140"/>
        <item x="300"/>
        <item x="299"/>
        <item x="228"/>
        <item x="94"/>
        <item x="153"/>
        <item x="465"/>
        <item x="279"/>
        <item x="58"/>
        <item x="79"/>
        <item x="298"/>
        <item x="340"/>
        <item x="366"/>
        <item x="107"/>
        <item x="152"/>
        <item x="126"/>
        <item x="179"/>
        <item x="93"/>
        <item x="320"/>
        <item x="297"/>
        <item x="21"/>
        <item x="139"/>
        <item x="471"/>
        <item x="4"/>
        <item x="78"/>
        <item x="3"/>
        <item x="125"/>
        <item x="365"/>
        <item x="373"/>
        <item x="178"/>
        <item x="417"/>
        <item x="456"/>
        <item x="77"/>
        <item x="464"/>
        <item x="203"/>
        <item x="267"/>
        <item x="76"/>
        <item x="319"/>
        <item x="387"/>
        <item x="124"/>
        <item x="380"/>
        <item x="177"/>
        <item x="266"/>
        <item x="428"/>
        <item x="151"/>
        <item x="441"/>
        <item x="278"/>
        <item x="165"/>
        <item x="395"/>
        <item x="164"/>
        <item x="138"/>
        <item x="497"/>
        <item x="150"/>
        <item x="39"/>
        <item x="137"/>
        <item x="484"/>
        <item x="265"/>
        <item x="258"/>
        <item x="38"/>
        <item x="191"/>
        <item x="379"/>
        <item x="480"/>
        <item x="163"/>
        <item x="427"/>
        <item x="123"/>
        <item x="311"/>
        <item x="190"/>
        <item x="416"/>
        <item x="405"/>
        <item x="20"/>
        <item x="491"/>
        <item x="404"/>
        <item x="330"/>
        <item x="347"/>
        <item x="372"/>
        <item x="243"/>
        <item x="433"/>
        <item x="288"/>
        <item x="339"/>
        <item x="483"/>
        <item x="202"/>
        <item x="403"/>
        <item x="136"/>
        <item x="257"/>
        <item x="364"/>
        <item x="2"/>
        <item x="57"/>
        <item x="479"/>
        <item x="287"/>
        <item x="242"/>
        <item x="490"/>
        <item x="346"/>
        <item x="432"/>
        <item x="415"/>
        <item x="345"/>
        <item x="371"/>
        <item x="92"/>
        <item x="370"/>
        <item x="496"/>
        <item x="356"/>
        <item x="426"/>
        <item x="463"/>
        <item x="431"/>
        <item x="176"/>
        <item x="355"/>
        <item x="448"/>
        <item x="215"/>
        <item x="386"/>
        <item x="425"/>
        <item x="214"/>
        <item x="189"/>
        <item x="478"/>
        <item x="256"/>
        <item x="91"/>
        <item x="56"/>
        <item x="424"/>
        <item x="369"/>
        <item x="414"/>
        <item x="329"/>
        <item x="264"/>
        <item x="440"/>
        <item x="277"/>
        <item x="175"/>
        <item x="477"/>
        <item x="455"/>
        <item x="385"/>
        <item x="122"/>
        <item x="318"/>
        <item x="368"/>
        <item x="296"/>
        <item x="149"/>
        <item x="439"/>
        <item x="55"/>
        <item x="276"/>
        <item x="378"/>
        <item x="227"/>
        <item x="201"/>
        <item x="275"/>
        <item x="489"/>
        <item x="363"/>
        <item x="90"/>
        <item x="454"/>
        <item x="482"/>
        <item x="354"/>
        <item x="241"/>
        <item x="1"/>
        <item x="453"/>
        <item x="106"/>
        <item x="37"/>
        <item x="19"/>
        <item x="413"/>
        <item x="452"/>
        <item x="447"/>
        <item x="338"/>
        <item x="362"/>
        <item x="0"/>
        <item x="135"/>
        <item x="105"/>
        <item x="286"/>
        <item x="18"/>
        <item x="295"/>
        <item x="75"/>
        <item x="74"/>
        <item x="394"/>
        <item x="337"/>
        <item x="377"/>
        <item x="263"/>
        <item x="162"/>
        <item x="438"/>
        <item x="446"/>
        <item x="328"/>
        <item x="367"/>
        <item x="495"/>
        <item x="462"/>
        <item x="353"/>
        <item x="317"/>
        <item x="200"/>
        <item x="310"/>
        <item x="376"/>
        <item x="412"/>
        <item x="384"/>
        <item x="411"/>
        <item x="309"/>
        <item x="213"/>
        <item x="327"/>
        <item x="393"/>
        <item x="344"/>
        <item x="423"/>
        <item x="240"/>
        <item x="36"/>
        <item x="422"/>
        <item x="226"/>
        <item x="104"/>
        <item x="225"/>
        <item x="470"/>
        <item x="343"/>
        <item x="255"/>
        <item x="392"/>
        <item x="488"/>
        <item x="437"/>
        <item x="212"/>
        <item x="430"/>
      </items>
    </pivotField>
    <pivotField dataField="1" showAll="0" defaultSubtotal="0">
      <items count="233">
        <item x="156"/>
        <item x="55"/>
        <item x="39"/>
        <item x="228"/>
        <item x="151"/>
        <item x="149"/>
        <item x="119"/>
        <item x="144"/>
        <item x="134"/>
        <item x="66"/>
        <item x="145"/>
        <item x="121"/>
        <item x="158"/>
        <item x="172"/>
        <item x="57"/>
        <item x="154"/>
        <item x="72"/>
        <item x="143"/>
        <item x="53"/>
        <item x="155"/>
        <item x="73"/>
        <item x="131"/>
        <item x="133"/>
        <item x="130"/>
        <item x="56"/>
        <item x="90"/>
        <item x="76"/>
        <item x="92"/>
        <item x="146"/>
        <item x="157"/>
        <item x="77"/>
        <item x="132"/>
        <item x="54"/>
        <item x="227"/>
        <item x="150"/>
        <item x="178"/>
        <item x="137"/>
        <item x="142"/>
        <item x="74"/>
        <item x="120"/>
        <item x="164"/>
        <item x="141"/>
        <item x="168"/>
        <item x="34"/>
        <item x="125"/>
        <item x="177"/>
        <item x="64"/>
        <item x="192"/>
        <item x="52"/>
        <item x="62"/>
        <item x="216"/>
        <item x="127"/>
        <item x="226"/>
        <item x="109"/>
        <item x="35"/>
        <item x="152"/>
        <item x="118"/>
        <item x="185"/>
        <item x="138"/>
        <item x="89"/>
        <item x="196"/>
        <item x="136"/>
        <item x="128"/>
        <item x="153"/>
        <item x="58"/>
        <item x="63"/>
        <item x="45"/>
        <item x="75"/>
        <item x="148"/>
        <item x="171"/>
        <item x="36"/>
        <item x="123"/>
        <item x="206"/>
        <item x="232"/>
        <item x="220"/>
        <item x="210"/>
        <item x="107"/>
        <item x="165"/>
        <item x="37"/>
        <item x="126"/>
        <item x="129"/>
        <item x="91"/>
        <item x="183"/>
        <item x="140"/>
        <item x="184"/>
        <item x="68"/>
        <item x="87"/>
        <item x="191"/>
        <item x="83"/>
        <item x="217"/>
        <item x="116"/>
        <item x="49"/>
        <item x="108"/>
        <item x="190"/>
        <item x="189"/>
        <item x="88"/>
        <item x="176"/>
        <item x="170"/>
        <item x="67"/>
        <item x="147"/>
        <item x="38"/>
        <item x="139"/>
        <item x="181"/>
        <item x="188"/>
        <item x="214"/>
        <item x="69"/>
        <item x="167"/>
        <item x="231"/>
        <item x="222"/>
        <item x="86"/>
        <item x="70"/>
        <item x="223"/>
        <item x="195"/>
        <item x="182"/>
        <item x="200"/>
        <item x="202"/>
        <item x="65"/>
        <item x="205"/>
        <item x="51"/>
        <item x="224"/>
        <item x="99"/>
        <item x="215"/>
        <item x="71"/>
        <item x="225"/>
        <item x="180"/>
        <item x="209"/>
        <item x="204"/>
        <item x="162"/>
        <item x="47"/>
        <item x="161"/>
        <item x="230"/>
        <item x="213"/>
        <item x="115"/>
        <item x="166"/>
        <item x="42"/>
        <item x="163"/>
        <item x="14"/>
        <item x="60"/>
        <item x="27"/>
        <item x="229"/>
        <item x="124"/>
        <item x="33"/>
        <item x="117"/>
        <item x="85"/>
        <item x="113"/>
        <item x="48"/>
        <item x="135"/>
        <item x="106"/>
        <item x="203"/>
        <item x="84"/>
        <item x="187"/>
        <item x="201"/>
        <item x="80"/>
        <item x="46"/>
        <item x="50"/>
        <item x="24"/>
        <item x="194"/>
        <item x="111"/>
        <item x="114"/>
        <item x="105"/>
        <item x="81"/>
        <item x="169"/>
        <item x="174"/>
        <item x="16"/>
        <item x="193"/>
        <item x="208"/>
        <item x="175"/>
        <item x="219"/>
        <item x="221"/>
        <item x="43"/>
        <item x="218"/>
        <item x="122"/>
        <item x="44"/>
        <item x="32"/>
        <item x="82"/>
        <item x="179"/>
        <item x="17"/>
        <item x="96"/>
        <item x="212"/>
        <item x="186"/>
        <item x="207"/>
        <item x="211"/>
        <item x="98"/>
        <item x="18"/>
        <item x="31"/>
        <item x="103"/>
        <item x="61"/>
        <item x="199"/>
        <item x="25"/>
        <item x="173"/>
        <item x="29"/>
        <item x="59"/>
        <item x="160"/>
        <item x="102"/>
        <item x="15"/>
        <item x="101"/>
        <item x="97"/>
        <item x="28"/>
        <item x="104"/>
        <item x="30"/>
        <item x="22"/>
        <item x="159"/>
        <item x="198"/>
        <item x="100"/>
        <item x="95"/>
        <item x="112"/>
        <item x="197"/>
        <item x="78"/>
        <item x="79"/>
        <item x="23"/>
        <item x="41"/>
        <item x="26"/>
        <item x="110"/>
        <item x="40"/>
        <item x="19"/>
        <item x="8"/>
        <item x="13"/>
        <item x="12"/>
        <item x="94"/>
        <item x="93"/>
        <item x="21"/>
        <item x="9"/>
        <item x="11"/>
        <item x="4"/>
        <item x="20"/>
        <item x="5"/>
        <item x="10"/>
        <item x="7"/>
        <item x="3"/>
        <item x="6"/>
        <item x="2"/>
        <item x="1"/>
        <item x="0"/>
      </items>
    </pivotField>
    <pivotField dataField="1" showAll="0" defaultSubtotal="0">
      <items count="550">
        <item x="201"/>
        <item x="38"/>
        <item x="54"/>
        <item x="270"/>
        <item x="251"/>
        <item x="286"/>
        <item x="183"/>
        <item x="364"/>
        <item x="239"/>
        <item x="284"/>
        <item x="379"/>
        <item x="120"/>
        <item x="430"/>
        <item x="212"/>
        <item x="361"/>
        <item x="308"/>
        <item x="533"/>
        <item x="104"/>
        <item x="226"/>
        <item x="296"/>
        <item x="14"/>
        <item x="465"/>
        <item x="365"/>
        <item x="56"/>
        <item x="344"/>
        <item x="378"/>
        <item x="65"/>
        <item x="182"/>
        <item x="229"/>
        <item x="410"/>
        <item x="490"/>
        <item x="33"/>
        <item x="168"/>
        <item x="53"/>
        <item x="253"/>
        <item x="16"/>
        <item x="542"/>
        <item x="333"/>
        <item x="118"/>
        <item x="354"/>
        <item x="200"/>
        <item x="91"/>
        <item x="34"/>
        <item x="355"/>
        <item x="17"/>
        <item x="139"/>
        <item x="107"/>
        <item x="55"/>
        <item x="429"/>
        <item x="353"/>
        <item x="122"/>
        <item x="345"/>
        <item x="151"/>
        <item x="18"/>
        <item x="329"/>
        <item x="35"/>
        <item x="90"/>
        <item x="271"/>
        <item x="255"/>
        <item x="285"/>
        <item x="180"/>
        <item x="230"/>
        <item x="36"/>
        <item x="518"/>
        <item x="124"/>
        <item x="380"/>
        <item x="105"/>
        <item x="71"/>
        <item x="254"/>
        <item x="392"/>
        <item x="15"/>
        <item x="227"/>
        <item x="504"/>
        <item x="340"/>
        <item x="152"/>
        <item x="272"/>
        <item x="306"/>
        <item x="252"/>
        <item x="508"/>
        <item x="391"/>
        <item x="438"/>
        <item x="88"/>
        <item x="106"/>
        <item x="37"/>
        <item x="332"/>
        <item x="74"/>
        <item x="228"/>
        <item x="307"/>
        <item x="331"/>
        <item x="363"/>
        <item x="221"/>
        <item x="130"/>
        <item x="328"/>
        <item x="52"/>
        <item x="247"/>
        <item x="123"/>
        <item x="418"/>
        <item x="509"/>
        <item x="316"/>
        <item x="75"/>
        <item x="400"/>
        <item x="457"/>
        <item x="466"/>
        <item x="534"/>
        <item x="449"/>
        <item x="476"/>
        <item x="318"/>
        <item x="393"/>
        <item x="198"/>
        <item x="428"/>
        <item x="420"/>
        <item x="339"/>
        <item x="213"/>
        <item x="181"/>
        <item x="97"/>
        <item x="202"/>
        <item x="112"/>
        <item x="136"/>
        <item x="238"/>
        <item x="440"/>
        <item x="185"/>
        <item x="447"/>
        <item x="196"/>
        <item x="138"/>
        <item x="150"/>
        <item x="72"/>
        <item x="57"/>
        <item x="467"/>
        <item x="179"/>
        <item x="135"/>
        <item x="489"/>
        <item x="44"/>
        <item x="146"/>
        <item x="314"/>
        <item x="362"/>
        <item x="496"/>
        <item x="27"/>
        <item x="19"/>
        <item x="162"/>
        <item x="32"/>
        <item x="117"/>
        <item x="474"/>
        <item x="8"/>
        <item x="360"/>
        <item x="199"/>
        <item x="184"/>
        <item x="13"/>
        <item x="448"/>
        <item x="541"/>
        <item x="192"/>
        <item x="63"/>
        <item x="280"/>
        <item x="319"/>
        <item x="166"/>
        <item x="304"/>
        <item x="51"/>
        <item x="375"/>
        <item x="250"/>
        <item x="215"/>
        <item x="24"/>
        <item x="61"/>
        <item x="245"/>
        <item x="121"/>
        <item x="417"/>
        <item x="482"/>
        <item x="301"/>
        <item x="83"/>
        <item x="399"/>
        <item x="330"/>
        <item x="164"/>
        <item x="427"/>
        <item x="119"/>
        <item x="137"/>
        <item x="89"/>
        <item x="269"/>
        <item x="390"/>
        <item x="195"/>
        <item x="234"/>
        <item x="468"/>
        <item x="148"/>
        <item x="262"/>
        <item x="529"/>
        <item x="48"/>
        <item x="263"/>
        <item x="158"/>
        <item x="12"/>
        <item x="103"/>
        <item x="214"/>
        <item x="377"/>
        <item x="82"/>
        <item x="488"/>
        <item x="283"/>
        <item x="178"/>
        <item x="169"/>
        <item x="437"/>
        <item x="495"/>
        <item x="249"/>
        <item x="175"/>
        <item x="341"/>
        <item x="317"/>
        <item x="475"/>
        <item x="343"/>
        <item x="87"/>
        <item x="510"/>
        <item x="387"/>
        <item x="31"/>
        <item x="62"/>
        <item x="134"/>
        <item x="419"/>
        <item x="342"/>
        <item x="305"/>
        <item x="73"/>
        <item x="267"/>
        <item x="408"/>
        <item x="532"/>
        <item x="398"/>
        <item x="236"/>
        <item x="268"/>
        <item x="464"/>
        <item x="115"/>
        <item x="501"/>
        <item x="197"/>
        <item x="295"/>
        <item x="315"/>
        <item x="351"/>
        <item x="405"/>
        <item x="266"/>
        <item x="279"/>
        <item x="155"/>
        <item x="376"/>
        <item x="220"/>
        <item x="222"/>
        <item x="95"/>
        <item x="86"/>
        <item x="439"/>
        <item x="389"/>
        <item x="278"/>
        <item x="209"/>
        <item x="456"/>
        <item x="50"/>
        <item x="9"/>
        <item x="11"/>
        <item x="4"/>
        <item x="156"/>
        <item x="426"/>
        <item x="531"/>
        <item x="300"/>
        <item x="149"/>
        <item x="211"/>
        <item x="517"/>
        <item x="30"/>
        <item x="324"/>
        <item x="444"/>
        <item x="303"/>
        <item x="473"/>
        <item x="25"/>
        <item x="388"/>
        <item x="374"/>
        <item x="524"/>
        <item x="129"/>
        <item x="96"/>
        <item x="46"/>
        <item x="549"/>
        <item x="167"/>
        <item x="67"/>
        <item x="515"/>
        <item x="237"/>
        <item x="396"/>
        <item x="424"/>
        <item x="537"/>
        <item x="144"/>
        <item x="327"/>
        <item x="292"/>
        <item x="101"/>
        <item x="133"/>
        <item x="326"/>
        <item x="29"/>
        <item x="530"/>
        <item x="281"/>
        <item x="41"/>
        <item x="248"/>
        <item x="235"/>
        <item x="210"/>
        <item x="455"/>
        <item x="225"/>
        <item x="487"/>
        <item x="294"/>
        <item x="5"/>
        <item x="373"/>
        <item x="436"/>
        <item x="176"/>
        <item x="409"/>
        <item x="159"/>
        <item x="503"/>
        <item x="66"/>
        <item x="412"/>
        <item x="224"/>
        <item x="264"/>
        <item x="193"/>
        <item x="370"/>
        <item x="352"/>
        <item x="131"/>
        <item x="265"/>
        <item x="425"/>
        <item x="47"/>
        <item x="372"/>
        <item x="243"/>
        <item x="68"/>
        <item x="154"/>
        <item x="132"/>
        <item x="100"/>
        <item x="540"/>
        <item x="260"/>
        <item x="423"/>
        <item x="337"/>
        <item x="114"/>
        <item x="462"/>
        <item x="397"/>
        <item x="28"/>
        <item x="173"/>
        <item x="406"/>
        <item x="85"/>
        <item x="10"/>
        <item x="69"/>
        <item x="165"/>
        <item x="45"/>
        <item x="49"/>
        <item x="99"/>
        <item x="126"/>
        <item x="113"/>
        <item x="7"/>
        <item x="445"/>
        <item x="163"/>
        <item x="22"/>
        <item x="336"/>
        <item x="84"/>
        <item x="282"/>
        <item x="325"/>
        <item x="189"/>
        <item x="174"/>
        <item x="435"/>
        <item x="64"/>
        <item x="322"/>
        <item x="79"/>
        <item x="194"/>
        <item x="102"/>
        <item x="208"/>
        <item x="369"/>
        <item x="446"/>
        <item x="434"/>
        <item x="78"/>
        <item x="416"/>
        <item x="481"/>
        <item x="259"/>
        <item x="312"/>
        <item x="116"/>
        <item x="506"/>
        <item x="3"/>
        <item x="538"/>
        <item x="371"/>
        <item x="433"/>
        <item x="70"/>
        <item x="111"/>
        <item x="141"/>
        <item x="313"/>
        <item x="128"/>
        <item x="188"/>
        <item x="246"/>
        <item x="98"/>
        <item x="502"/>
        <item x="160"/>
        <item x="204"/>
        <item x="218"/>
        <item x="348"/>
        <item x="415"/>
        <item x="479"/>
        <item x="359"/>
        <item x="94"/>
        <item x="302"/>
        <item x="358"/>
        <item x="80"/>
        <item x="23"/>
        <item x="177"/>
        <item x="223"/>
        <item x="349"/>
        <item x="6"/>
        <item x="525"/>
        <item x="277"/>
        <item x="219"/>
        <item x="499"/>
        <item x="547"/>
        <item x="293"/>
        <item x="516"/>
        <item x="347"/>
        <item x="261"/>
        <item x="338"/>
        <item x="172"/>
        <item x="289"/>
        <item x="407"/>
        <item x="109"/>
        <item x="42"/>
        <item x="451"/>
        <item x="539"/>
        <item x="147"/>
        <item x="276"/>
        <item x="26"/>
        <item x="384"/>
        <item x="522"/>
        <item x="275"/>
        <item x="350"/>
        <item x="244"/>
        <item x="413"/>
        <item x="43"/>
        <item x="59"/>
        <item x="2"/>
        <item x="191"/>
        <item x="145"/>
        <item x="258"/>
        <item x="543"/>
        <item x="323"/>
        <item x="453"/>
        <item x="386"/>
        <item x="414"/>
        <item x="161"/>
        <item x="81"/>
        <item x="311"/>
        <item x="291"/>
        <item x="492"/>
        <item x="548"/>
        <item x="463"/>
        <item x="404"/>
        <item x="523"/>
        <item x="454"/>
        <item x="206"/>
        <item x="545"/>
        <item x="143"/>
        <item x="528"/>
        <item x="461"/>
        <item x="290"/>
        <item x="472"/>
        <item x="385"/>
        <item x="507"/>
        <item x="480"/>
        <item x="233"/>
        <item x="513"/>
        <item x="205"/>
        <item x="190"/>
        <item x="514"/>
        <item x="187"/>
        <item x="494"/>
        <item x="546"/>
        <item x="299"/>
        <item x="478"/>
        <item x="142"/>
        <item x="452"/>
        <item x="383"/>
        <item x="486"/>
        <item x="207"/>
        <item x="459"/>
        <item x="493"/>
        <item x="471"/>
        <item x="171"/>
        <item x="157"/>
        <item x="485"/>
        <item x="403"/>
        <item x="536"/>
        <item x="127"/>
        <item x="498"/>
        <item x="527"/>
        <item x="232"/>
        <item x="394"/>
        <item x="288"/>
        <item x="310"/>
        <item x="395"/>
        <item x="241"/>
        <item x="520"/>
        <item x="460"/>
        <item x="491"/>
        <item x="368"/>
        <item x="274"/>
        <item x="450"/>
        <item x="367"/>
        <item x="469"/>
        <item x="484"/>
        <item x="401"/>
        <item x="382"/>
        <item x="242"/>
        <item x="521"/>
        <item x="432"/>
        <item x="298"/>
        <item x="257"/>
        <item x="321"/>
        <item x="505"/>
        <item x="443"/>
        <item x="287"/>
        <item x="60"/>
        <item x="500"/>
        <item x="458"/>
        <item x="186"/>
        <item x="544"/>
        <item x="93"/>
        <item x="497"/>
        <item x="402"/>
        <item x="320"/>
        <item x="297"/>
        <item x="346"/>
        <item x="366"/>
        <item x="511"/>
        <item x="411"/>
        <item x="470"/>
        <item x="1"/>
        <item x="40"/>
        <item x="76"/>
        <item x="77"/>
        <item x="526"/>
        <item x="0"/>
        <item x="21"/>
        <item x="203"/>
        <item x="442"/>
        <item x="309"/>
        <item x="217"/>
        <item x="422"/>
        <item x="431"/>
        <item x="140"/>
        <item x="535"/>
        <item x="512"/>
        <item x="20"/>
        <item x="110"/>
        <item x="335"/>
        <item x="92"/>
        <item x="58"/>
        <item x="519"/>
        <item x="421"/>
        <item x="381"/>
        <item x="256"/>
        <item x="334"/>
        <item x="125"/>
        <item x="170"/>
        <item x="153"/>
        <item x="357"/>
        <item x="483"/>
        <item x="356"/>
        <item x="39"/>
        <item x="441"/>
        <item x="273"/>
        <item x="216"/>
        <item x="240"/>
        <item x="108"/>
        <item x="477"/>
        <item x="231"/>
      </items>
    </pivotField>
    <pivotField dataField="1" showAll="0" defaultSubtotal="0">
      <items count="207">
        <item x="206"/>
        <item x="173"/>
        <item x="174"/>
        <item x="170"/>
        <item x="171"/>
        <item x="176"/>
        <item x="161"/>
        <item x="154"/>
        <item x="175"/>
        <item x="184"/>
        <item x="156"/>
        <item x="166"/>
        <item x="141"/>
        <item x="172"/>
        <item x="147"/>
        <item x="143"/>
        <item x="89"/>
        <item x="162"/>
        <item x="168"/>
        <item x="70"/>
        <item x="84"/>
        <item x="133"/>
        <item x="144"/>
        <item x="49"/>
        <item x="158"/>
        <item x="163"/>
        <item x="157"/>
        <item x="135"/>
        <item x="145"/>
        <item x="188"/>
        <item x="167"/>
        <item x="130"/>
        <item x="169"/>
        <item x="134"/>
        <item x="146"/>
        <item x="186"/>
        <item x="151"/>
        <item x="190"/>
        <item x="152"/>
        <item x="155"/>
        <item x="69"/>
        <item x="159"/>
        <item x="120"/>
        <item x="128"/>
        <item x="153"/>
        <item x="138"/>
        <item x="73"/>
        <item x="68"/>
        <item x="58"/>
        <item x="87"/>
        <item x="61"/>
        <item x="142"/>
        <item x="139"/>
        <item x="192"/>
        <item x="88"/>
        <item x="136"/>
        <item x="76"/>
        <item x="137"/>
        <item x="77"/>
        <item x="183"/>
        <item x="86"/>
        <item x="200"/>
        <item x="30"/>
        <item x="127"/>
        <item x="81"/>
        <item x="91"/>
        <item x="90"/>
        <item x="74"/>
        <item x="160"/>
        <item x="165"/>
        <item x="50"/>
        <item x="66"/>
        <item x="59"/>
        <item x="85"/>
        <item x="189"/>
        <item x="75"/>
        <item x="67"/>
        <item x="132"/>
        <item x="193"/>
        <item x="177"/>
        <item x="72"/>
        <item x="182"/>
        <item x="47"/>
        <item x="150"/>
        <item x="178"/>
        <item x="185"/>
        <item x="117"/>
        <item x="118"/>
        <item x="149"/>
        <item x="199"/>
        <item x="191"/>
        <item x="202"/>
        <item x="124"/>
        <item x="205"/>
        <item x="140"/>
        <item x="57"/>
        <item x="54"/>
        <item x="56"/>
        <item x="103"/>
        <item x="181"/>
        <item x="126"/>
        <item x="71"/>
        <item x="164"/>
        <item x="187"/>
        <item x="148"/>
        <item x="43"/>
        <item x="51"/>
        <item x="52"/>
        <item x="55"/>
        <item x="197"/>
        <item x="125"/>
        <item x="203"/>
        <item x="201"/>
        <item x="45"/>
        <item x="53"/>
        <item x="204"/>
        <item x="198"/>
        <item x="41"/>
        <item x="113"/>
        <item x="119"/>
        <item x="115"/>
        <item x="131"/>
        <item x="80"/>
        <item x="40"/>
        <item x="121"/>
        <item x="28"/>
        <item x="123"/>
        <item x="48"/>
        <item x="129"/>
        <item x="180"/>
        <item x="196"/>
        <item x="46"/>
        <item x="99"/>
        <item x="78"/>
        <item x="122"/>
        <item x="79"/>
        <item x="65"/>
        <item x="38"/>
        <item x="83"/>
        <item x="108"/>
        <item x="82"/>
        <item x="111"/>
        <item x="64"/>
        <item x="63"/>
        <item x="114"/>
        <item x="26"/>
        <item x="31"/>
        <item x="37"/>
        <item x="116"/>
        <item x="110"/>
        <item x="100"/>
        <item x="109"/>
        <item x="105"/>
        <item x="62"/>
        <item x="39"/>
        <item x="33"/>
        <item x="29"/>
        <item x="179"/>
        <item x="20"/>
        <item x="194"/>
        <item x="101"/>
        <item x="107"/>
        <item x="36"/>
        <item x="32"/>
        <item x="44"/>
        <item x="21"/>
        <item x="92"/>
        <item x="35"/>
        <item x="104"/>
        <item x="195"/>
        <item x="60"/>
        <item x="93"/>
        <item x="102"/>
        <item x="106"/>
        <item x="10"/>
        <item x="42"/>
        <item x="19"/>
        <item x="34"/>
        <item x="27"/>
        <item x="23"/>
        <item x="112"/>
        <item x="25"/>
        <item x="96"/>
        <item x="98"/>
        <item x="97"/>
        <item x="24"/>
        <item x="7"/>
        <item x="22"/>
        <item x="11"/>
        <item x="95"/>
        <item x="15"/>
        <item x="18"/>
        <item x="94"/>
        <item x="17"/>
        <item x="13"/>
        <item x="16"/>
        <item x="12"/>
        <item x="14"/>
        <item x="6"/>
        <item x="1"/>
        <item x="0"/>
        <item x="9"/>
        <item x="5"/>
        <item x="8"/>
        <item x="3"/>
        <item x="2"/>
        <item x="4"/>
      </items>
    </pivotField>
    <pivotField dataField="1" showAll="0" defaultSubtotal="0">
      <items count="470">
        <item x="382"/>
        <item x="400"/>
        <item x="244"/>
        <item x="381"/>
        <item x="345"/>
        <item x="201"/>
        <item x="359"/>
        <item x="393"/>
        <item x="447"/>
        <item x="164"/>
        <item x="452"/>
        <item x="461"/>
        <item x="367"/>
        <item x="173"/>
        <item x="47"/>
        <item x="255"/>
        <item x="89"/>
        <item x="68"/>
        <item x="263"/>
        <item x="29"/>
        <item x="448"/>
        <item x="442"/>
        <item x="242"/>
        <item x="230"/>
        <item x="330"/>
        <item x="83"/>
        <item x="9"/>
        <item x="18"/>
        <item x="387"/>
        <item x="317"/>
        <item x="357"/>
        <item x="435"/>
        <item x="82"/>
        <item x="276"/>
        <item x="306"/>
        <item x="338"/>
        <item x="284"/>
        <item x="159"/>
        <item x="298"/>
        <item x="221"/>
        <item x="131"/>
        <item x="101"/>
        <item x="178"/>
        <item x="245"/>
        <item x="388"/>
        <item x="186"/>
        <item x="115"/>
        <item x="133"/>
        <item x="142"/>
        <item x="156"/>
        <item x="287"/>
        <item x="274"/>
        <item x="258"/>
        <item x="422"/>
        <item x="329"/>
        <item x="365"/>
        <item x="175"/>
        <item x="391"/>
        <item x="319"/>
        <item x="220"/>
        <item x="165"/>
        <item x="56"/>
        <item x="151"/>
        <item x="189"/>
        <item x="67"/>
        <item x="305"/>
        <item x="145"/>
        <item x="135"/>
        <item x="248"/>
        <item x="353"/>
        <item x="192"/>
        <item x="392"/>
        <item x="339"/>
        <item x="368"/>
        <item x="373"/>
        <item x="259"/>
        <item x="122"/>
        <item x="72"/>
        <item x="285"/>
        <item x="66"/>
        <item x="124"/>
        <item x="121"/>
        <item x="351"/>
        <item x="97"/>
        <item x="292"/>
        <item x="27"/>
        <item x="59"/>
        <item x="134"/>
        <item x="454"/>
        <item x="191"/>
        <item x="161"/>
        <item x="7"/>
        <item x="434"/>
        <item x="366"/>
        <item x="238"/>
        <item x="152"/>
        <item x="352"/>
        <item x="150"/>
        <item x="297"/>
        <item x="257"/>
        <item x="318"/>
        <item x="74"/>
        <item x="48"/>
        <item x="10"/>
        <item x="85"/>
        <item x="35"/>
        <item x="14"/>
        <item x="336"/>
        <item x="311"/>
        <item x="147"/>
        <item x="299"/>
        <item x="431"/>
        <item x="166"/>
        <item x="321"/>
        <item x="310"/>
        <item x="87"/>
        <item x="247"/>
        <item x="104"/>
        <item x="17"/>
        <item x="130"/>
        <item x="236"/>
        <item x="273"/>
        <item x="174"/>
        <item x="243"/>
        <item x="123"/>
        <item x="106"/>
        <item x="214"/>
        <item x="98"/>
        <item x="45"/>
        <item x="105"/>
        <item x="75"/>
        <item x="185"/>
        <item x="304"/>
        <item x="113"/>
        <item x="137"/>
        <item x="25"/>
        <item x="323"/>
        <item x="202"/>
        <item x="16"/>
        <item x="222"/>
        <item x="414"/>
        <item x="232"/>
        <item x="168"/>
        <item x="322"/>
        <item x="65"/>
        <item x="12"/>
        <item x="210"/>
        <item x="15"/>
        <item x="237"/>
        <item x="179"/>
        <item x="99"/>
        <item x="176"/>
        <item x="79"/>
        <item x="213"/>
        <item x="57"/>
        <item x="337"/>
        <item x="91"/>
        <item x="118"/>
        <item x="148"/>
        <item x="90"/>
        <item x="177"/>
        <item x="300"/>
        <item x="73"/>
        <item x="267"/>
        <item x="315"/>
        <item x="55"/>
        <item x="11"/>
        <item x="36"/>
        <item x="52"/>
        <item x="31"/>
        <item x="54"/>
        <item x="28"/>
        <item x="211"/>
        <item x="278"/>
        <item x="233"/>
        <item x="13"/>
        <item x="102"/>
        <item x="19"/>
        <item x="71"/>
        <item x="320"/>
        <item x="235"/>
        <item x="136"/>
        <item x="453"/>
        <item x="158"/>
        <item x="190"/>
        <item x="34"/>
        <item x="212"/>
        <item x="266"/>
        <item x="30"/>
        <item x="6"/>
        <item x="88"/>
        <item x="187"/>
        <item x="41"/>
        <item x="84"/>
        <item x="20"/>
        <item x="436"/>
        <item x="162"/>
        <item x="1"/>
        <item x="49"/>
        <item x="0"/>
        <item x="50"/>
        <item x="86"/>
        <item x="120"/>
        <item x="53"/>
        <item x="8"/>
        <item x="33"/>
        <item x="149"/>
        <item x="188"/>
        <item x="456"/>
        <item x="277"/>
        <item x="228"/>
        <item x="294"/>
        <item x="265"/>
        <item x="360"/>
        <item x="234"/>
        <item x="100"/>
        <item x="43"/>
        <item x="390"/>
        <item x="358"/>
        <item x="51"/>
        <item x="331"/>
        <item x="103"/>
        <item x="397"/>
        <item x="344"/>
        <item x="184"/>
        <item x="275"/>
        <item x="379"/>
        <item x="225"/>
        <item x="163"/>
        <item x="402"/>
        <item x="428"/>
        <item x="109"/>
        <item x="223"/>
        <item x="114"/>
        <item x="411"/>
        <item x="279"/>
        <item x="309"/>
        <item x="70"/>
        <item x="446"/>
        <item x="38"/>
        <item x="111"/>
        <item x="209"/>
        <item x="196"/>
        <item x="146"/>
        <item x="340"/>
        <item x="374"/>
        <item x="399"/>
        <item x="288"/>
        <item x="426"/>
        <item x="286"/>
        <item x="246"/>
        <item x="69"/>
        <item x="116"/>
        <item x="63"/>
        <item x="205"/>
        <item x="389"/>
        <item x="328"/>
        <item x="32"/>
        <item x="37"/>
        <item x="380"/>
        <item x="356"/>
        <item x="346"/>
        <item x="119"/>
        <item x="170"/>
        <item x="127"/>
        <item x="441"/>
        <item x="469"/>
        <item x="264"/>
        <item x="46"/>
        <item x="378"/>
        <item x="398"/>
        <item x="445"/>
        <item x="343"/>
        <item x="200"/>
        <item x="160"/>
        <item x="409"/>
        <item x="283"/>
        <item x="324"/>
        <item x="117"/>
        <item x="377"/>
        <item x="44"/>
        <item x="460"/>
        <item x="312"/>
        <item x="440"/>
        <item x="262"/>
        <item x="132"/>
        <item x="419"/>
        <item x="405"/>
        <item x="350"/>
        <item x="144"/>
        <item x="386"/>
        <item x="415"/>
        <item x="427"/>
        <item x="466"/>
        <item x="296"/>
        <item x="385"/>
        <item x="254"/>
        <item x="219"/>
        <item x="198"/>
        <item x="335"/>
        <item x="172"/>
        <item x="451"/>
        <item x="282"/>
        <item x="128"/>
        <item x="464"/>
        <item x="332"/>
        <item x="107"/>
        <item x="291"/>
        <item x="406"/>
        <item x="293"/>
        <item x="303"/>
        <item x="203"/>
        <item x="316"/>
        <item x="26"/>
        <item x="256"/>
        <item x="22"/>
        <item x="110"/>
        <item x="141"/>
        <item x="207"/>
        <item x="271"/>
        <item x="355"/>
        <item x="94"/>
        <item x="307"/>
        <item x="270"/>
        <item x="78"/>
        <item x="96"/>
        <item x="199"/>
        <item x="5"/>
        <item x="423"/>
        <item x="457"/>
        <item x="129"/>
        <item x="417"/>
        <item x="112"/>
        <item x="218"/>
        <item x="24"/>
        <item x="208"/>
        <item x="229"/>
        <item x="416"/>
        <item x="468"/>
        <item x="95"/>
        <item x="313"/>
        <item x="459"/>
        <item x="195"/>
        <item x="64"/>
        <item x="308"/>
        <item x="349"/>
        <item x="295"/>
        <item x="364"/>
        <item x="370"/>
        <item x="396"/>
        <item x="3"/>
        <item x="289"/>
        <item x="197"/>
        <item x="231"/>
        <item x="183"/>
        <item x="204"/>
        <item x="437"/>
        <item x="169"/>
        <item x="226"/>
        <item x="143"/>
        <item x="40"/>
        <item x="241"/>
        <item x="432"/>
        <item x="182"/>
        <item x="157"/>
        <item x="251"/>
        <item x="76"/>
        <item x="171"/>
        <item x="439"/>
        <item x="62"/>
        <item x="77"/>
        <item x="371"/>
        <item x="421"/>
        <item x="61"/>
        <item x="272"/>
        <item x="429"/>
        <item x="363"/>
        <item x="260"/>
        <item x="327"/>
        <item x="410"/>
        <item x="302"/>
        <item x="467"/>
        <item x="334"/>
        <item x="81"/>
        <item x="42"/>
        <item x="252"/>
        <item x="155"/>
        <item x="395"/>
        <item x="250"/>
        <item x="126"/>
        <item x="280"/>
        <item x="458"/>
        <item x="376"/>
        <item x="249"/>
        <item x="180"/>
        <item x="140"/>
        <item x="206"/>
        <item x="372"/>
        <item x="341"/>
        <item x="23"/>
        <item x="290"/>
        <item x="80"/>
        <item x="433"/>
        <item x="125"/>
        <item x="153"/>
        <item x="227"/>
        <item x="217"/>
        <item x="420"/>
        <item x="93"/>
        <item x="216"/>
        <item x="455"/>
        <item x="2"/>
        <item x="60"/>
        <item x="281"/>
        <item x="268"/>
        <item x="239"/>
        <item x="438"/>
        <item x="154"/>
        <item x="394"/>
        <item x="354"/>
        <item x="4"/>
        <item x="450"/>
        <item x="138"/>
        <item x="21"/>
        <item x="253"/>
        <item x="444"/>
        <item x="194"/>
        <item x="384"/>
        <item x="39"/>
        <item x="347"/>
        <item x="92"/>
        <item x="240"/>
        <item x="139"/>
        <item x="407"/>
        <item x="314"/>
        <item x="403"/>
        <item x="269"/>
        <item x="362"/>
        <item x="261"/>
        <item x="333"/>
        <item x="181"/>
        <item x="58"/>
        <item x="463"/>
        <item x="326"/>
        <item x="424"/>
        <item x="167"/>
        <item x="325"/>
        <item x="342"/>
        <item x="404"/>
        <item x="301"/>
        <item x="215"/>
        <item x="369"/>
        <item x="348"/>
        <item x="383"/>
        <item x="443"/>
        <item x="418"/>
        <item x="401"/>
        <item x="224"/>
        <item x="375"/>
        <item x="425"/>
        <item x="108"/>
        <item x="412"/>
        <item x="361"/>
        <item x="193"/>
        <item x="430"/>
        <item x="449"/>
        <item x="408"/>
        <item x="465"/>
        <item x="413"/>
        <item x="462"/>
      </items>
    </pivotField>
    <pivotField dataField="1" showAll="0" defaultSubtotal="0">
      <items count="11">
        <item x="4"/>
        <item x="7"/>
        <item x="0"/>
        <item x="3"/>
        <item x="10"/>
        <item x="9"/>
        <item x="2"/>
        <item x="1"/>
        <item x="8"/>
        <item x="5"/>
        <item x="6"/>
      </items>
    </pivotField>
  </pivotFields>
  <rowFields count="3">
    <field x="2"/>
    <field x="6"/>
    <field x="5"/>
  </rowFields>
  <rowItems count="1041">
    <i>
      <x/>
    </i>
    <i r="1">
      <x/>
      <x v="32"/>
    </i>
    <i r="1">
      <x v="1"/>
      <x v="34"/>
    </i>
    <i r="1">
      <x v="2"/>
      <x v="27"/>
    </i>
    <i r="1">
      <x v="3"/>
      <x v="24"/>
    </i>
    <i r="1">
      <x v="4"/>
      <x/>
    </i>
    <i r="1">
      <x v="5"/>
      <x v="1"/>
    </i>
    <i r="1">
      <x v="6"/>
      <x v="22"/>
    </i>
    <i r="1">
      <x v="7"/>
      <x v="37"/>
    </i>
    <i r="1">
      <x v="8"/>
      <x v="2"/>
    </i>
    <i r="1">
      <x v="9"/>
      <x v="23"/>
    </i>
    <i r="1">
      <x v="10"/>
      <x v="38"/>
    </i>
    <i r="1">
      <x v="11"/>
      <x v="29"/>
    </i>
    <i r="1">
      <x v="12"/>
      <x v="21"/>
    </i>
    <i r="1">
      <x v="13"/>
      <x v="30"/>
    </i>
    <i r="1">
      <x v="14"/>
      <x v="19"/>
    </i>
    <i r="1">
      <x v="15"/>
      <x v="10"/>
    </i>
    <i r="1">
      <x v="16"/>
      <x v="18"/>
    </i>
    <i r="1">
      <x v="17"/>
      <x v="26"/>
    </i>
    <i r="1">
      <x v="18"/>
      <x v="11"/>
    </i>
    <i r="1">
      <x v="19"/>
      <x v="41"/>
    </i>
    <i t="blank">
      <x/>
    </i>
    <i>
      <x v="1"/>
    </i>
    <i r="1">
      <x/>
      <x v="32"/>
    </i>
    <i r="1">
      <x v="1"/>
      <x v="34"/>
    </i>
    <i r="1">
      <x v="2"/>
      <x v="27"/>
    </i>
    <i r="1">
      <x v="3"/>
      <x v="24"/>
    </i>
    <i r="1">
      <x v="4"/>
      <x/>
    </i>
    <i r="1">
      <x v="5"/>
      <x v="1"/>
    </i>
    <i r="1">
      <x v="6"/>
      <x v="22"/>
    </i>
    <i r="1">
      <x v="7"/>
      <x v="2"/>
    </i>
    <i r="1">
      <x v="8"/>
      <x v="37"/>
    </i>
    <i r="1">
      <x v="9"/>
      <x v="29"/>
    </i>
    <i r="1">
      <x v="10"/>
      <x v="38"/>
    </i>
    <i r="1">
      <x v="11"/>
      <x v="23"/>
    </i>
    <i r="1">
      <x v="12"/>
      <x v="21"/>
    </i>
    <i r="1">
      <x v="13"/>
      <x v="30"/>
    </i>
    <i r="1">
      <x v="14"/>
      <x v="19"/>
    </i>
    <i r="1">
      <x v="15"/>
      <x v="18"/>
    </i>
    <i r="1">
      <x v="16"/>
      <x v="20"/>
    </i>
    <i r="1">
      <x v="17"/>
      <x v="26"/>
    </i>
    <i r="1">
      <x v="18"/>
      <x v="10"/>
    </i>
    <i r="1">
      <x v="19"/>
      <x v="39"/>
    </i>
    <i t="blank">
      <x v="1"/>
    </i>
    <i>
      <x v="2"/>
    </i>
    <i r="1">
      <x/>
      <x v="32"/>
    </i>
    <i r="1">
      <x v="1"/>
      <x v="34"/>
    </i>
    <i r="1">
      <x v="2"/>
      <x v="27"/>
    </i>
    <i r="1">
      <x v="3"/>
      <x v="24"/>
    </i>
    <i r="1">
      <x v="4"/>
      <x v="22"/>
    </i>
    <i r="1">
      <x v="5"/>
      <x/>
    </i>
    <i r="1">
      <x v="6"/>
      <x v="29"/>
    </i>
    <i r="1">
      <x v="7"/>
      <x v="21"/>
    </i>
    <i r="1">
      <x v="8"/>
      <x v="37"/>
    </i>
    <i r="1">
      <x v="9"/>
      <x v="1"/>
    </i>
    <i r="1">
      <x v="10"/>
      <x v="38"/>
    </i>
    <i r="1">
      <x v="11"/>
      <x v="23"/>
    </i>
    <i r="1">
      <x v="12"/>
      <x v="30"/>
    </i>
    <i r="1">
      <x v="13"/>
      <x v="2"/>
    </i>
    <i r="1">
      <x v="14"/>
      <x v="19"/>
    </i>
    <i r="1">
      <x v="15"/>
      <x v="26"/>
    </i>
    <i r="1">
      <x v="16"/>
      <x v="39"/>
    </i>
    <i r="1">
      <x v="17"/>
      <x v="20"/>
    </i>
    <i r="1">
      <x v="18"/>
      <x v="18"/>
    </i>
    <i r="1">
      <x v="19"/>
      <x v="7"/>
    </i>
    <i t="blank">
      <x v="2"/>
    </i>
    <i>
      <x v="3"/>
    </i>
    <i r="1">
      <x/>
      <x v="34"/>
    </i>
    <i r="1">
      <x v="1"/>
      <x v="27"/>
    </i>
    <i r="1">
      <x v="2"/>
      <x v="32"/>
    </i>
    <i r="1">
      <x v="3"/>
      <x/>
    </i>
    <i r="1">
      <x v="4"/>
      <x v="1"/>
    </i>
    <i r="1">
      <x v="5"/>
      <x v="2"/>
    </i>
    <i r="1">
      <x v="6"/>
      <x v="24"/>
    </i>
    <i r="1">
      <x v="7"/>
      <x v="19"/>
    </i>
    <i r="1">
      <x v="8"/>
      <x v="23"/>
    </i>
    <i r="1">
      <x v="9"/>
      <x v="29"/>
    </i>
    <i r="1">
      <x v="10"/>
      <x v="37"/>
    </i>
    <i r="1">
      <x v="11"/>
      <x v="22"/>
    </i>
    <i r="1">
      <x v="12"/>
      <x v="38"/>
    </i>
    <i r="1">
      <x v="13"/>
      <x v="18"/>
    </i>
    <i r="1">
      <x v="14"/>
      <x v="20"/>
    </i>
    <i r="1">
      <x v="15"/>
      <x v="30"/>
    </i>
    <i r="1">
      <x v="16"/>
      <x v="7"/>
    </i>
    <i r="1">
      <x v="17"/>
      <x v="10"/>
    </i>
    <i r="1">
      <x v="18"/>
      <x v="26"/>
    </i>
    <i r="1">
      <x v="19"/>
      <x v="15"/>
    </i>
    <i t="blank">
      <x v="3"/>
    </i>
    <i>
      <x v="4"/>
    </i>
    <i r="1">
      <x/>
      <x v="34"/>
    </i>
    <i r="1">
      <x v="1"/>
      <x v="32"/>
    </i>
    <i r="1">
      <x v="2"/>
      <x v="27"/>
    </i>
    <i r="1">
      <x v="3"/>
      <x v="1"/>
    </i>
    <i r="1">
      <x v="4"/>
      <x v="24"/>
    </i>
    <i r="1">
      <x v="5"/>
      <x v="22"/>
    </i>
    <i r="1">
      <x v="6"/>
      <x/>
    </i>
    <i r="1">
      <x v="7"/>
      <x v="2"/>
    </i>
    <i r="1">
      <x v="8"/>
      <x v="37"/>
    </i>
    <i r="1">
      <x v="9"/>
      <x v="38"/>
    </i>
    <i r="1">
      <x v="10"/>
      <x v="23"/>
    </i>
    <i r="1">
      <x v="11"/>
      <x v="21"/>
    </i>
    <i r="2">
      <x v="29"/>
    </i>
    <i r="1">
      <x v="13"/>
      <x v="10"/>
    </i>
    <i r="2">
      <x v="30"/>
    </i>
    <i r="1">
      <x v="15"/>
      <x v="18"/>
    </i>
    <i r="1">
      <x v="16"/>
      <x v="41"/>
    </i>
    <i r="1">
      <x v="17"/>
      <x v="11"/>
    </i>
    <i r="1">
      <x v="18"/>
      <x v="17"/>
    </i>
    <i r="1">
      <x v="19"/>
      <x v="20"/>
    </i>
    <i t="blank">
      <x v="4"/>
    </i>
    <i>
      <x v="5"/>
    </i>
    <i r="1">
      <x/>
      <x v="34"/>
    </i>
    <i r="1">
      <x v="1"/>
      <x v="32"/>
    </i>
    <i r="1">
      <x v="2"/>
      <x v="27"/>
    </i>
    <i r="1">
      <x v="3"/>
      <x/>
    </i>
    <i r="1">
      <x v="4"/>
      <x v="24"/>
    </i>
    <i r="1">
      <x v="5"/>
      <x v="1"/>
    </i>
    <i r="1">
      <x v="6"/>
      <x v="2"/>
    </i>
    <i r="1">
      <x v="7"/>
      <x v="37"/>
    </i>
    <i r="1">
      <x v="8"/>
      <x v="22"/>
    </i>
    <i r="1">
      <x v="9"/>
      <x v="29"/>
    </i>
    <i r="1">
      <x v="10"/>
      <x v="23"/>
    </i>
    <i r="1">
      <x v="11"/>
      <x v="38"/>
    </i>
    <i r="1">
      <x v="12"/>
      <x v="21"/>
    </i>
    <i r="1">
      <x v="13"/>
      <x v="30"/>
    </i>
    <i r="1">
      <x v="14"/>
      <x v="19"/>
    </i>
    <i r="1">
      <x v="15"/>
      <x v="11"/>
    </i>
    <i r="1">
      <x v="16"/>
      <x v="14"/>
    </i>
    <i r="1">
      <x v="17"/>
      <x v="10"/>
    </i>
    <i r="1">
      <x v="18"/>
      <x v="20"/>
    </i>
    <i r="1">
      <x v="19"/>
      <x v="18"/>
    </i>
    <i t="blank">
      <x v="5"/>
    </i>
    <i>
      <x v="6"/>
    </i>
    <i r="1">
      <x/>
      <x v="32"/>
    </i>
    <i r="1">
      <x v="1"/>
      <x v="27"/>
    </i>
    <i r="1">
      <x v="2"/>
      <x v="34"/>
    </i>
    <i r="1">
      <x v="3"/>
      <x v="24"/>
    </i>
    <i r="1">
      <x v="4"/>
      <x v="29"/>
    </i>
    <i r="1">
      <x v="5"/>
      <x/>
    </i>
    <i r="1">
      <x v="6"/>
      <x v="37"/>
    </i>
    <i r="1">
      <x v="7"/>
      <x v="22"/>
    </i>
    <i r="1">
      <x v="8"/>
      <x v="21"/>
    </i>
    <i r="1">
      <x v="9"/>
      <x v="38"/>
    </i>
    <i r="1">
      <x v="10"/>
      <x v="1"/>
    </i>
    <i r="1">
      <x v="11"/>
      <x v="2"/>
    </i>
    <i r="1">
      <x v="12"/>
      <x v="30"/>
    </i>
    <i r="1">
      <x v="13"/>
      <x v="19"/>
    </i>
    <i r="2">
      <x v="23"/>
    </i>
    <i r="1">
      <x v="15"/>
      <x v="26"/>
    </i>
    <i r="1">
      <x v="16"/>
      <x v="20"/>
    </i>
    <i r="1">
      <x v="17"/>
      <x v="35"/>
    </i>
    <i r="1">
      <x v="18"/>
      <x v="18"/>
    </i>
    <i r="1">
      <x v="19"/>
      <x v="11"/>
    </i>
    <i t="blank">
      <x v="6"/>
    </i>
    <i>
      <x v="7"/>
    </i>
    <i r="1">
      <x/>
      <x v="34"/>
    </i>
    <i r="1">
      <x v="1"/>
      <x v="27"/>
    </i>
    <i r="1">
      <x v="2"/>
      <x v="32"/>
    </i>
    <i r="1">
      <x v="3"/>
      <x/>
    </i>
    <i r="1">
      <x v="4"/>
      <x v="1"/>
    </i>
    <i r="1">
      <x v="5"/>
      <x v="23"/>
    </i>
    <i r="1">
      <x v="6"/>
      <x v="24"/>
    </i>
    <i r="1">
      <x v="7"/>
      <x v="2"/>
    </i>
    <i r="1">
      <x v="8"/>
      <x v="29"/>
    </i>
    <i r="1">
      <x v="9"/>
      <x v="37"/>
    </i>
    <i r="1">
      <x v="10"/>
      <x v="19"/>
    </i>
    <i r="1">
      <x v="11"/>
      <x v="38"/>
    </i>
    <i r="2">
      <x v="41"/>
    </i>
    <i r="1">
      <x v="13"/>
      <x v="5"/>
    </i>
    <i r="2">
      <x v="22"/>
    </i>
    <i r="1">
      <x v="15"/>
      <x v="10"/>
    </i>
    <i r="2">
      <x v="11"/>
    </i>
    <i r="1">
      <x v="17"/>
      <x v="30"/>
    </i>
    <i r="1">
      <x v="18"/>
      <x v="21"/>
    </i>
    <i r="1">
      <x v="19"/>
      <x v="18"/>
    </i>
    <i t="blank">
      <x v="7"/>
    </i>
    <i>
      <x v="8"/>
    </i>
    <i r="1">
      <x/>
      <x v="34"/>
    </i>
    <i r="1">
      <x v="1"/>
      <x v="27"/>
    </i>
    <i r="1">
      <x v="2"/>
      <x/>
    </i>
    <i r="1">
      <x v="3"/>
      <x v="1"/>
    </i>
    <i r="1">
      <x v="4"/>
      <x v="32"/>
    </i>
    <i r="1">
      <x v="5"/>
      <x v="22"/>
    </i>
    <i r="1">
      <x v="6"/>
      <x v="24"/>
    </i>
    <i r="1">
      <x v="7"/>
      <x v="37"/>
    </i>
    <i r="1">
      <x v="8"/>
      <x v="2"/>
    </i>
    <i r="1">
      <x v="9"/>
      <x v="23"/>
    </i>
    <i r="2">
      <x v="38"/>
    </i>
    <i r="1">
      <x v="11"/>
      <x v="21"/>
    </i>
    <i r="1">
      <x v="12"/>
      <x v="29"/>
    </i>
    <i r="1">
      <x v="13"/>
      <x v="14"/>
    </i>
    <i r="1">
      <x v="14"/>
      <x v="11"/>
    </i>
    <i r="1">
      <x v="15"/>
      <x v="30"/>
    </i>
    <i r="1">
      <x v="16"/>
      <x v="19"/>
    </i>
    <i r="1">
      <x v="17"/>
      <x v="17"/>
    </i>
    <i r="1">
      <x v="18"/>
      <x v="5"/>
    </i>
    <i r="2">
      <x v="35"/>
    </i>
    <i t="blank">
      <x v="8"/>
    </i>
    <i>
      <x v="9"/>
    </i>
    <i r="1">
      <x/>
      <x v="34"/>
    </i>
    <i r="1">
      <x v="1"/>
      <x v="27"/>
    </i>
    <i r="1">
      <x v="2"/>
      <x/>
    </i>
    <i r="1">
      <x v="3"/>
      <x v="1"/>
    </i>
    <i r="1">
      <x v="4"/>
      <x v="32"/>
    </i>
    <i r="1">
      <x v="5"/>
      <x v="2"/>
    </i>
    <i r="1">
      <x v="6"/>
      <x v="24"/>
    </i>
    <i r="1">
      <x v="7"/>
      <x v="23"/>
    </i>
    <i r="1">
      <x v="8"/>
      <x v="37"/>
    </i>
    <i r="1">
      <x v="9"/>
      <x v="11"/>
    </i>
    <i r="1">
      <x v="10"/>
      <x v="29"/>
    </i>
    <i r="1">
      <x v="11"/>
      <x v="10"/>
    </i>
    <i r="1">
      <x v="12"/>
      <x v="14"/>
    </i>
    <i r="1">
      <x v="13"/>
      <x v="38"/>
    </i>
    <i r="1">
      <x v="14"/>
      <x v="30"/>
    </i>
    <i r="1">
      <x v="15"/>
      <x v="19"/>
    </i>
    <i r="2">
      <x v="22"/>
    </i>
    <i r="1">
      <x v="17"/>
      <x v="18"/>
    </i>
    <i r="1">
      <x v="18"/>
      <x v="41"/>
    </i>
    <i r="1">
      <x v="19"/>
      <x v="15"/>
    </i>
    <i t="blank">
      <x v="9"/>
    </i>
    <i>
      <x v="10"/>
    </i>
    <i r="1">
      <x/>
      <x v="34"/>
    </i>
    <i r="1">
      <x v="1"/>
      <x/>
    </i>
    <i r="1">
      <x v="2"/>
      <x v="32"/>
    </i>
    <i r="1">
      <x v="3"/>
      <x v="24"/>
    </i>
    <i r="1">
      <x v="4"/>
      <x v="1"/>
    </i>
    <i r="1">
      <x v="5"/>
      <x v="22"/>
    </i>
    <i r="1">
      <x v="6"/>
      <x v="2"/>
    </i>
    <i r="1">
      <x v="7"/>
      <x v="27"/>
    </i>
    <i r="1">
      <x v="8"/>
      <x v="23"/>
    </i>
    <i r="1">
      <x v="9"/>
      <x v="37"/>
    </i>
    <i r="1">
      <x v="10"/>
      <x v="38"/>
    </i>
    <i r="1">
      <x v="11"/>
      <x v="29"/>
    </i>
    <i r="1">
      <x v="12"/>
      <x v="30"/>
    </i>
    <i r="1">
      <x v="13"/>
      <x v="21"/>
    </i>
    <i r="1">
      <x v="14"/>
      <x v="11"/>
    </i>
    <i r="1">
      <x v="15"/>
      <x v="10"/>
    </i>
    <i r="1">
      <x v="16"/>
      <x v="26"/>
    </i>
    <i r="1">
      <x v="17"/>
      <x v="19"/>
    </i>
    <i r="2">
      <x v="41"/>
    </i>
    <i r="1">
      <x v="19"/>
      <x v="35"/>
    </i>
    <i t="blank">
      <x v="10"/>
    </i>
    <i>
      <x v="11"/>
    </i>
    <i r="1">
      <x/>
      <x v="34"/>
    </i>
    <i r="1">
      <x v="1"/>
      <x v="27"/>
    </i>
    <i r="1">
      <x v="2"/>
      <x/>
    </i>
    <i r="1">
      <x v="3"/>
      <x v="1"/>
    </i>
    <i r="1">
      <x v="4"/>
      <x v="24"/>
    </i>
    <i r="1">
      <x v="5"/>
      <x v="32"/>
    </i>
    <i r="1">
      <x v="6"/>
      <x v="37"/>
    </i>
    <i r="1">
      <x v="7"/>
      <x v="2"/>
    </i>
    <i r="1">
      <x v="8"/>
      <x v="23"/>
    </i>
    <i r="1">
      <x v="9"/>
      <x v="22"/>
    </i>
    <i r="1">
      <x v="10"/>
      <x v="38"/>
    </i>
    <i r="1">
      <x v="11"/>
      <x v="21"/>
    </i>
    <i r="1">
      <x v="12"/>
      <x v="14"/>
    </i>
    <i r="1">
      <x v="13"/>
      <x v="29"/>
    </i>
    <i r="1">
      <x v="14"/>
      <x v="11"/>
    </i>
    <i r="1">
      <x v="15"/>
      <x v="10"/>
    </i>
    <i r="1">
      <x v="16"/>
      <x v="30"/>
    </i>
    <i r="1">
      <x v="17"/>
      <x v="5"/>
    </i>
    <i r="1">
      <x v="18"/>
      <x v="20"/>
    </i>
    <i r="1">
      <x v="19"/>
      <x v="39"/>
    </i>
    <i r="2">
      <x v="41"/>
    </i>
    <i t="blank">
      <x v="11"/>
    </i>
    <i>
      <x v="12"/>
    </i>
    <i r="1">
      <x/>
      <x v="34"/>
    </i>
    <i r="1">
      <x v="1"/>
      <x/>
    </i>
    <i r="1">
      <x v="2"/>
      <x v="24"/>
    </i>
    <i r="1">
      <x v="3"/>
      <x v="22"/>
    </i>
    <i r="1">
      <x v="4"/>
      <x v="32"/>
    </i>
    <i r="1">
      <x v="5"/>
      <x v="1"/>
    </i>
    <i r="1">
      <x v="6"/>
      <x v="6"/>
    </i>
    <i r="2">
      <x v="27"/>
    </i>
    <i r="1">
      <x v="8"/>
      <x v="2"/>
    </i>
    <i r="1">
      <x v="9"/>
      <x v="23"/>
    </i>
    <i r="1">
      <x v="10"/>
      <x v="37"/>
    </i>
    <i r="1">
      <x v="11"/>
      <x v="21"/>
    </i>
    <i r="1">
      <x v="12"/>
      <x v="38"/>
    </i>
    <i r="1">
      <x v="13"/>
      <x v="39"/>
    </i>
    <i r="1">
      <x v="14"/>
      <x v="4"/>
    </i>
    <i r="2">
      <x v="30"/>
    </i>
    <i r="1">
      <x v="16"/>
      <x v="31"/>
    </i>
    <i r="1">
      <x v="17"/>
      <x v="29"/>
    </i>
    <i r="1">
      <x v="18"/>
      <x v="7"/>
    </i>
    <i r="2">
      <x v="14"/>
    </i>
    <i r="2">
      <x v="18"/>
    </i>
    <i r="2">
      <x v="35"/>
    </i>
    <i t="blank">
      <x v="12"/>
    </i>
    <i>
      <x v="13"/>
    </i>
    <i r="1">
      <x/>
      <x v="32"/>
    </i>
    <i r="1">
      <x v="1"/>
      <x v="34"/>
    </i>
    <i r="1">
      <x v="2"/>
      <x v="27"/>
    </i>
    <i r="1">
      <x v="3"/>
      <x v="24"/>
    </i>
    <i r="1">
      <x v="4"/>
      <x v="22"/>
    </i>
    <i r="1">
      <x v="5"/>
      <x/>
    </i>
    <i r="1">
      <x v="6"/>
      <x v="1"/>
    </i>
    <i r="1">
      <x v="7"/>
      <x v="2"/>
    </i>
    <i r="1">
      <x v="8"/>
      <x v="23"/>
    </i>
    <i r="1">
      <x v="9"/>
      <x v="38"/>
    </i>
    <i r="1">
      <x v="10"/>
      <x v="29"/>
    </i>
    <i r="1">
      <x v="11"/>
      <x v="37"/>
    </i>
    <i r="1">
      <x v="12"/>
      <x v="21"/>
    </i>
    <i r="1">
      <x v="13"/>
      <x v="30"/>
    </i>
    <i r="1">
      <x v="14"/>
      <x v="26"/>
    </i>
    <i r="1">
      <x v="15"/>
      <x v="18"/>
    </i>
    <i r="1">
      <x v="16"/>
      <x v="10"/>
    </i>
    <i r="1">
      <x v="17"/>
      <x v="3"/>
    </i>
    <i r="1">
      <x v="18"/>
      <x v="19"/>
    </i>
    <i r="1">
      <x v="19"/>
      <x v="11"/>
    </i>
    <i r="2">
      <x v="17"/>
    </i>
    <i t="blank">
      <x v="13"/>
    </i>
    <i>
      <x v="14"/>
    </i>
    <i r="1">
      <x/>
      <x v="32"/>
    </i>
    <i r="1">
      <x v="1"/>
      <x v="27"/>
    </i>
    <i r="1">
      <x v="2"/>
      <x v="34"/>
    </i>
    <i r="1">
      <x v="3"/>
      <x v="22"/>
    </i>
    <i r="1">
      <x v="4"/>
      <x/>
    </i>
    <i r="1">
      <x v="5"/>
      <x v="24"/>
    </i>
    <i r="1">
      <x v="6"/>
      <x v="1"/>
    </i>
    <i r="1">
      <x v="7"/>
      <x v="2"/>
    </i>
    <i r="1">
      <x v="8"/>
      <x v="31"/>
    </i>
    <i r="1">
      <x v="9"/>
      <x v="21"/>
    </i>
    <i r="1">
      <x v="10"/>
      <x v="38"/>
    </i>
    <i r="1">
      <x v="11"/>
      <x v="17"/>
    </i>
    <i r="1">
      <x v="12"/>
      <x v="3"/>
    </i>
    <i r="1">
      <x v="13"/>
      <x v="23"/>
    </i>
    <i r="2">
      <x v="30"/>
    </i>
    <i r="1">
      <x v="15"/>
      <x v="29"/>
    </i>
    <i r="1">
      <x v="16"/>
      <x v="37"/>
    </i>
    <i r="1">
      <x v="17"/>
      <x v="36"/>
    </i>
    <i r="1">
      <x v="18"/>
      <x v="26"/>
    </i>
    <i r="2">
      <x v="43"/>
    </i>
    <i t="blank">
      <x v="14"/>
    </i>
    <i>
      <x v="15"/>
    </i>
    <i r="1">
      <x/>
      <x v="32"/>
    </i>
    <i r="1">
      <x v="1"/>
      <x v="27"/>
    </i>
    <i r="1">
      <x v="2"/>
      <x v="34"/>
    </i>
    <i r="1">
      <x v="3"/>
      <x v="24"/>
    </i>
    <i r="1">
      <x v="4"/>
      <x v="37"/>
    </i>
    <i r="1">
      <x v="5"/>
      <x/>
    </i>
    <i r="1">
      <x v="6"/>
      <x v="22"/>
    </i>
    <i r="1">
      <x v="7"/>
      <x v="1"/>
    </i>
    <i r="1">
      <x v="8"/>
      <x v="38"/>
    </i>
    <i r="1">
      <x v="9"/>
      <x v="2"/>
    </i>
    <i r="1">
      <x v="10"/>
      <x v="29"/>
    </i>
    <i r="1">
      <x v="11"/>
      <x v="21"/>
    </i>
    <i r="1">
      <x v="12"/>
      <x v="23"/>
    </i>
    <i r="1">
      <x v="13"/>
      <x v="30"/>
    </i>
    <i r="1">
      <x v="14"/>
      <x v="39"/>
    </i>
    <i r="1">
      <x v="15"/>
      <x v="26"/>
    </i>
    <i r="1">
      <x v="16"/>
      <x v="20"/>
    </i>
    <i r="1">
      <x v="17"/>
      <x v="18"/>
    </i>
    <i r="1">
      <x v="18"/>
      <x v="19"/>
    </i>
    <i r="1">
      <x v="19"/>
      <x v="10"/>
    </i>
    <i r="2">
      <x v="11"/>
    </i>
    <i t="blank">
      <x v="15"/>
    </i>
    <i>
      <x v="16"/>
    </i>
    <i r="1">
      <x/>
      <x v="32"/>
    </i>
    <i r="1">
      <x v="1"/>
      <x v="34"/>
    </i>
    <i r="1">
      <x v="2"/>
      <x v="24"/>
    </i>
    <i r="1">
      <x v="3"/>
      <x/>
    </i>
    <i r="1">
      <x v="4"/>
      <x v="1"/>
    </i>
    <i r="1">
      <x v="5"/>
      <x v="22"/>
    </i>
    <i r="1">
      <x v="6"/>
      <x v="2"/>
    </i>
    <i r="1">
      <x v="7"/>
      <x v="27"/>
    </i>
    <i r="1">
      <x v="8"/>
      <x v="37"/>
    </i>
    <i r="1">
      <x v="9"/>
      <x v="38"/>
    </i>
    <i r="1">
      <x v="10"/>
      <x v="23"/>
    </i>
    <i r="1">
      <x v="11"/>
      <x v="21"/>
    </i>
    <i r="1">
      <x v="12"/>
      <x v="30"/>
    </i>
    <i r="1">
      <x v="13"/>
      <x v="10"/>
    </i>
    <i r="1">
      <x v="14"/>
      <x v="41"/>
    </i>
    <i r="1">
      <x v="15"/>
      <x v="29"/>
    </i>
    <i r="1">
      <x v="16"/>
      <x v="39"/>
    </i>
    <i r="1">
      <x v="17"/>
      <x v="11"/>
    </i>
    <i r="1">
      <x v="18"/>
      <x v="18"/>
    </i>
    <i r="1">
      <x v="19"/>
      <x v="35"/>
    </i>
    <i t="blank">
      <x v="16"/>
    </i>
    <i>
      <x v="17"/>
    </i>
    <i r="1">
      <x/>
      <x v="32"/>
    </i>
    <i r="1">
      <x v="1"/>
      <x v="34"/>
    </i>
    <i r="1">
      <x v="2"/>
      <x v="27"/>
    </i>
    <i r="1">
      <x v="3"/>
      <x v="22"/>
    </i>
    <i r="1">
      <x v="4"/>
      <x v="31"/>
    </i>
    <i r="1">
      <x v="5"/>
      <x v="24"/>
    </i>
    <i r="1">
      <x v="6"/>
      <x/>
    </i>
    <i r="1">
      <x v="7"/>
      <x v="1"/>
    </i>
    <i r="1">
      <x v="8"/>
      <x v="2"/>
    </i>
    <i r="2">
      <x v="37"/>
    </i>
    <i r="2">
      <x v="38"/>
    </i>
    <i r="1">
      <x v="11"/>
      <x v="21"/>
    </i>
    <i r="1">
      <x v="12"/>
      <x v="26"/>
    </i>
    <i r="1">
      <x v="13"/>
      <x v="23"/>
    </i>
    <i r="1">
      <x v="14"/>
      <x v="30"/>
    </i>
    <i r="1">
      <x v="15"/>
      <x v="3"/>
    </i>
    <i r="2">
      <x v="29"/>
    </i>
    <i r="1">
      <x v="17"/>
      <x v="36"/>
    </i>
    <i r="1">
      <x v="18"/>
      <x v="17"/>
    </i>
    <i r="2">
      <x v="39"/>
    </i>
    <i t="blank">
      <x v="17"/>
    </i>
    <i>
      <x v="18"/>
    </i>
    <i r="1">
      <x/>
      <x v="34"/>
    </i>
    <i r="1">
      <x v="1"/>
      <x v="32"/>
    </i>
    <i r="1">
      <x v="2"/>
      <x v="24"/>
    </i>
    <i r="1">
      <x v="3"/>
      <x v="27"/>
    </i>
    <i r="1">
      <x v="4"/>
      <x v="22"/>
    </i>
    <i r="1">
      <x v="5"/>
      <x/>
    </i>
    <i r="2">
      <x v="1"/>
    </i>
    <i r="1">
      <x v="7"/>
      <x v="37"/>
    </i>
    <i r="1">
      <x v="8"/>
      <x v="2"/>
    </i>
    <i r="1">
      <x v="9"/>
      <x v="23"/>
    </i>
    <i r="1">
      <x v="10"/>
      <x v="21"/>
    </i>
    <i r="2">
      <x v="38"/>
    </i>
    <i r="1">
      <x v="12"/>
      <x v="30"/>
    </i>
    <i r="1">
      <x v="13"/>
      <x v="11"/>
    </i>
    <i r="1">
      <x v="14"/>
      <x v="29"/>
    </i>
    <i r="1">
      <x v="15"/>
      <x v="4"/>
    </i>
    <i r="1">
      <x v="16"/>
      <x v="10"/>
    </i>
    <i r="1">
      <x v="17"/>
      <x v="39"/>
    </i>
    <i r="1">
      <x v="18"/>
      <x v="33"/>
    </i>
    <i r="1">
      <x v="19"/>
      <x v="18"/>
    </i>
    <i t="blank">
      <x v="18"/>
    </i>
    <i>
      <x v="19"/>
    </i>
    <i r="1">
      <x/>
      <x v="32"/>
    </i>
    <i r="1">
      <x v="1"/>
      <x v="34"/>
    </i>
    <i r="1">
      <x v="2"/>
      <x v="27"/>
    </i>
    <i r="1">
      <x v="3"/>
      <x/>
    </i>
    <i r="1">
      <x v="4"/>
      <x v="24"/>
    </i>
    <i r="1">
      <x v="5"/>
      <x v="1"/>
    </i>
    <i r="1">
      <x v="6"/>
      <x v="2"/>
    </i>
    <i r="1">
      <x v="7"/>
      <x v="37"/>
    </i>
    <i r="1">
      <x v="8"/>
      <x v="22"/>
    </i>
    <i r="1">
      <x v="9"/>
      <x v="23"/>
    </i>
    <i r="1">
      <x v="10"/>
      <x v="38"/>
    </i>
    <i r="1">
      <x v="11"/>
      <x v="29"/>
    </i>
    <i r="1">
      <x v="12"/>
      <x v="30"/>
    </i>
    <i r="1">
      <x v="13"/>
      <x v="21"/>
    </i>
    <i r="1">
      <x v="14"/>
      <x v="18"/>
    </i>
    <i r="1">
      <x v="15"/>
      <x v="41"/>
    </i>
    <i r="1">
      <x v="16"/>
      <x v="11"/>
    </i>
    <i r="1">
      <x v="17"/>
      <x v="26"/>
    </i>
    <i r="1">
      <x v="18"/>
      <x v="10"/>
    </i>
    <i r="1">
      <x v="19"/>
      <x v="19"/>
    </i>
    <i t="blank">
      <x v="19"/>
    </i>
    <i>
      <x v="20"/>
    </i>
    <i r="1">
      <x/>
      <x v="34"/>
    </i>
    <i r="1">
      <x v="1"/>
      <x v="32"/>
    </i>
    <i r="1">
      <x v="2"/>
      <x v="27"/>
    </i>
    <i r="1">
      <x v="3"/>
      <x/>
    </i>
    <i r="1">
      <x v="4"/>
      <x v="24"/>
    </i>
    <i r="1">
      <x v="5"/>
      <x v="1"/>
    </i>
    <i r="1">
      <x v="6"/>
      <x v="22"/>
    </i>
    <i r="1">
      <x v="7"/>
      <x v="23"/>
    </i>
    <i r="1">
      <x v="8"/>
      <x v="37"/>
    </i>
    <i r="1">
      <x v="9"/>
      <x v="38"/>
    </i>
    <i r="1">
      <x v="10"/>
      <x v="2"/>
    </i>
    <i r="1">
      <x v="11"/>
      <x v="21"/>
    </i>
    <i r="1">
      <x v="12"/>
      <x v="39"/>
    </i>
    <i r="1">
      <x v="13"/>
      <x v="29"/>
    </i>
    <i r="1">
      <x v="14"/>
      <x v="10"/>
    </i>
    <i r="1">
      <x v="15"/>
      <x v="5"/>
    </i>
    <i r="2">
      <x v="11"/>
    </i>
    <i r="1">
      <x v="17"/>
      <x v="30"/>
    </i>
    <i r="1">
      <x v="18"/>
      <x v="14"/>
    </i>
    <i r="1">
      <x v="19"/>
      <x v="41"/>
    </i>
    <i t="blank">
      <x v="20"/>
    </i>
    <i>
      <x v="21"/>
    </i>
    <i r="1">
      <x/>
      <x v="34"/>
    </i>
    <i r="1">
      <x v="1"/>
      <x v="32"/>
    </i>
    <i r="1">
      <x v="2"/>
      <x v="24"/>
    </i>
    <i r="1">
      <x v="3"/>
      <x v="22"/>
    </i>
    <i r="1">
      <x v="4"/>
      <x/>
    </i>
    <i r="1">
      <x v="5"/>
      <x v="27"/>
    </i>
    <i r="1">
      <x v="6"/>
      <x v="1"/>
    </i>
    <i r="1">
      <x v="7"/>
      <x v="37"/>
    </i>
    <i r="1">
      <x v="8"/>
      <x v="2"/>
    </i>
    <i r="1">
      <x v="9"/>
      <x v="23"/>
    </i>
    <i r="1">
      <x v="10"/>
      <x v="3"/>
    </i>
    <i r="1">
      <x v="11"/>
      <x v="38"/>
    </i>
    <i r="1">
      <x v="12"/>
      <x v="17"/>
    </i>
    <i r="1">
      <x v="13"/>
      <x v="21"/>
    </i>
    <i r="1">
      <x v="14"/>
      <x v="11"/>
    </i>
    <i r="1">
      <x v="15"/>
      <x v="29"/>
    </i>
    <i r="1">
      <x v="16"/>
      <x v="30"/>
    </i>
    <i r="1">
      <x v="17"/>
      <x v="10"/>
    </i>
    <i r="1">
      <x v="18"/>
      <x v="20"/>
    </i>
    <i r="1">
      <x v="19"/>
      <x v="18"/>
    </i>
    <i t="blank">
      <x v="21"/>
    </i>
    <i>
      <x v="22"/>
    </i>
    <i r="1">
      <x/>
      <x v="32"/>
    </i>
    <i r="1">
      <x v="1"/>
      <x v="34"/>
    </i>
    <i r="1">
      <x v="2"/>
      <x/>
    </i>
    <i r="1">
      <x v="3"/>
      <x v="24"/>
    </i>
    <i r="1">
      <x v="4"/>
      <x v="1"/>
    </i>
    <i r="1">
      <x v="5"/>
      <x v="22"/>
    </i>
    <i r="1">
      <x v="6"/>
      <x v="37"/>
    </i>
    <i r="1">
      <x v="7"/>
      <x v="38"/>
    </i>
    <i r="1">
      <x v="8"/>
      <x v="2"/>
    </i>
    <i r="1">
      <x v="9"/>
      <x v="27"/>
    </i>
    <i r="1">
      <x v="10"/>
      <x v="23"/>
    </i>
    <i r="1">
      <x v="11"/>
      <x v="30"/>
    </i>
    <i r="1">
      <x v="12"/>
      <x v="21"/>
    </i>
    <i r="1">
      <x v="13"/>
      <x v="29"/>
    </i>
    <i r="1">
      <x v="14"/>
      <x v="4"/>
    </i>
    <i r="1">
      <x v="15"/>
      <x v="18"/>
    </i>
    <i r="2">
      <x v="26"/>
    </i>
    <i r="1">
      <x v="17"/>
      <x v="35"/>
    </i>
    <i r="1">
      <x v="18"/>
      <x v="10"/>
    </i>
    <i r="2">
      <x v="39"/>
    </i>
    <i t="blank">
      <x v="22"/>
    </i>
    <i>
      <x v="23"/>
    </i>
    <i r="1">
      <x/>
      <x v="34"/>
    </i>
    <i r="1">
      <x v="1"/>
      <x v="32"/>
    </i>
    <i r="1">
      <x v="2"/>
      <x v="24"/>
    </i>
    <i r="1">
      <x v="3"/>
      <x v="1"/>
    </i>
    <i r="1">
      <x v="4"/>
      <x v="27"/>
    </i>
    <i r="1">
      <x v="5"/>
      <x/>
    </i>
    <i r="1">
      <x v="6"/>
      <x v="37"/>
    </i>
    <i r="1">
      <x v="7"/>
      <x v="22"/>
    </i>
    <i r="1">
      <x v="8"/>
      <x v="2"/>
    </i>
    <i r="1">
      <x v="9"/>
      <x v="23"/>
    </i>
    <i r="1">
      <x v="10"/>
      <x v="38"/>
    </i>
    <i r="1">
      <x v="11"/>
      <x v="29"/>
    </i>
    <i r="1">
      <x v="12"/>
      <x v="21"/>
    </i>
    <i r="1">
      <x v="13"/>
      <x v="30"/>
    </i>
    <i r="1">
      <x v="14"/>
      <x v="7"/>
    </i>
    <i r="1">
      <x v="15"/>
      <x v="17"/>
    </i>
    <i r="2">
      <x v="26"/>
    </i>
    <i r="1">
      <x v="17"/>
      <x v="10"/>
    </i>
    <i r="1">
      <x v="18"/>
      <x v="4"/>
    </i>
    <i r="1">
      <x v="19"/>
      <x v="18"/>
    </i>
    <i r="2">
      <x v="19"/>
    </i>
    <i t="blank">
      <x v="23"/>
    </i>
    <i>
      <x v="24"/>
    </i>
    <i r="1">
      <x/>
      <x v="32"/>
    </i>
    <i r="1">
      <x v="1"/>
      <x v="34"/>
    </i>
    <i r="1">
      <x v="2"/>
      <x v="27"/>
    </i>
    <i r="1">
      <x v="3"/>
      <x/>
    </i>
    <i r="1">
      <x v="4"/>
      <x v="24"/>
    </i>
    <i r="1">
      <x v="5"/>
      <x v="21"/>
    </i>
    <i r="1">
      <x v="6"/>
      <x v="1"/>
    </i>
    <i r="1">
      <x v="7"/>
      <x v="37"/>
    </i>
    <i r="1">
      <x v="8"/>
      <x v="23"/>
    </i>
    <i r="1">
      <x v="9"/>
      <x v="22"/>
    </i>
    <i r="1">
      <x v="10"/>
      <x v="38"/>
    </i>
    <i r="1">
      <x v="11"/>
      <x v="2"/>
    </i>
    <i r="1">
      <x v="12"/>
      <x v="30"/>
    </i>
    <i r="1">
      <x v="13"/>
      <x v="41"/>
    </i>
    <i r="1">
      <x v="14"/>
      <x v="26"/>
    </i>
    <i r="1">
      <x v="15"/>
      <x v="29"/>
    </i>
    <i r="1">
      <x v="16"/>
      <x v="18"/>
    </i>
    <i r="2">
      <x v="36"/>
    </i>
    <i r="1">
      <x v="18"/>
      <x v="31"/>
    </i>
    <i r="2">
      <x v="35"/>
    </i>
    <i r="2">
      <x v="39"/>
    </i>
    <i r="2">
      <x v="43"/>
    </i>
    <i t="blank">
      <x v="24"/>
    </i>
    <i>
      <x v="25"/>
    </i>
    <i r="1">
      <x/>
      <x v="34"/>
    </i>
    <i r="1">
      <x v="1"/>
      <x v="27"/>
    </i>
    <i r="1">
      <x v="2"/>
      <x v="32"/>
    </i>
    <i r="1">
      <x v="3"/>
      <x/>
    </i>
    <i r="1">
      <x v="4"/>
      <x v="24"/>
    </i>
    <i r="1">
      <x v="5"/>
      <x v="1"/>
    </i>
    <i r="1">
      <x v="6"/>
      <x v="23"/>
    </i>
    <i r="1">
      <x v="7"/>
      <x v="37"/>
    </i>
    <i r="1">
      <x v="8"/>
      <x v="22"/>
    </i>
    <i r="1">
      <x v="9"/>
      <x v="2"/>
    </i>
    <i r="1">
      <x v="10"/>
      <x v="38"/>
    </i>
    <i r="1">
      <x v="11"/>
      <x v="30"/>
    </i>
    <i r="1">
      <x v="12"/>
      <x v="29"/>
    </i>
    <i r="1">
      <x v="13"/>
      <x v="21"/>
    </i>
    <i r="1">
      <x v="14"/>
      <x v="41"/>
    </i>
    <i r="1">
      <x v="15"/>
      <x v="39"/>
    </i>
    <i r="1">
      <x v="16"/>
      <x v="26"/>
    </i>
    <i r="1">
      <x v="17"/>
      <x v="10"/>
    </i>
    <i r="2">
      <x v="18"/>
    </i>
    <i r="1">
      <x v="19"/>
      <x v="19"/>
    </i>
    <i r="2">
      <x v="35"/>
    </i>
    <i t="blank">
      <x v="25"/>
    </i>
    <i>
      <x v="26"/>
    </i>
    <i r="1">
      <x/>
      <x v="32"/>
    </i>
    <i r="1">
      <x v="1"/>
      <x v="31"/>
    </i>
    <i r="1">
      <x v="2"/>
      <x v="34"/>
    </i>
    <i r="1">
      <x v="3"/>
      <x v="24"/>
    </i>
    <i r="1">
      <x v="4"/>
      <x v="27"/>
    </i>
    <i r="1">
      <x v="5"/>
      <x v="22"/>
    </i>
    <i r="1">
      <x v="6"/>
      <x/>
    </i>
    <i r="1">
      <x v="7"/>
      <x v="1"/>
    </i>
    <i r="1">
      <x v="8"/>
      <x v="21"/>
    </i>
    <i r="1">
      <x v="9"/>
      <x v="37"/>
    </i>
    <i r="1">
      <x v="10"/>
      <x v="23"/>
    </i>
    <i r="1">
      <x v="11"/>
      <x v="29"/>
    </i>
    <i r="1">
      <x v="12"/>
      <x v="36"/>
    </i>
    <i r="1">
      <x v="13"/>
      <x v="2"/>
    </i>
    <i r="2">
      <x v="38"/>
    </i>
    <i r="1">
      <x v="15"/>
      <x v="17"/>
    </i>
    <i r="1">
      <x v="16"/>
      <x v="3"/>
    </i>
    <i r="1">
      <x v="17"/>
      <x v="26"/>
    </i>
    <i r="2">
      <x v="30"/>
    </i>
    <i r="1">
      <x v="19"/>
      <x v="28"/>
    </i>
    <i t="blank">
      <x v="26"/>
    </i>
    <i>
      <x v="27"/>
    </i>
    <i r="1">
      <x/>
      <x v="27"/>
    </i>
    <i r="1">
      <x v="1"/>
      <x v="34"/>
    </i>
    <i r="1">
      <x v="2"/>
      <x/>
    </i>
    <i r="1">
      <x v="3"/>
      <x v="32"/>
    </i>
    <i r="1">
      <x v="4"/>
      <x v="2"/>
    </i>
    <i r="1">
      <x v="5"/>
      <x v="1"/>
    </i>
    <i r="2">
      <x v="24"/>
    </i>
    <i r="1">
      <x v="7"/>
      <x v="37"/>
    </i>
    <i r="1">
      <x v="8"/>
      <x v="22"/>
    </i>
    <i r="1">
      <x v="9"/>
      <x v="38"/>
    </i>
    <i r="1">
      <x v="10"/>
      <x v="23"/>
    </i>
    <i r="1">
      <x v="11"/>
      <x v="29"/>
    </i>
    <i r="1">
      <x v="12"/>
      <x v="30"/>
    </i>
    <i r="1">
      <x v="13"/>
      <x v="11"/>
    </i>
    <i r="1">
      <x v="14"/>
      <x v="39"/>
    </i>
    <i r="1">
      <x v="15"/>
      <x v="21"/>
    </i>
    <i r="1">
      <x v="16"/>
      <x v="10"/>
    </i>
    <i r="2">
      <x v="35"/>
    </i>
    <i r="2">
      <x v="41"/>
    </i>
    <i r="1">
      <x v="19"/>
      <x v="19"/>
    </i>
    <i r="2">
      <x v="31"/>
    </i>
    <i t="blank">
      <x v="27"/>
    </i>
    <i>
      <x v="28"/>
    </i>
    <i r="1">
      <x/>
      <x v="27"/>
    </i>
    <i r="1">
      <x v="1"/>
      <x v="34"/>
    </i>
    <i r="1">
      <x v="2"/>
      <x v="32"/>
    </i>
    <i r="1">
      <x v="3"/>
      <x v="22"/>
    </i>
    <i r="1">
      <x v="4"/>
      <x/>
    </i>
    <i r="1">
      <x v="5"/>
      <x v="24"/>
    </i>
    <i r="1">
      <x v="6"/>
      <x v="14"/>
    </i>
    <i r="1">
      <x v="7"/>
      <x v="37"/>
    </i>
    <i r="1">
      <x v="8"/>
      <x v="1"/>
    </i>
    <i r="2">
      <x v="23"/>
    </i>
    <i r="1">
      <x v="10"/>
      <x v="2"/>
    </i>
    <i r="1">
      <x v="11"/>
      <x v="38"/>
    </i>
    <i r="1">
      <x v="12"/>
      <x v="30"/>
    </i>
    <i r="1">
      <x v="13"/>
      <x v="11"/>
    </i>
    <i r="1">
      <x v="14"/>
      <x v="10"/>
    </i>
    <i r="2">
      <x v="21"/>
    </i>
    <i r="1">
      <x v="16"/>
      <x v="33"/>
    </i>
    <i r="1">
      <x v="17"/>
      <x v="26"/>
    </i>
    <i r="2">
      <x v="29"/>
    </i>
    <i r="1">
      <x v="19"/>
      <x v="19"/>
    </i>
    <i t="blank">
      <x v="28"/>
    </i>
    <i>
      <x v="29"/>
    </i>
    <i r="1">
      <x/>
      <x v="32"/>
    </i>
    <i r="1">
      <x v="1"/>
      <x v="27"/>
    </i>
    <i r="1">
      <x v="2"/>
      <x v="34"/>
    </i>
    <i r="1">
      <x v="3"/>
      <x/>
    </i>
    <i r="1">
      <x v="4"/>
      <x v="24"/>
    </i>
    <i r="1">
      <x v="5"/>
      <x v="1"/>
    </i>
    <i r="1">
      <x v="6"/>
      <x v="22"/>
    </i>
    <i r="1">
      <x v="7"/>
      <x v="31"/>
    </i>
    <i r="1">
      <x v="8"/>
      <x v="2"/>
    </i>
    <i r="1">
      <x v="9"/>
      <x v="37"/>
    </i>
    <i r="1">
      <x v="10"/>
      <x v="23"/>
    </i>
    <i r="1">
      <x v="11"/>
      <x v="3"/>
    </i>
    <i r="2">
      <x v="30"/>
    </i>
    <i r="1">
      <x v="13"/>
      <x v="38"/>
    </i>
    <i r="1">
      <x v="14"/>
      <x v="21"/>
    </i>
    <i r="1">
      <x v="15"/>
      <x v="17"/>
    </i>
    <i r="1">
      <x v="16"/>
      <x v="36"/>
    </i>
    <i r="2">
      <x v="41"/>
    </i>
    <i r="1">
      <x v="18"/>
      <x v="29"/>
    </i>
    <i r="1">
      <x v="19"/>
      <x v="12"/>
    </i>
    <i t="blank">
      <x v="29"/>
    </i>
    <i>
      <x v="30"/>
    </i>
    <i r="1">
      <x/>
      <x v="34"/>
    </i>
    <i r="1">
      <x v="1"/>
      <x v="32"/>
    </i>
    <i r="1">
      <x v="2"/>
      <x/>
    </i>
    <i r="1">
      <x v="3"/>
      <x v="1"/>
    </i>
    <i r="1">
      <x v="4"/>
      <x v="24"/>
    </i>
    <i r="1">
      <x v="5"/>
      <x v="2"/>
    </i>
    <i r="1">
      <x v="6"/>
      <x v="23"/>
    </i>
    <i r="1">
      <x v="7"/>
      <x v="37"/>
    </i>
    <i r="1">
      <x v="8"/>
      <x v="38"/>
    </i>
    <i r="1">
      <x v="9"/>
      <x v="22"/>
    </i>
    <i r="1">
      <x v="10"/>
      <x v="30"/>
    </i>
    <i r="1">
      <x v="11"/>
      <x v="10"/>
    </i>
    <i r="1">
      <x v="12"/>
      <x v="21"/>
    </i>
    <i r="1">
      <x v="13"/>
      <x v="14"/>
    </i>
    <i r="2">
      <x v="31"/>
    </i>
    <i r="2">
      <x v="39"/>
    </i>
    <i r="1">
      <x v="16"/>
      <x v="3"/>
    </i>
    <i r="2">
      <x v="4"/>
    </i>
    <i r="2">
      <x v="11"/>
    </i>
    <i r="1">
      <x v="19"/>
      <x v="27"/>
    </i>
    <i t="blank">
      <x v="30"/>
    </i>
    <i>
      <x v="31"/>
    </i>
    <i r="1">
      <x/>
      <x v="34"/>
    </i>
    <i r="1">
      <x v="1"/>
      <x v="32"/>
    </i>
    <i r="1">
      <x v="2"/>
      <x/>
    </i>
    <i r="1">
      <x v="3"/>
      <x v="24"/>
    </i>
    <i r="1">
      <x v="4"/>
      <x v="22"/>
    </i>
    <i r="1">
      <x v="5"/>
      <x v="27"/>
    </i>
    <i r="1">
      <x v="6"/>
      <x v="1"/>
    </i>
    <i r="1">
      <x v="7"/>
      <x v="23"/>
    </i>
    <i r="1">
      <x v="8"/>
      <x v="37"/>
    </i>
    <i r="1">
      <x v="9"/>
      <x v="4"/>
    </i>
    <i r="1">
      <x v="10"/>
      <x v="2"/>
    </i>
    <i r="2">
      <x v="21"/>
    </i>
    <i r="1">
      <x v="12"/>
      <x v="30"/>
    </i>
    <i r="1">
      <x v="13"/>
      <x v="39"/>
    </i>
    <i r="1">
      <x v="14"/>
      <x v="11"/>
    </i>
    <i r="1">
      <x v="15"/>
      <x v="38"/>
    </i>
    <i r="1">
      <x v="16"/>
      <x v="35"/>
    </i>
    <i r="1">
      <x v="17"/>
      <x v="29"/>
    </i>
    <i r="1">
      <x v="18"/>
      <x v="10"/>
    </i>
    <i r="2">
      <x v="14"/>
    </i>
    <i r="2">
      <x v="44"/>
    </i>
    <i t="blank">
      <x v="31"/>
    </i>
    <i>
      <x v="32"/>
    </i>
    <i r="1">
      <x/>
      <x v="27"/>
    </i>
    <i r="1">
      <x v="1"/>
      <x v="32"/>
    </i>
    <i r="1">
      <x v="2"/>
      <x v="34"/>
    </i>
    <i r="1">
      <x v="3"/>
      <x/>
    </i>
    <i r="1">
      <x v="4"/>
      <x v="24"/>
    </i>
    <i r="1">
      <x v="5"/>
      <x v="1"/>
    </i>
    <i r="1">
      <x v="6"/>
      <x v="22"/>
    </i>
    <i r="1">
      <x v="7"/>
      <x v="38"/>
    </i>
    <i r="1">
      <x v="8"/>
      <x v="37"/>
    </i>
    <i r="1">
      <x v="9"/>
      <x v="23"/>
    </i>
    <i r="1">
      <x v="10"/>
      <x v="2"/>
    </i>
    <i r="1">
      <x v="11"/>
      <x v="21"/>
    </i>
    <i r="1">
      <x v="12"/>
      <x v="30"/>
    </i>
    <i r="1">
      <x v="13"/>
      <x v="29"/>
    </i>
    <i r="1">
      <x v="14"/>
      <x v="41"/>
    </i>
    <i r="1">
      <x v="15"/>
      <x v="17"/>
    </i>
    <i r="1">
      <x v="16"/>
      <x v="10"/>
    </i>
    <i r="2">
      <x v="18"/>
    </i>
    <i r="2">
      <x v="20"/>
    </i>
    <i r="2">
      <x v="35"/>
    </i>
    <i t="blank">
      <x v="32"/>
    </i>
    <i>
      <x v="33"/>
    </i>
    <i r="1">
      <x/>
      <x v="34"/>
    </i>
    <i r="1">
      <x v="1"/>
      <x/>
    </i>
    <i r="2">
      <x v="32"/>
    </i>
    <i r="1">
      <x v="3"/>
      <x v="24"/>
    </i>
    <i r="1">
      <x v="4"/>
      <x v="4"/>
    </i>
    <i r="1">
      <x v="5"/>
      <x v="1"/>
    </i>
    <i r="1">
      <x v="6"/>
      <x v="22"/>
    </i>
    <i r="1">
      <x v="7"/>
      <x v="23"/>
    </i>
    <i r="1">
      <x v="8"/>
      <x v="37"/>
    </i>
    <i r="1">
      <x v="9"/>
      <x v="27"/>
    </i>
    <i r="1">
      <x v="10"/>
      <x v="2"/>
    </i>
    <i r="1">
      <x v="11"/>
      <x v="21"/>
    </i>
    <i r="1">
      <x v="12"/>
      <x v="38"/>
    </i>
    <i r="1">
      <x v="13"/>
      <x v="10"/>
    </i>
    <i r="1">
      <x v="14"/>
      <x v="8"/>
    </i>
    <i r="1">
      <x v="15"/>
      <x v="39"/>
    </i>
    <i r="1">
      <x v="16"/>
      <x v="5"/>
    </i>
    <i r="2">
      <x v="18"/>
    </i>
    <i r="2">
      <x v="30"/>
    </i>
    <i r="1">
      <x v="19"/>
      <x v="14"/>
    </i>
    <i r="2">
      <x v="29"/>
    </i>
    <i t="blank">
      <x v="33"/>
    </i>
    <i>
      <x v="34"/>
    </i>
    <i r="1">
      <x/>
      <x v="32"/>
    </i>
    <i r="1">
      <x v="1"/>
      <x v="27"/>
    </i>
    <i r="1">
      <x v="2"/>
      <x v="34"/>
    </i>
    <i r="1">
      <x v="3"/>
      <x v="22"/>
    </i>
    <i r="1">
      <x v="4"/>
      <x v="24"/>
    </i>
    <i r="1">
      <x v="5"/>
      <x/>
    </i>
    <i r="1">
      <x v="6"/>
      <x v="1"/>
    </i>
    <i r="1">
      <x v="7"/>
      <x v="31"/>
    </i>
    <i r="1">
      <x v="8"/>
      <x v="2"/>
    </i>
    <i r="1">
      <x v="9"/>
      <x v="21"/>
    </i>
    <i r="2">
      <x v="23"/>
    </i>
    <i r="1">
      <x v="11"/>
      <x v="17"/>
    </i>
    <i r="2">
      <x v="43"/>
    </i>
    <i r="1">
      <x v="13"/>
      <x v="30"/>
    </i>
    <i r="2">
      <x v="35"/>
    </i>
    <i r="2">
      <x v="36"/>
    </i>
    <i r="2">
      <x v="37"/>
    </i>
    <i r="2">
      <x v="38"/>
    </i>
    <i r="1">
      <x v="18"/>
      <x v="26"/>
    </i>
    <i r="1">
      <x v="19"/>
      <x v="29"/>
    </i>
    <i r="2">
      <x v="41"/>
    </i>
    <i t="blank">
      <x v="34"/>
    </i>
    <i>
      <x v="35"/>
    </i>
    <i r="1">
      <x/>
      <x v="31"/>
    </i>
    <i r="1">
      <x v="1"/>
      <x v="32"/>
    </i>
    <i r="1">
      <x v="2"/>
      <x/>
    </i>
    <i r="1">
      <x v="3"/>
      <x v="24"/>
    </i>
    <i r="1">
      <x v="4"/>
      <x v="34"/>
    </i>
    <i r="1">
      <x v="5"/>
      <x v="22"/>
    </i>
    <i r="1">
      <x v="6"/>
      <x v="1"/>
    </i>
    <i r="1">
      <x v="7"/>
      <x v="37"/>
    </i>
    <i r="1">
      <x v="8"/>
      <x v="38"/>
    </i>
    <i r="1">
      <x v="9"/>
      <x v="2"/>
    </i>
    <i r="2">
      <x v="21"/>
    </i>
    <i r="2">
      <x v="23"/>
    </i>
    <i r="2">
      <x v="27"/>
    </i>
    <i r="1">
      <x v="13"/>
      <x v="30"/>
    </i>
    <i r="1">
      <x v="14"/>
      <x v="3"/>
    </i>
    <i r="2">
      <x v="17"/>
    </i>
    <i r="2">
      <x v="18"/>
    </i>
    <i r="1">
      <x v="17"/>
      <x v="41"/>
    </i>
    <i r="2">
      <x v="43"/>
    </i>
    <i r="1">
      <x v="19"/>
      <x v="6"/>
    </i>
    <i r="2">
      <x v="7"/>
    </i>
    <i r="2">
      <x v="16"/>
    </i>
    <i r="2">
      <x v="26"/>
    </i>
    <i r="2">
      <x v="36"/>
    </i>
    <i r="2">
      <x v="42"/>
    </i>
    <i t="blank">
      <x v="35"/>
    </i>
    <i>
      <x v="36"/>
    </i>
    <i r="1">
      <x/>
      <x v="31"/>
    </i>
    <i r="1">
      <x v="1"/>
      <x v="32"/>
    </i>
    <i r="1">
      <x v="2"/>
      <x v="24"/>
    </i>
    <i r="1">
      <x v="3"/>
      <x/>
    </i>
    <i r="2">
      <x v="22"/>
    </i>
    <i r="2">
      <x v="34"/>
    </i>
    <i r="1">
      <x v="6"/>
      <x v="36"/>
    </i>
    <i r="1">
      <x v="7"/>
      <x v="1"/>
    </i>
    <i r="2">
      <x v="27"/>
    </i>
    <i r="1">
      <x v="9"/>
      <x v="2"/>
    </i>
    <i r="1">
      <x v="10"/>
      <x v="23"/>
    </i>
    <i r="1">
      <x v="11"/>
      <x v="38"/>
    </i>
    <i r="1">
      <x v="12"/>
      <x v="37"/>
    </i>
    <i r="2">
      <x v="41"/>
    </i>
    <i r="1">
      <x v="14"/>
      <x v="3"/>
    </i>
    <i r="2">
      <x v="15"/>
    </i>
    <i r="2">
      <x v="29"/>
    </i>
    <i r="2">
      <x v="30"/>
    </i>
    <i r="2">
      <x v="39"/>
    </i>
    <i r="2">
      <x v="43"/>
    </i>
    <i t="blank">
      <x v="36"/>
    </i>
    <i>
      <x v="37"/>
    </i>
    <i r="1">
      <x/>
      <x v="31"/>
    </i>
    <i r="1">
      <x v="1"/>
      <x v="32"/>
    </i>
    <i r="1">
      <x v="2"/>
      <x v="34"/>
    </i>
    <i r="1">
      <x v="3"/>
      <x v="22"/>
    </i>
    <i r="1">
      <x v="4"/>
      <x v="24"/>
    </i>
    <i r="1">
      <x v="5"/>
      <x v="37"/>
    </i>
    <i r="1">
      <x v="6"/>
      <x/>
    </i>
    <i r="1">
      <x v="7"/>
      <x v="1"/>
    </i>
    <i r="1">
      <x v="8"/>
      <x v="21"/>
    </i>
    <i r="1">
      <x v="9"/>
      <x v="23"/>
    </i>
    <i r="1">
      <x v="10"/>
      <x v="2"/>
    </i>
    <i r="1">
      <x v="11"/>
      <x v="27"/>
    </i>
    <i r="2">
      <x v="36"/>
    </i>
    <i r="2">
      <x v="38"/>
    </i>
    <i r="1">
      <x v="14"/>
      <x v="30"/>
    </i>
    <i r="1">
      <x v="15"/>
      <x v="3"/>
    </i>
    <i r="2">
      <x v="41"/>
    </i>
    <i r="1">
      <x v="17"/>
      <x v="15"/>
    </i>
    <i r="2">
      <x v="18"/>
    </i>
    <i r="2">
      <x v="20"/>
    </i>
    <i r="2">
      <x v="25"/>
    </i>
    <i r="2">
      <x v="35"/>
    </i>
    <i t="blank">
      <x v="37"/>
    </i>
    <i>
      <x v="38"/>
    </i>
    <i r="1">
      <x/>
      <x v="31"/>
    </i>
    <i r="1">
      <x v="1"/>
      <x v="34"/>
    </i>
    <i r="1">
      <x v="2"/>
      <x v="24"/>
    </i>
    <i r="2">
      <x v="32"/>
    </i>
    <i r="1">
      <x v="4"/>
      <x v="22"/>
    </i>
    <i r="1">
      <x v="5"/>
      <x/>
    </i>
    <i r="1">
      <x v="6"/>
      <x v="27"/>
    </i>
    <i r="1">
      <x v="7"/>
      <x v="1"/>
    </i>
    <i r="1">
      <x v="8"/>
      <x v="37"/>
    </i>
    <i r="1">
      <x v="9"/>
      <x v="2"/>
    </i>
    <i r="1">
      <x v="10"/>
      <x v="36"/>
    </i>
    <i r="1">
      <x v="11"/>
      <x v="23"/>
    </i>
    <i r="1">
      <x v="12"/>
      <x v="17"/>
    </i>
    <i r="1">
      <x v="13"/>
      <x v="3"/>
    </i>
    <i r="2">
      <x v="21"/>
    </i>
    <i r="2">
      <x v="38"/>
    </i>
    <i r="1">
      <x v="16"/>
      <x v="14"/>
    </i>
    <i r="2">
      <x v="26"/>
    </i>
    <i r="2">
      <x v="40"/>
    </i>
    <i r="1">
      <x v="19"/>
      <x v="18"/>
    </i>
    <i t="blank">
      <x v="38"/>
    </i>
    <i>
      <x v="39"/>
    </i>
    <i r="1">
      <x/>
      <x v="34"/>
    </i>
    <i r="1">
      <x v="1"/>
      <x v="27"/>
    </i>
    <i r="1">
      <x v="2"/>
      <x/>
    </i>
    <i r="1">
      <x v="3"/>
      <x v="32"/>
    </i>
    <i r="1">
      <x v="4"/>
      <x v="1"/>
    </i>
    <i r="1">
      <x v="5"/>
      <x v="2"/>
    </i>
    <i r="1">
      <x v="6"/>
      <x v="24"/>
    </i>
    <i r="1">
      <x v="7"/>
      <x v="37"/>
    </i>
    <i r="1">
      <x v="8"/>
      <x v="22"/>
    </i>
    <i r="1">
      <x v="9"/>
      <x v="23"/>
    </i>
    <i r="1">
      <x v="10"/>
      <x v="38"/>
    </i>
    <i r="1">
      <x v="11"/>
      <x v="30"/>
    </i>
    <i r="2">
      <x v="39"/>
    </i>
    <i r="1">
      <x v="13"/>
      <x v="29"/>
    </i>
    <i r="1">
      <x v="14"/>
      <x v="41"/>
    </i>
    <i r="1">
      <x v="15"/>
      <x v="11"/>
    </i>
    <i r="2">
      <x v="19"/>
    </i>
    <i r="2">
      <x v="35"/>
    </i>
    <i r="1">
      <x v="18"/>
      <x v="14"/>
    </i>
    <i r="2">
      <x v="21"/>
    </i>
    <i t="blank">
      <x v="39"/>
    </i>
    <i>
      <x v="40"/>
    </i>
    <i r="1">
      <x/>
      <x v="34"/>
    </i>
    <i r="1">
      <x v="1"/>
      <x v="32"/>
    </i>
    <i r="1">
      <x v="2"/>
      <x v="24"/>
    </i>
    <i r="1">
      <x v="3"/>
      <x/>
    </i>
    <i r="1">
      <x v="4"/>
      <x v="27"/>
    </i>
    <i r="1">
      <x v="5"/>
      <x v="1"/>
    </i>
    <i r="1">
      <x v="6"/>
      <x v="38"/>
    </i>
    <i r="1">
      <x v="7"/>
      <x v="22"/>
    </i>
    <i r="1">
      <x v="8"/>
      <x v="2"/>
    </i>
    <i r="1">
      <x v="9"/>
      <x v="37"/>
    </i>
    <i r="1">
      <x v="10"/>
      <x v="23"/>
    </i>
    <i r="1">
      <x v="11"/>
      <x v="30"/>
    </i>
    <i r="1">
      <x v="12"/>
      <x v="26"/>
    </i>
    <i r="1">
      <x v="13"/>
      <x v="21"/>
    </i>
    <i r="1">
      <x v="14"/>
      <x v="29"/>
    </i>
    <i r="1">
      <x v="15"/>
      <x v="11"/>
    </i>
    <i r="2">
      <x v="14"/>
    </i>
    <i r="1">
      <x v="17"/>
      <x v="17"/>
    </i>
    <i r="1">
      <x v="18"/>
      <x v="10"/>
    </i>
    <i r="2">
      <x v="19"/>
    </i>
    <i r="2">
      <x v="41"/>
    </i>
    <i t="blank">
      <x v="40"/>
    </i>
    <i>
      <x v="41"/>
    </i>
    <i r="1">
      <x/>
      <x v="27"/>
    </i>
    <i r="1">
      <x v="1"/>
      <x v="34"/>
    </i>
    <i r="1">
      <x v="2"/>
      <x/>
    </i>
    <i r="1">
      <x v="3"/>
      <x v="37"/>
    </i>
    <i r="1">
      <x v="4"/>
      <x v="32"/>
    </i>
    <i r="1">
      <x v="5"/>
      <x v="24"/>
    </i>
    <i r="1">
      <x v="6"/>
      <x v="2"/>
    </i>
    <i r="1">
      <x v="7"/>
      <x v="1"/>
    </i>
    <i r="1">
      <x v="8"/>
      <x v="23"/>
    </i>
    <i r="1">
      <x v="9"/>
      <x v="22"/>
    </i>
    <i r="1">
      <x v="10"/>
      <x v="38"/>
    </i>
    <i r="1">
      <x v="11"/>
      <x v="11"/>
    </i>
    <i r="1">
      <x v="12"/>
      <x v="19"/>
    </i>
    <i r="1">
      <x v="13"/>
      <x v="29"/>
    </i>
    <i r="1">
      <x v="14"/>
      <x v="30"/>
    </i>
    <i r="1">
      <x v="15"/>
      <x v="26"/>
    </i>
    <i r="1">
      <x v="16"/>
      <x v="10"/>
    </i>
    <i r="1">
      <x v="17"/>
      <x v="43"/>
    </i>
    <i r="1">
      <x v="18"/>
      <x v="13"/>
    </i>
    <i r="2">
      <x v="41"/>
    </i>
    <i r="2">
      <x v="42"/>
    </i>
    <i t="blank">
      <x v="41"/>
    </i>
    <i>
      <x v="42"/>
    </i>
    <i r="1">
      <x/>
      <x v="32"/>
    </i>
    <i r="1">
      <x v="1"/>
      <x/>
    </i>
    <i r="1">
      <x v="2"/>
      <x v="22"/>
    </i>
    <i r="2">
      <x v="34"/>
    </i>
    <i r="1">
      <x v="4"/>
      <x v="24"/>
    </i>
    <i r="1">
      <x v="5"/>
      <x v="27"/>
    </i>
    <i r="1">
      <x v="6"/>
      <x v="31"/>
    </i>
    <i r="1">
      <x v="7"/>
      <x v="1"/>
    </i>
    <i r="2">
      <x v="37"/>
    </i>
    <i r="1">
      <x v="9"/>
      <x v="23"/>
    </i>
    <i r="1">
      <x v="10"/>
      <x v="29"/>
    </i>
    <i r="1">
      <x v="11"/>
      <x v="30"/>
    </i>
    <i r="2">
      <x v="41"/>
    </i>
    <i r="1">
      <x v="13"/>
      <x v="14"/>
    </i>
    <i r="1">
      <x v="14"/>
      <x v="7"/>
    </i>
    <i r="2">
      <x v="21"/>
    </i>
    <i r="2">
      <x v="43"/>
    </i>
    <i r="1">
      <x v="17"/>
      <x v="17"/>
    </i>
    <i r="2">
      <x v="25"/>
    </i>
    <i r="2">
      <x v="35"/>
    </i>
    <i r="2">
      <x v="39"/>
    </i>
    <i t="blank">
      <x v="42"/>
    </i>
    <i>
      <x v="43"/>
    </i>
    <i r="1">
      <x/>
      <x v="34"/>
    </i>
    <i r="1">
      <x v="1"/>
      <x v="32"/>
    </i>
    <i r="1">
      <x v="2"/>
      <x/>
    </i>
    <i r="1">
      <x v="3"/>
      <x v="22"/>
    </i>
    <i r="2">
      <x v="24"/>
    </i>
    <i r="1">
      <x v="5"/>
      <x v="1"/>
    </i>
    <i r="1">
      <x v="6"/>
      <x v="2"/>
    </i>
    <i r="1">
      <x v="7"/>
      <x v="27"/>
    </i>
    <i r="1">
      <x v="8"/>
      <x v="11"/>
    </i>
    <i r="1">
      <x v="9"/>
      <x v="37"/>
    </i>
    <i r="1">
      <x v="10"/>
      <x v="23"/>
    </i>
    <i r="1">
      <x v="11"/>
      <x v="3"/>
    </i>
    <i r="1">
      <x v="12"/>
      <x v="5"/>
    </i>
    <i r="2">
      <x v="21"/>
    </i>
    <i r="2">
      <x v="38"/>
    </i>
    <i r="2">
      <x v="39"/>
    </i>
    <i r="1">
      <x v="16"/>
      <x v="30"/>
    </i>
    <i r="1">
      <x v="17"/>
      <x v="4"/>
    </i>
    <i r="2">
      <x v="15"/>
    </i>
    <i r="1">
      <x v="19"/>
      <x v="8"/>
    </i>
    <i r="2">
      <x v="19"/>
    </i>
    <i t="blank">
      <x v="43"/>
    </i>
    <i>
      <x v="44"/>
    </i>
    <i r="1">
      <x/>
      <x v="22"/>
    </i>
    <i r="1">
      <x v="1"/>
      <x v="32"/>
    </i>
    <i r="1">
      <x v="2"/>
      <x v="34"/>
    </i>
    <i r="1">
      <x v="3"/>
      <x/>
    </i>
    <i r="2">
      <x v="4"/>
    </i>
    <i r="1">
      <x v="5"/>
      <x v="24"/>
    </i>
    <i r="1">
      <x v="6"/>
      <x v="31"/>
    </i>
    <i r="1">
      <x v="7"/>
      <x v="1"/>
    </i>
    <i r="1">
      <x v="8"/>
      <x v="2"/>
    </i>
    <i r="1">
      <x v="9"/>
      <x v="38"/>
    </i>
    <i r="1">
      <x v="10"/>
      <x v="23"/>
    </i>
    <i r="1">
      <x v="11"/>
      <x v="21"/>
    </i>
    <i r="1">
      <x v="12"/>
      <x v="39"/>
    </i>
    <i r="1">
      <x v="13"/>
      <x v="25"/>
    </i>
    <i r="2">
      <x v="37"/>
    </i>
    <i r="2">
      <x v="40"/>
    </i>
    <i r="1">
      <x v="16"/>
      <x v="6"/>
    </i>
    <i r="2">
      <x v="16"/>
    </i>
    <i r="2">
      <x v="29"/>
    </i>
    <i r="1">
      <x v="19"/>
      <x v="3"/>
    </i>
    <i r="2">
      <x v="7"/>
    </i>
    <i r="2">
      <x v="9"/>
    </i>
    <i r="2">
      <x v="15"/>
    </i>
    <i r="2">
      <x v="18"/>
    </i>
    <i r="2">
      <x v="42"/>
    </i>
    <i t="blank">
      <x v="44"/>
    </i>
    <i>
      <x v="45"/>
    </i>
    <i r="1">
      <x/>
      <x/>
    </i>
    <i r="1">
      <x v="1"/>
      <x v="34"/>
    </i>
    <i r="1">
      <x v="2"/>
      <x v="24"/>
    </i>
    <i r="1">
      <x v="3"/>
      <x v="22"/>
    </i>
    <i r="1">
      <x v="4"/>
      <x v="1"/>
    </i>
    <i r="1">
      <x v="5"/>
      <x v="32"/>
    </i>
    <i r="1">
      <x v="6"/>
      <x v="2"/>
    </i>
    <i r="1">
      <x v="7"/>
      <x v="37"/>
    </i>
    <i r="1">
      <x v="8"/>
      <x v="38"/>
    </i>
    <i r="1">
      <x v="9"/>
      <x v="23"/>
    </i>
    <i r="1">
      <x v="10"/>
      <x v="27"/>
    </i>
    <i r="1">
      <x v="11"/>
      <x v="30"/>
    </i>
    <i r="1">
      <x v="12"/>
      <x v="29"/>
    </i>
    <i r="1">
      <x v="13"/>
      <x v="4"/>
    </i>
    <i r="2">
      <x v="18"/>
    </i>
    <i r="1">
      <x v="15"/>
      <x v="10"/>
    </i>
    <i r="2">
      <x v="21"/>
    </i>
    <i r="1">
      <x v="17"/>
      <x v="3"/>
    </i>
    <i r="2">
      <x v="6"/>
    </i>
    <i r="2">
      <x v="41"/>
    </i>
    <i t="blank">
      <x v="4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77">
      <pivotArea field="2" type="button" dataOnly="0" labelOnly="1" outline="0" axis="axisRow" fieldPosition="0"/>
    </format>
    <format dxfId="676">
      <pivotArea outline="0" fieldPosition="0">
        <references count="1">
          <reference field="4294967294" count="1">
            <x v="0"/>
          </reference>
        </references>
      </pivotArea>
    </format>
    <format dxfId="675">
      <pivotArea outline="0" fieldPosition="0">
        <references count="1">
          <reference field="4294967294" count="1">
            <x v="1"/>
          </reference>
        </references>
      </pivotArea>
    </format>
    <format dxfId="674">
      <pivotArea outline="0" fieldPosition="0">
        <references count="1">
          <reference field="4294967294" count="1">
            <x v="2"/>
          </reference>
        </references>
      </pivotArea>
    </format>
    <format dxfId="673">
      <pivotArea outline="0" fieldPosition="0">
        <references count="1">
          <reference field="4294967294" count="1">
            <x v="3"/>
          </reference>
        </references>
      </pivotArea>
    </format>
    <format dxfId="672">
      <pivotArea outline="0" fieldPosition="0">
        <references count="1">
          <reference field="4294967294" count="1">
            <x v="4"/>
          </reference>
        </references>
      </pivotArea>
    </format>
    <format dxfId="671">
      <pivotArea outline="0" fieldPosition="0">
        <references count="1">
          <reference field="4294967294" count="1">
            <x v="5"/>
          </reference>
        </references>
      </pivotArea>
    </format>
    <format dxfId="670">
      <pivotArea outline="0" fieldPosition="0">
        <references count="1">
          <reference field="4294967294" count="1">
            <x v="6"/>
          </reference>
        </references>
      </pivotArea>
    </format>
    <format dxfId="669">
      <pivotArea field="2" type="button" dataOnly="0" labelOnly="1" outline="0" axis="axisRow" fieldPosition="0"/>
    </format>
    <format dxfId="668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7">
      <pivotArea field="2" type="button" dataOnly="0" labelOnly="1" outline="0" axis="axisRow" fieldPosition="0"/>
    </format>
    <format dxfId="66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5">
      <pivotArea field="2" type="button" dataOnly="0" labelOnly="1" outline="0" axis="axisRow" fieldPosition="0"/>
    </format>
    <format dxfId="664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3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2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61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C502C6-08E9-4B1F-A165-FC511D6DD754}" name="pvt_S" cacheId="2193" applyNumberFormats="0" applyBorderFormats="0" applyFontFormats="0" applyPatternFormats="0" applyAlignmentFormats="0" applyWidthHeightFormats="1" dataCaption="値" updatedVersion="8" minRefreshableVersion="3" showDrill="0" enableDrill="0" useAutoFormatting="1" rowGrandTotals="0" colGrandTotals="0" itemPrintTitles="1" createdVersion="5" indent="0" outline="1" outlineData="1" multipleFieldFilters="0" rowHeaderCaption="自治体" fieldListSortAscending="1">
  <location ref="A1:I1054" firstHeaderRow="0" firstDataRow="1" firstDataCol="2"/>
  <pivotFields count="14">
    <pivotField showAll="0" defaultSubtotal="0">
      <items count="1">
        <item x="0"/>
      </items>
    </pivotField>
    <pivotField showAll="0" defaultSubtotal="0">
      <items count="46">
        <item x="17"/>
        <item x="32"/>
        <item x="29"/>
        <item x="26"/>
        <item x="35"/>
        <item x="37"/>
        <item x="38"/>
        <item x="34"/>
        <item x="36"/>
        <item x="22"/>
        <item x="31"/>
        <item x="28"/>
        <item x="30"/>
        <item x="24"/>
        <item x="15"/>
        <item x="45"/>
        <item x="42"/>
        <item x="40"/>
        <item x="41"/>
        <item x="13"/>
        <item x="21"/>
        <item x="43"/>
        <item x="44"/>
        <item x="27"/>
        <item x="0"/>
        <item x="1"/>
        <item x="2"/>
        <item x="3"/>
        <item x="4"/>
        <item x="25"/>
        <item x="39"/>
        <item x="18"/>
        <item x="23"/>
        <item x="14"/>
        <item x="20"/>
        <item x="5"/>
        <item x="8"/>
        <item x="6"/>
        <item x="12"/>
        <item x="7"/>
        <item x="9"/>
        <item x="11"/>
        <item x="10"/>
        <item x="16"/>
        <item x="19"/>
        <item x="33"/>
      </items>
    </pivotField>
    <pivotField axis="axisRow" showAll="0" insertBlankRow="1" defaultSubtotal="0">
      <items count="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</items>
    </pivotField>
    <pivotField showAll="0" defaultSubtotal="0">
      <items count="72">
        <item x="10"/>
        <item x="16"/>
        <item x="12"/>
        <item x="33"/>
        <item x="43"/>
        <item x="38"/>
        <item x="61"/>
        <item x="59"/>
        <item x="28"/>
        <item x="56"/>
        <item x="34"/>
        <item x="14"/>
        <item x="15"/>
        <item x="49"/>
        <item x="41"/>
        <item x="68"/>
        <item x="40"/>
        <item x="26"/>
        <item x="37"/>
        <item x="35"/>
        <item x="66"/>
        <item x="29"/>
        <item x="50"/>
        <item x="65"/>
        <item x="63"/>
        <item x="25"/>
        <item x="67"/>
        <item x="27"/>
        <item x="21"/>
        <item x="64"/>
        <item x="69"/>
        <item x="20"/>
        <item x="9"/>
        <item x="7"/>
        <item x="39"/>
        <item x="17"/>
        <item x="42"/>
        <item x="53"/>
        <item x="11"/>
        <item x="70"/>
        <item x="24"/>
        <item x="13"/>
        <item x="1"/>
        <item x="30"/>
        <item x="32"/>
        <item x="31"/>
        <item x="18"/>
        <item x="45"/>
        <item x="54"/>
        <item x="47"/>
        <item x="44"/>
        <item x="3"/>
        <item x="62"/>
        <item x="4"/>
        <item x="8"/>
        <item x="22"/>
        <item x="46"/>
        <item x="55"/>
        <item x="23"/>
        <item x="2"/>
        <item x="0"/>
        <item x="51"/>
        <item x="52"/>
        <item x="36"/>
        <item x="5"/>
        <item x="71"/>
        <item x="6"/>
        <item x="48"/>
        <item x="57"/>
        <item x="19"/>
        <item x="60"/>
        <item x="58"/>
      </items>
    </pivotField>
    <pivotField showAll="0" defaultSubtotal="0">
      <items count="72">
        <item x="53"/>
        <item x="46"/>
        <item x="9"/>
        <item x="52"/>
        <item x="47"/>
        <item x="34"/>
        <item x="66"/>
        <item x="51"/>
        <item x="62"/>
        <item x="38"/>
        <item x="8"/>
        <item x="17"/>
        <item x="26"/>
        <item x="20"/>
        <item x="36"/>
        <item x="15"/>
        <item x="54"/>
        <item x="39"/>
        <item x="22"/>
        <item x="5"/>
        <item x="35"/>
        <item x="37"/>
        <item x="33"/>
        <item x="16"/>
        <item x="63"/>
        <item x="31"/>
        <item x="61"/>
        <item x="25"/>
        <item x="71"/>
        <item x="48"/>
        <item x="29"/>
        <item x="7"/>
        <item x="19"/>
        <item x="69"/>
        <item x="4"/>
        <item x="58"/>
        <item x="56"/>
        <item x="57"/>
        <item x="68"/>
        <item x="44"/>
        <item x="65"/>
        <item x="49"/>
        <item x="40"/>
        <item x="3"/>
        <item x="23"/>
        <item x="27"/>
        <item x="60"/>
        <item x="11"/>
        <item x="1"/>
        <item x="43"/>
        <item x="41"/>
        <item x="30"/>
        <item x="70"/>
        <item x="67"/>
        <item x="14"/>
        <item x="28"/>
        <item x="18"/>
        <item x="10"/>
        <item x="42"/>
        <item x="50"/>
        <item x="55"/>
        <item x="59"/>
        <item x="0"/>
        <item x="32"/>
        <item x="24"/>
        <item x="13"/>
        <item x="21"/>
        <item x="12"/>
        <item x="64"/>
        <item x="2"/>
        <item x="45"/>
        <item x="6"/>
      </items>
    </pivotField>
    <pivotField axis="axisRow" showAll="0" defaultSubtotal="0">
      <items count="72">
        <item x="10"/>
        <item x="16"/>
        <item x="12"/>
        <item x="33"/>
        <item x="43"/>
        <item x="38"/>
        <item x="61"/>
        <item x="59"/>
        <item x="28"/>
        <item x="56"/>
        <item x="34"/>
        <item x="14"/>
        <item x="15"/>
        <item x="49"/>
        <item x="41"/>
        <item x="68"/>
        <item x="40"/>
        <item x="26"/>
        <item x="37"/>
        <item x="35"/>
        <item x="66"/>
        <item x="29"/>
        <item x="50"/>
        <item x="65"/>
        <item x="63"/>
        <item x="25"/>
        <item x="67"/>
        <item x="27"/>
        <item x="21"/>
        <item x="64"/>
        <item x="69"/>
        <item x="20"/>
        <item x="9"/>
        <item x="7"/>
        <item x="39"/>
        <item x="17"/>
        <item x="42"/>
        <item x="53"/>
        <item x="11"/>
        <item x="70"/>
        <item x="24"/>
        <item x="13"/>
        <item x="1"/>
        <item x="30"/>
        <item x="32"/>
        <item x="31"/>
        <item x="18"/>
        <item x="45"/>
        <item x="54"/>
        <item x="47"/>
        <item x="44"/>
        <item x="3"/>
        <item x="62"/>
        <item x="4"/>
        <item x="8"/>
        <item x="22"/>
        <item x="46"/>
        <item x="55"/>
        <item x="23"/>
        <item x="2"/>
        <item x="0"/>
        <item x="51"/>
        <item x="52"/>
        <item x="36"/>
        <item x="5"/>
        <item x="71"/>
        <item x="6"/>
        <item x="48"/>
        <item x="57"/>
        <item x="19"/>
        <item x="60"/>
        <item x="58"/>
      </items>
    </pivotField>
    <pivotField axis="axisRow" outline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showAll="0" defaultSubtotal="0">
      <items count="226">
        <item x="225"/>
        <item x="224"/>
        <item x="223"/>
        <item x="222"/>
        <item x="221"/>
        <item x="220"/>
        <item x="219"/>
        <item x="177"/>
        <item x="176"/>
        <item x="217"/>
        <item x="175"/>
        <item x="174"/>
        <item x="173"/>
        <item x="172"/>
        <item x="171"/>
        <item x="218"/>
        <item x="170"/>
        <item x="189"/>
        <item x="188"/>
        <item x="169"/>
        <item x="187"/>
        <item x="155"/>
        <item x="154"/>
        <item x="162"/>
        <item x="144"/>
        <item x="143"/>
        <item x="153"/>
        <item x="142"/>
        <item x="141"/>
        <item x="140"/>
        <item x="139"/>
        <item x="161"/>
        <item x="138"/>
        <item x="137"/>
        <item x="136"/>
        <item x="152"/>
        <item x="131"/>
        <item x="151"/>
        <item x="130"/>
        <item x="168"/>
        <item x="160"/>
        <item x="129"/>
        <item x="128"/>
        <item x="159"/>
        <item x="127"/>
        <item x="158"/>
        <item x="126"/>
        <item x="125"/>
        <item x="150"/>
        <item x="124"/>
        <item x="123"/>
        <item x="135"/>
        <item x="149"/>
        <item x="167"/>
        <item x="166"/>
        <item x="148"/>
        <item x="122"/>
        <item x="134"/>
        <item x="147"/>
        <item x="194"/>
        <item x="211"/>
        <item x="133"/>
        <item x="165"/>
        <item x="164"/>
        <item x="157"/>
        <item x="186"/>
        <item x="156"/>
        <item x="121"/>
        <item x="73"/>
        <item x="72"/>
        <item x="71"/>
        <item x="70"/>
        <item x="69"/>
        <item x="68"/>
        <item x="88"/>
        <item x="87"/>
        <item x="213"/>
        <item x="118"/>
        <item x="117"/>
        <item x="185"/>
        <item x="216"/>
        <item x="67"/>
        <item x="66"/>
        <item x="116"/>
        <item x="86"/>
        <item x="115"/>
        <item x="215"/>
        <item x="210"/>
        <item x="85"/>
        <item x="65"/>
        <item x="208"/>
        <item x="57"/>
        <item x="56"/>
        <item x="146"/>
        <item x="84"/>
        <item x="184"/>
        <item x="64"/>
        <item x="132"/>
        <item x="145"/>
        <item x="83"/>
        <item x="55"/>
        <item x="82"/>
        <item x="207"/>
        <item x="114"/>
        <item x="54"/>
        <item x="53"/>
        <item x="63"/>
        <item x="183"/>
        <item x="190"/>
        <item x="52"/>
        <item x="62"/>
        <item x="196"/>
        <item x="193"/>
        <item x="120"/>
        <item x="192"/>
        <item x="81"/>
        <item x="182"/>
        <item x="51"/>
        <item x="181"/>
        <item x="195"/>
        <item x="206"/>
        <item x="80"/>
        <item x="180"/>
        <item x="163"/>
        <item x="119"/>
        <item x="61"/>
        <item x="60"/>
        <item x="50"/>
        <item x="212"/>
        <item x="79"/>
        <item x="205"/>
        <item x="49"/>
        <item x="204"/>
        <item x="78"/>
        <item x="203"/>
        <item x="202"/>
        <item x="201"/>
        <item x="77"/>
        <item x="113"/>
        <item x="48"/>
        <item x="179"/>
        <item x="200"/>
        <item x="47"/>
        <item x="46"/>
        <item x="45"/>
        <item x="112"/>
        <item x="44"/>
        <item x="111"/>
        <item x="199"/>
        <item x="209"/>
        <item x="191"/>
        <item x="76"/>
        <item x="214"/>
        <item x="43"/>
        <item x="110"/>
        <item x="75"/>
        <item x="109"/>
        <item x="178"/>
        <item x="108"/>
        <item x="38"/>
        <item x="37"/>
        <item x="42"/>
        <item x="36"/>
        <item x="105"/>
        <item x="41"/>
        <item x="35"/>
        <item x="34"/>
        <item x="59"/>
        <item x="33"/>
        <item x="104"/>
        <item x="58"/>
        <item x="40"/>
        <item x="103"/>
        <item x="102"/>
        <item x="32"/>
        <item x="101"/>
        <item x="31"/>
        <item x="100"/>
        <item x="30"/>
        <item x="74"/>
        <item x="198"/>
        <item x="107"/>
        <item x="29"/>
        <item x="99"/>
        <item x="98"/>
        <item x="28"/>
        <item x="27"/>
        <item x="197"/>
        <item x="97"/>
        <item x="106"/>
        <item x="96"/>
        <item x="26"/>
        <item x="39"/>
        <item x="95"/>
        <item x="25"/>
        <item x="94"/>
        <item x="93"/>
        <item x="92"/>
        <item x="24"/>
        <item x="91"/>
        <item x="23"/>
        <item x="22"/>
        <item x="21"/>
        <item x="90"/>
        <item x="89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>
      <items count="297">
        <item x="288"/>
        <item x="224"/>
        <item x="95"/>
        <item x="121"/>
        <item x="94"/>
        <item x="120"/>
        <item x="93"/>
        <item x="36"/>
        <item x="35"/>
        <item x="50"/>
        <item x="34"/>
        <item x="82"/>
        <item x="72"/>
        <item x="128"/>
        <item x="119"/>
        <item x="111"/>
        <item x="18"/>
        <item x="158"/>
        <item x="127"/>
        <item x="33"/>
        <item x="63"/>
        <item x="49"/>
        <item x="17"/>
        <item x="32"/>
        <item x="31"/>
        <item x="16"/>
        <item x="48"/>
        <item x="62"/>
        <item x="15"/>
        <item x="61"/>
        <item x="157"/>
        <item x="137"/>
        <item x="30"/>
        <item x="126"/>
        <item x="110"/>
        <item x="47"/>
        <item x="136"/>
        <item x="180"/>
        <item x="14"/>
        <item x="92"/>
        <item x="256"/>
        <item x="81"/>
        <item x="171"/>
        <item x="109"/>
        <item x="60"/>
        <item x="191"/>
        <item x="59"/>
        <item x="13"/>
        <item x="179"/>
        <item x="46"/>
        <item x="247"/>
        <item x="166"/>
        <item x="80"/>
        <item x="29"/>
        <item x="185"/>
        <item x="12"/>
        <item x="71"/>
        <item x="108"/>
        <item x="252"/>
        <item x="58"/>
        <item x="118"/>
        <item x="28"/>
        <item x="107"/>
        <item x="11"/>
        <item x="10"/>
        <item x="79"/>
        <item x="165"/>
        <item x="27"/>
        <item x="142"/>
        <item x="206"/>
        <item x="150"/>
        <item x="45"/>
        <item x="219"/>
        <item x="223"/>
        <item x="57"/>
        <item x="178"/>
        <item x="9"/>
        <item x="26"/>
        <item x="78"/>
        <item x="8"/>
        <item x="106"/>
        <item x="149"/>
        <item x="190"/>
        <item x="91"/>
        <item x="70"/>
        <item x="7"/>
        <item x="184"/>
        <item x="135"/>
        <item x="141"/>
        <item x="218"/>
        <item x="105"/>
        <item x="134"/>
        <item x="56"/>
        <item x="25"/>
        <item x="100"/>
        <item x="69"/>
        <item x="280"/>
        <item x="125"/>
        <item x="170"/>
        <item x="44"/>
        <item x="43"/>
        <item x="55"/>
        <item x="6"/>
        <item x="194"/>
        <item x="42"/>
        <item x="156"/>
        <item x="217"/>
        <item x="77"/>
        <item x="279"/>
        <item x="24"/>
        <item x="5"/>
        <item x="124"/>
        <item x="148"/>
        <item x="177"/>
        <item x="251"/>
        <item x="189"/>
        <item x="169"/>
        <item x="68"/>
        <item x="147"/>
        <item x="117"/>
        <item x="242"/>
        <item x="76"/>
        <item x="75"/>
        <item x="90"/>
        <item x="176"/>
        <item x="237"/>
        <item x="89"/>
        <item x="188"/>
        <item x="4"/>
        <item x="41"/>
        <item x="200"/>
        <item x="246"/>
        <item x="104"/>
        <item x="229"/>
        <item x="116"/>
        <item x="216"/>
        <item x="67"/>
        <item x="23"/>
        <item x="54"/>
        <item x="187"/>
        <item x="53"/>
        <item x="133"/>
        <item x="3"/>
        <item x="233"/>
        <item x="215"/>
        <item x="132"/>
        <item x="115"/>
        <item x="294"/>
        <item x="205"/>
        <item x="74"/>
        <item x="211"/>
        <item x="2"/>
        <item x="22"/>
        <item x="114"/>
        <item x="284"/>
        <item x="199"/>
        <item x="99"/>
        <item x="168"/>
        <item x="198"/>
        <item x="228"/>
        <item x="275"/>
        <item x="88"/>
        <item x="232"/>
        <item x="214"/>
        <item x="197"/>
        <item x="87"/>
        <item x="131"/>
        <item x="193"/>
        <item x="103"/>
        <item x="278"/>
        <item x="130"/>
        <item x="146"/>
        <item x="245"/>
        <item x="66"/>
        <item x="40"/>
        <item x="283"/>
        <item x="260"/>
        <item x="164"/>
        <item x="250"/>
        <item x="21"/>
        <item x="145"/>
        <item x="39"/>
        <item x="204"/>
        <item x="210"/>
        <item x="175"/>
        <item x="249"/>
        <item x="196"/>
        <item x="203"/>
        <item x="140"/>
        <item x="255"/>
        <item x="86"/>
        <item x="259"/>
        <item x="123"/>
        <item x="270"/>
        <item x="155"/>
        <item x="222"/>
        <item x="65"/>
        <item x="163"/>
        <item x="122"/>
        <item x="213"/>
        <item x="282"/>
        <item x="241"/>
        <item x="263"/>
        <item x="274"/>
        <item x="266"/>
        <item x="38"/>
        <item x="209"/>
        <item x="183"/>
        <item x="244"/>
        <item x="208"/>
        <item x="162"/>
        <item x="269"/>
        <item x="98"/>
        <item x="231"/>
        <item x="161"/>
        <item x="20"/>
        <item x="202"/>
        <item x="273"/>
        <item x="240"/>
        <item x="262"/>
        <item x="154"/>
        <item x="85"/>
        <item x="289"/>
        <item x="227"/>
        <item x="293"/>
        <item x="139"/>
        <item x="239"/>
        <item x="287"/>
        <item x="97"/>
        <item x="236"/>
        <item x="144"/>
        <item x="265"/>
        <item x="272"/>
        <item x="153"/>
        <item x="113"/>
        <item x="96"/>
        <item x="277"/>
        <item x="268"/>
        <item x="73"/>
        <item x="1"/>
        <item x="174"/>
        <item x="102"/>
        <item x="182"/>
        <item x="226"/>
        <item x="112"/>
        <item x="173"/>
        <item x="296"/>
        <item x="235"/>
        <item x="84"/>
        <item x="52"/>
        <item x="192"/>
        <item x="295"/>
        <item x="51"/>
        <item x="143"/>
        <item x="181"/>
        <item x="138"/>
        <item x="0"/>
        <item x="172"/>
        <item x="19"/>
        <item x="83"/>
        <item x="37"/>
        <item x="258"/>
        <item x="292"/>
        <item x="248"/>
        <item x="160"/>
        <item x="64"/>
        <item x="186"/>
        <item x="290"/>
        <item x="243"/>
        <item x="101"/>
        <item x="152"/>
        <item x="195"/>
        <item x="212"/>
        <item x="201"/>
        <item x="221"/>
        <item x="167"/>
        <item x="207"/>
        <item x="286"/>
        <item x="129"/>
        <item x="281"/>
        <item x="234"/>
        <item x="254"/>
        <item x="159"/>
        <item x="291"/>
        <item x="230"/>
        <item x="271"/>
        <item x="220"/>
        <item x="257"/>
        <item x="238"/>
        <item x="151"/>
        <item x="276"/>
        <item x="285"/>
        <item x="225"/>
        <item x="261"/>
        <item x="253"/>
        <item x="267"/>
        <item x="264"/>
      </items>
    </pivotField>
    <pivotField dataField="1" showAll="0" defaultSubtotal="0">
      <items count="191">
        <item x="170"/>
        <item x="143"/>
        <item x="145"/>
        <item x="121"/>
        <item x="132"/>
        <item x="69"/>
        <item x="119"/>
        <item x="129"/>
        <item x="126"/>
        <item x="76"/>
        <item x="127"/>
        <item x="70"/>
        <item x="130"/>
        <item x="149"/>
        <item x="138"/>
        <item x="131"/>
        <item x="57"/>
        <item x="87"/>
        <item x="66"/>
        <item x="67"/>
        <item x="128"/>
        <item x="187"/>
        <item x="73"/>
        <item x="71"/>
        <item x="89"/>
        <item x="147"/>
        <item x="144"/>
        <item x="158"/>
        <item x="59"/>
        <item x="112"/>
        <item x="50"/>
        <item x="139"/>
        <item x="137"/>
        <item x="39"/>
        <item x="84"/>
        <item x="53"/>
        <item x="118"/>
        <item x="140"/>
        <item x="88"/>
        <item x="169"/>
        <item x="173"/>
        <item x="117"/>
        <item x="102"/>
        <item x="142"/>
        <item x="160"/>
        <item x="75"/>
        <item x="34"/>
        <item x="96"/>
        <item x="134"/>
        <item x="136"/>
        <item x="165"/>
        <item x="157"/>
        <item x="103"/>
        <item x="101"/>
        <item x="51"/>
        <item x="141"/>
        <item x="135"/>
        <item x="179"/>
        <item x="72"/>
        <item x="74"/>
        <item x="124"/>
        <item x="52"/>
        <item x="156"/>
        <item x="58"/>
        <item x="182"/>
        <item x="123"/>
        <item x="116"/>
        <item x="65"/>
        <item x="55"/>
        <item x="155"/>
        <item x="105"/>
        <item x="99"/>
        <item x="30"/>
        <item x="115"/>
        <item x="120"/>
        <item x="33"/>
        <item x="164"/>
        <item x="186"/>
        <item x="82"/>
        <item x="185"/>
        <item x="56"/>
        <item x="36"/>
        <item x="86"/>
        <item x="68"/>
        <item x="162"/>
        <item x="125"/>
        <item x="83"/>
        <item x="43"/>
        <item x="172"/>
        <item x="166"/>
        <item x="148"/>
        <item x="168"/>
        <item x="35"/>
        <item x="161"/>
        <item x="54"/>
        <item x="107"/>
        <item x="85"/>
        <item x="178"/>
        <item x="64"/>
        <item x="189"/>
        <item x="45"/>
        <item x="146"/>
        <item x="167"/>
        <item x="32"/>
        <item x="133"/>
        <item x="181"/>
        <item x="46"/>
        <item x="171"/>
        <item x="154"/>
        <item x="48"/>
        <item x="184"/>
        <item x="153"/>
        <item x="60"/>
        <item x="109"/>
        <item x="78"/>
        <item x="63"/>
        <item x="62"/>
        <item x="122"/>
        <item x="151"/>
        <item x="177"/>
        <item x="106"/>
        <item x="81"/>
        <item x="49"/>
        <item x="100"/>
        <item x="152"/>
        <item x="98"/>
        <item x="47"/>
        <item x="190"/>
        <item x="159"/>
        <item x="114"/>
        <item x="180"/>
        <item x="176"/>
        <item x="113"/>
        <item x="104"/>
        <item x="188"/>
        <item x="163"/>
        <item x="111"/>
        <item x="80"/>
        <item x="183"/>
        <item x="44"/>
        <item x="38"/>
        <item x="37"/>
        <item x="42"/>
        <item x="79"/>
        <item x="29"/>
        <item x="95"/>
        <item x="110"/>
        <item x="61"/>
        <item x="150"/>
        <item x="28"/>
        <item x="41"/>
        <item x="174"/>
        <item x="27"/>
        <item x="16"/>
        <item x="175"/>
        <item x="31"/>
        <item x="77"/>
        <item x="108"/>
        <item x="97"/>
        <item x="26"/>
        <item x="13"/>
        <item x="21"/>
        <item x="40"/>
        <item x="94"/>
        <item x="10"/>
        <item x="93"/>
        <item x="15"/>
        <item x="25"/>
        <item x="24"/>
        <item x="91"/>
        <item x="14"/>
        <item x="92"/>
        <item x="17"/>
        <item x="23"/>
        <item x="22"/>
        <item x="18"/>
        <item x="12"/>
        <item x="19"/>
        <item x="20"/>
        <item x="90"/>
        <item x="7"/>
        <item x="11"/>
        <item x="9"/>
        <item x="8"/>
        <item x="5"/>
        <item x="6"/>
        <item x="3"/>
        <item x="4"/>
        <item x="2"/>
        <item x="1"/>
        <item x="0"/>
      </items>
    </pivotField>
    <pivotField dataField="1" showAll="0" defaultSubtotal="0">
      <items count="458">
        <item x="262"/>
        <item x="125"/>
        <item x="166"/>
        <item x="226"/>
        <item x="263"/>
        <item x="351"/>
        <item x="123"/>
        <item x="378"/>
        <item x="66"/>
        <item x="168"/>
        <item x="434"/>
        <item x="439"/>
        <item x="217"/>
        <item x="141"/>
        <item x="39"/>
        <item x="457"/>
        <item x="193"/>
        <item x="138"/>
        <item x="74"/>
        <item x="56"/>
        <item x="361"/>
        <item x="416"/>
        <item x="134"/>
        <item x="195"/>
        <item x="408"/>
        <item x="34"/>
        <item x="67"/>
        <item x="453"/>
        <item x="177"/>
        <item x="433"/>
        <item x="101"/>
        <item x="91"/>
        <item x="369"/>
        <item x="16"/>
        <item x="163"/>
        <item x="155"/>
        <item x="106"/>
        <item x="105"/>
        <item x="375"/>
        <item x="218"/>
        <item x="237"/>
        <item x="93"/>
        <item x="151"/>
        <item x="13"/>
        <item x="386"/>
        <item x="300"/>
        <item x="58"/>
        <item x="371"/>
        <item x="30"/>
        <item x="10"/>
        <item x="249"/>
        <item x="33"/>
        <item x="64"/>
        <item x="15"/>
        <item x="181"/>
        <item x="307"/>
        <item x="320"/>
        <item x="65"/>
        <item x="36"/>
        <item x="299"/>
        <item x="417"/>
        <item x="149"/>
        <item x="137"/>
        <item x="52"/>
        <item x="225"/>
        <item x="282"/>
        <item x="114"/>
        <item x="86"/>
        <item x="71"/>
        <item x="14"/>
        <item x="35"/>
        <item x="280"/>
        <item x="69"/>
        <item x="315"/>
        <item x="17"/>
        <item x="332"/>
        <item x="223"/>
        <item x="92"/>
        <item x="126"/>
        <item x="197"/>
        <item x="270"/>
        <item x="109"/>
        <item x="139"/>
        <item x="291"/>
        <item x="169"/>
        <item x="32"/>
        <item x="122"/>
        <item x="190"/>
        <item x="227"/>
        <item x="238"/>
        <item x="18"/>
        <item x="281"/>
        <item x="75"/>
        <item x="162"/>
        <item x="140"/>
        <item x="89"/>
        <item x="324"/>
        <item x="235"/>
        <item x="352"/>
        <item x="119"/>
        <item x="421"/>
        <item x="248"/>
        <item x="152"/>
        <item x="392"/>
        <item x="50"/>
        <item x="426"/>
        <item x="334"/>
        <item x="313"/>
        <item x="192"/>
        <item x="154"/>
        <item x="244"/>
        <item x="200"/>
        <item x="136"/>
        <item x="179"/>
        <item x="120"/>
        <item x="191"/>
        <item x="272"/>
        <item x="241"/>
        <item x="51"/>
        <item x="161"/>
        <item x="176"/>
        <item x="298"/>
        <item x="57"/>
        <item x="108"/>
        <item x="428"/>
        <item x="376"/>
        <item x="215"/>
        <item x="104"/>
        <item x="182"/>
        <item x="12"/>
        <item x="102"/>
        <item x="261"/>
        <item x="269"/>
        <item x="121"/>
        <item x="54"/>
        <item x="420"/>
        <item x="236"/>
        <item x="19"/>
        <item x="344"/>
        <item x="367"/>
        <item x="146"/>
        <item x="239"/>
        <item x="407"/>
        <item x="353"/>
        <item x="323"/>
        <item x="180"/>
        <item x="107"/>
        <item x="38"/>
        <item x="440"/>
        <item x="73"/>
        <item x="37"/>
        <item x="198"/>
        <item x="216"/>
        <item x="234"/>
        <item x="398"/>
        <item x="7"/>
        <item x="196"/>
        <item x="55"/>
        <item x="90"/>
        <item x="312"/>
        <item x="205"/>
        <item x="118"/>
        <item x="11"/>
        <item x="259"/>
        <item x="333"/>
        <item x="366"/>
        <item x="29"/>
        <item x="84"/>
        <item x="156"/>
        <item x="322"/>
        <item x="289"/>
        <item x="283"/>
        <item x="212"/>
        <item x="178"/>
        <item x="88"/>
        <item x="43"/>
        <item x="342"/>
        <item x="117"/>
        <item x="370"/>
        <item x="124"/>
        <item x="9"/>
        <item x="100"/>
        <item x="348"/>
        <item x="271"/>
        <item x="343"/>
        <item x="325"/>
        <item x="314"/>
        <item x="85"/>
        <item x="183"/>
        <item x="53"/>
        <item x="297"/>
        <item x="70"/>
        <item x="206"/>
        <item x="331"/>
        <item x="72"/>
        <item x="28"/>
        <item x="286"/>
        <item x="165"/>
        <item x="194"/>
        <item x="385"/>
        <item x="329"/>
        <item x="397"/>
        <item x="296"/>
        <item x="402"/>
        <item x="245"/>
        <item x="45"/>
        <item x="27"/>
        <item x="260"/>
        <item x="204"/>
        <item x="87"/>
        <item x="214"/>
        <item x="350"/>
        <item x="330"/>
        <item x="360"/>
        <item x="242"/>
        <item x="172"/>
        <item x="368"/>
        <item x="63"/>
        <item x="83"/>
        <item x="167"/>
        <item x="202"/>
        <item x="341"/>
        <item x="153"/>
        <item x="303"/>
        <item x="247"/>
        <item x="290"/>
        <item x="46"/>
        <item x="425"/>
        <item x="188"/>
        <item x="306"/>
        <item x="150"/>
        <item x="31"/>
        <item x="422"/>
        <item x="358"/>
        <item x="68"/>
        <item x="268"/>
        <item x="148"/>
        <item x="174"/>
        <item x="187"/>
        <item x="447"/>
        <item x="356"/>
        <item x="411"/>
        <item x="48"/>
        <item x="377"/>
        <item x="381"/>
        <item x="391"/>
        <item x="257"/>
        <item x="103"/>
        <item x="26"/>
        <item x="359"/>
        <item x="135"/>
        <item x="415"/>
        <item x="8"/>
        <item x="454"/>
        <item x="267"/>
        <item x="288"/>
        <item x="246"/>
        <item x="427"/>
        <item x="224"/>
        <item x="419"/>
        <item x="258"/>
        <item x="203"/>
        <item x="340"/>
        <item x="21"/>
        <item x="5"/>
        <item x="213"/>
        <item x="82"/>
        <item x="390"/>
        <item x="311"/>
        <item x="406"/>
        <item x="243"/>
        <item x="77"/>
        <item x="347"/>
        <item x="6"/>
        <item x="443"/>
        <item x="276"/>
        <item x="175"/>
        <item x="81"/>
        <item x="49"/>
        <item x="164"/>
        <item x="396"/>
        <item x="339"/>
        <item x="256"/>
        <item x="310"/>
        <item x="305"/>
        <item x="47"/>
        <item x="277"/>
        <item x="131"/>
        <item x="254"/>
        <item x="384"/>
        <item x="304"/>
        <item x="233"/>
        <item x="25"/>
        <item x="98"/>
        <item x="80"/>
        <item x="99"/>
        <item x="279"/>
        <item x="308"/>
        <item x="405"/>
        <item x="159"/>
        <item x="293"/>
        <item x="3"/>
        <item x="389"/>
        <item x="24"/>
        <item x="111"/>
        <item x="444"/>
        <item x="97"/>
        <item x="448"/>
        <item x="365"/>
        <item x="255"/>
        <item x="4"/>
        <item x="278"/>
        <item x="452"/>
        <item x="129"/>
        <item x="62"/>
        <item x="173"/>
        <item x="133"/>
        <item x="357"/>
        <item x="208"/>
        <item x="287"/>
        <item x="430"/>
        <item x="295"/>
        <item x="143"/>
        <item x="275"/>
        <item x="132"/>
        <item x="186"/>
        <item x="414"/>
        <item x="147"/>
        <item x="158"/>
        <item x="95"/>
        <item x="128"/>
        <item x="349"/>
        <item x="44"/>
        <item x="446"/>
        <item x="382"/>
        <item x="302"/>
        <item x="321"/>
        <item x="189"/>
        <item x="42"/>
        <item x="364"/>
        <item x="116"/>
        <item x="79"/>
        <item x="432"/>
        <item x="309"/>
        <item x="232"/>
        <item x="2"/>
        <item x="144"/>
        <item x="383"/>
        <item x="363"/>
        <item x="294"/>
        <item x="438"/>
        <item x="211"/>
        <item x="328"/>
        <item x="145"/>
        <item x="337"/>
        <item x="115"/>
        <item x="410"/>
        <item x="23"/>
        <item x="1"/>
        <item x="395"/>
        <item x="404"/>
        <item x="373"/>
        <item x="431"/>
        <item x="96"/>
        <item x="338"/>
        <item x="231"/>
        <item x="285"/>
        <item x="59"/>
        <item x="209"/>
        <item x="113"/>
        <item x="336"/>
        <item x="266"/>
        <item x="78"/>
        <item x="318"/>
        <item x="22"/>
        <item x="450"/>
        <item x="442"/>
        <item x="61"/>
        <item x="319"/>
        <item x="380"/>
        <item x="429"/>
        <item x="210"/>
        <item x="374"/>
        <item x="160"/>
        <item x="230"/>
        <item x="456"/>
        <item x="394"/>
        <item x="284"/>
        <item x="250"/>
        <item x="413"/>
        <item x="316"/>
        <item x="441"/>
        <item x="130"/>
        <item x="41"/>
        <item x="251"/>
        <item x="222"/>
        <item x="171"/>
        <item x="400"/>
        <item x="253"/>
        <item x="265"/>
        <item x="451"/>
        <item x="201"/>
        <item x="437"/>
        <item x="273"/>
        <item x="112"/>
        <item x="388"/>
        <item x="264"/>
        <item x="252"/>
        <item x="220"/>
        <item x="393"/>
        <item x="424"/>
        <item x="455"/>
        <item x="185"/>
        <item x="401"/>
        <item x="274"/>
        <item x="221"/>
        <item x="355"/>
        <item x="184"/>
        <item x="379"/>
        <item x="76"/>
        <item x="199"/>
        <item x="0"/>
        <item x="229"/>
        <item x="40"/>
        <item x="228"/>
        <item x="292"/>
        <item x="20"/>
        <item x="240"/>
        <item x="327"/>
        <item x="301"/>
        <item x="346"/>
        <item x="418"/>
        <item x="449"/>
        <item x="207"/>
        <item x="372"/>
        <item x="445"/>
        <item x="94"/>
        <item x="60"/>
        <item x="110"/>
        <item x="127"/>
        <item x="317"/>
        <item x="170"/>
        <item x="219"/>
        <item x="354"/>
        <item x="142"/>
        <item x="399"/>
        <item x="157"/>
        <item x="345"/>
        <item x="436"/>
        <item x="326"/>
        <item x="423"/>
        <item x="362"/>
        <item x="335"/>
        <item x="403"/>
        <item x="435"/>
        <item x="387"/>
        <item x="412"/>
        <item x="409"/>
      </items>
    </pivotField>
    <pivotField dataField="1" showAll="0" defaultSubtotal="0">
      <items count="136">
        <item x="123"/>
        <item x="121"/>
        <item x="71"/>
        <item x="120"/>
        <item x="57"/>
        <item x="58"/>
        <item x="116"/>
        <item x="42"/>
        <item x="109"/>
        <item x="72"/>
        <item x="107"/>
        <item x="115"/>
        <item x="105"/>
        <item x="23"/>
        <item x="52"/>
        <item x="59"/>
        <item x="47"/>
        <item x="45"/>
        <item x="122"/>
        <item x="73"/>
        <item x="127"/>
        <item x="63"/>
        <item x="76"/>
        <item x="31"/>
        <item x="118"/>
        <item x="40"/>
        <item x="65"/>
        <item x="117"/>
        <item x="74"/>
        <item x="68"/>
        <item x="56"/>
        <item x="112"/>
        <item x="70"/>
        <item x="54"/>
        <item x="104"/>
        <item x="119"/>
        <item x="114"/>
        <item x="126"/>
        <item x="113"/>
        <item x="22"/>
        <item x="101"/>
        <item x="84"/>
        <item x="46"/>
        <item x="111"/>
        <item x="69"/>
        <item x="25"/>
        <item x="75"/>
        <item x="130"/>
        <item x="37"/>
        <item x="60"/>
        <item x="41"/>
        <item x="81"/>
        <item x="44"/>
        <item x="66"/>
        <item x="90"/>
        <item x="67"/>
        <item x="78"/>
        <item x="80"/>
        <item x="129"/>
        <item x="79"/>
        <item x="64"/>
        <item x="39"/>
        <item x="110"/>
        <item x="128"/>
        <item x="50"/>
        <item x="102"/>
        <item x="43"/>
        <item x="135"/>
        <item x="77"/>
        <item x="108"/>
        <item x="134"/>
        <item x="87"/>
        <item x="26"/>
        <item x="106"/>
        <item x="53"/>
        <item x="51"/>
        <item x="125"/>
        <item x="24"/>
        <item x="49"/>
        <item x="62"/>
        <item x="85"/>
        <item x="103"/>
        <item x="61"/>
        <item x="97"/>
        <item x="82"/>
        <item x="133"/>
        <item x="27"/>
        <item x="2"/>
        <item x="86"/>
        <item x="131"/>
        <item x="28"/>
        <item x="132"/>
        <item x="48"/>
        <item x="124"/>
        <item x="20"/>
        <item x="29"/>
        <item x="55"/>
        <item x="98"/>
        <item x="8"/>
        <item x="92"/>
        <item x="36"/>
        <item x="35"/>
        <item x="32"/>
        <item x="100"/>
        <item x="33"/>
        <item x="96"/>
        <item x="38"/>
        <item x="4"/>
        <item x="99"/>
        <item x="88"/>
        <item x="34"/>
        <item x="95"/>
        <item x="93"/>
        <item x="94"/>
        <item x="6"/>
        <item x="91"/>
        <item x="30"/>
        <item x="89"/>
        <item x="19"/>
        <item x="21"/>
        <item x="5"/>
        <item x="3"/>
        <item x="83"/>
        <item x="0"/>
        <item x="9"/>
        <item x="18"/>
        <item x="11"/>
        <item x="12"/>
        <item x="17"/>
        <item x="7"/>
        <item x="15"/>
        <item x="14"/>
        <item x="16"/>
        <item x="13"/>
        <item x="10"/>
        <item x="1"/>
      </items>
    </pivotField>
    <pivotField dataField="1" showAll="0" defaultSubtotal="0">
      <items count="348">
        <item x="164"/>
        <item x="65"/>
        <item x="149"/>
        <item x="207"/>
        <item x="48"/>
        <item x="23"/>
        <item x="136"/>
        <item x="49"/>
        <item x="39"/>
        <item x="73"/>
        <item x="274"/>
        <item x="186"/>
        <item x="330"/>
        <item x="193"/>
        <item x="2"/>
        <item x="30"/>
        <item x="261"/>
        <item x="241"/>
        <item x="176"/>
        <item x="281"/>
        <item x="104"/>
        <item x="126"/>
        <item x="250"/>
        <item x="157"/>
        <item x="8"/>
        <item x="66"/>
        <item x="237"/>
        <item x="44"/>
        <item x="81"/>
        <item x="130"/>
        <item x="258"/>
        <item x="108"/>
        <item x="22"/>
        <item x="95"/>
        <item x="202"/>
        <item x="40"/>
        <item x="119"/>
        <item x="4"/>
        <item x="25"/>
        <item x="287"/>
        <item x="50"/>
        <item x="35"/>
        <item x="168"/>
        <item x="59"/>
        <item x="67"/>
        <item x="120"/>
        <item x="227"/>
        <item x="54"/>
        <item x="6"/>
        <item x="146"/>
        <item x="276"/>
        <item x="110"/>
        <item x="74"/>
        <item x="252"/>
        <item x="209"/>
        <item x="38"/>
        <item x="332"/>
        <item x="324"/>
        <item x="138"/>
        <item x="56"/>
        <item x="83"/>
        <item x="184"/>
        <item x="121"/>
        <item x="68"/>
        <item x="212"/>
        <item x="97"/>
        <item x="217"/>
        <item x="148"/>
        <item x="172"/>
        <item x="19"/>
        <item x="109"/>
        <item x="26"/>
        <item x="223"/>
        <item x="71"/>
        <item x="101"/>
        <item x="5"/>
        <item x="297"/>
        <item x="142"/>
        <item x="173"/>
        <item x="242"/>
        <item x="268"/>
        <item x="24"/>
        <item x="152"/>
        <item x="89"/>
        <item x="60"/>
        <item x="288"/>
        <item x="3"/>
        <item x="47"/>
        <item x="94"/>
        <item x="82"/>
        <item x="216"/>
        <item x="156"/>
        <item x="199"/>
        <item x="100"/>
        <item x="69"/>
        <item x="41"/>
        <item x="27"/>
        <item x="151"/>
        <item x="96"/>
        <item x="312"/>
        <item x="244"/>
        <item x="205"/>
        <item x="134"/>
        <item x="256"/>
        <item x="270"/>
        <item x="92"/>
        <item x="266"/>
        <item x="63"/>
        <item x="0"/>
        <item x="117"/>
        <item x="170"/>
        <item x="102"/>
        <item x="229"/>
        <item x="165"/>
        <item x="195"/>
        <item x="20"/>
        <item x="236"/>
        <item x="249"/>
        <item x="211"/>
        <item x="9"/>
        <item x="90"/>
        <item x="277"/>
        <item x="18"/>
        <item x="183"/>
        <item x="11"/>
        <item x="62"/>
        <item x="28"/>
        <item x="141"/>
        <item x="228"/>
        <item x="190"/>
        <item x="78"/>
        <item x="179"/>
        <item x="116"/>
        <item x="245"/>
        <item x="215"/>
        <item x="325"/>
        <item x="112"/>
        <item x="206"/>
        <item x="224"/>
        <item x="294"/>
        <item x="235"/>
        <item x="51"/>
        <item x="37"/>
        <item x="337"/>
        <item x="34"/>
        <item x="98"/>
        <item x="113"/>
        <item x="231"/>
        <item x="200"/>
        <item x="12"/>
        <item x="218"/>
        <item x="347"/>
        <item x="70"/>
        <item x="17"/>
        <item x="31"/>
        <item x="57"/>
        <item x="220"/>
        <item x="263"/>
        <item x="230"/>
        <item x="147"/>
        <item x="315"/>
        <item x="58"/>
        <item x="85"/>
        <item x="125"/>
        <item x="187"/>
        <item x="115"/>
        <item x="128"/>
        <item x="171"/>
        <item x="259"/>
        <item x="160"/>
        <item x="105"/>
        <item x="167"/>
        <item x="7"/>
        <item x="103"/>
        <item x="137"/>
        <item x="322"/>
        <item x="79"/>
        <item x="32"/>
        <item x="155"/>
        <item x="114"/>
        <item x="45"/>
        <item x="61"/>
        <item x="88"/>
        <item x="87"/>
        <item x="36"/>
        <item x="140"/>
        <item x="15"/>
        <item x="14"/>
        <item x="272"/>
        <item x="329"/>
        <item x="232"/>
        <item x="75"/>
        <item x="196"/>
        <item x="135"/>
        <item x="124"/>
        <item x="77"/>
        <item x="311"/>
        <item x="246"/>
        <item x="162"/>
        <item x="283"/>
        <item x="43"/>
        <item x="33"/>
        <item x="99"/>
        <item x="16"/>
        <item x="234"/>
        <item x="76"/>
        <item x="222"/>
        <item x="131"/>
        <item x="86"/>
        <item x="154"/>
        <item x="123"/>
        <item x="247"/>
        <item x="257"/>
        <item x="254"/>
        <item x="204"/>
        <item x="238"/>
        <item x="208"/>
        <item x="194"/>
        <item x="189"/>
        <item x="278"/>
        <item x="180"/>
        <item x="253"/>
        <item x="262"/>
        <item x="122"/>
        <item x="210"/>
        <item x="139"/>
        <item x="331"/>
        <item x="13"/>
        <item x="188"/>
        <item x="53"/>
        <item x="132"/>
        <item x="181"/>
        <item x="265"/>
        <item x="213"/>
        <item x="198"/>
        <item x="333"/>
        <item x="133"/>
        <item x="72"/>
        <item x="144"/>
        <item x="29"/>
        <item x="302"/>
        <item x="221"/>
        <item x="226"/>
        <item x="243"/>
        <item x="255"/>
        <item x="286"/>
        <item x="344"/>
        <item x="169"/>
        <item x="161"/>
        <item x="55"/>
        <item x="10"/>
        <item x="273"/>
        <item x="64"/>
        <item x="293"/>
        <item x="326"/>
        <item x="52"/>
        <item x="177"/>
        <item x="42"/>
        <item x="285"/>
        <item x="107"/>
        <item x="275"/>
        <item x="306"/>
        <item x="84"/>
        <item x="129"/>
        <item x="153"/>
        <item x="111"/>
        <item x="192"/>
        <item x="336"/>
        <item x="338"/>
        <item x="203"/>
        <item x="260"/>
        <item x="175"/>
        <item x="239"/>
        <item x="143"/>
        <item x="299"/>
        <item x="321"/>
        <item x="282"/>
        <item x="296"/>
        <item x="308"/>
        <item x="328"/>
        <item x="201"/>
        <item x="163"/>
        <item x="267"/>
        <item x="214"/>
        <item x="106"/>
        <item x="320"/>
        <item x="219"/>
        <item x="1"/>
        <item x="145"/>
        <item x="240"/>
        <item x="335"/>
        <item x="290"/>
        <item x="21"/>
        <item x="225"/>
        <item x="327"/>
        <item x="298"/>
        <item x="150"/>
        <item x="323"/>
        <item x="197"/>
        <item x="178"/>
        <item x="343"/>
        <item x="166"/>
        <item x="269"/>
        <item x="159"/>
        <item x="304"/>
        <item x="127"/>
        <item x="291"/>
        <item x="185"/>
        <item x="80"/>
        <item x="233"/>
        <item x="314"/>
        <item x="300"/>
        <item x="251"/>
        <item x="318"/>
        <item x="93"/>
        <item x="307"/>
        <item x="317"/>
        <item x="346"/>
        <item x="46"/>
        <item x="191"/>
        <item x="118"/>
        <item x="284"/>
        <item x="248"/>
        <item x="305"/>
        <item x="91"/>
        <item x="182"/>
        <item x="279"/>
        <item x="313"/>
        <item x="295"/>
        <item x="309"/>
        <item x="271"/>
        <item x="292"/>
        <item x="289"/>
        <item x="174"/>
        <item x="301"/>
        <item x="342"/>
        <item x="264"/>
        <item x="334"/>
        <item x="310"/>
        <item x="345"/>
        <item x="319"/>
        <item x="316"/>
        <item x="303"/>
        <item x="340"/>
        <item x="280"/>
        <item x="341"/>
        <item x="158"/>
        <item x="339"/>
      </items>
    </pivotField>
    <pivotField dataField="1" showAll="0" defaultSubtotal="0">
      <items count="7">
        <item x="2"/>
        <item x="1"/>
        <item x="0"/>
        <item x="6"/>
        <item x="3"/>
        <item x="4"/>
        <item x="5"/>
      </items>
    </pivotField>
  </pivotFields>
  <rowFields count="3">
    <field x="2"/>
    <field x="6"/>
    <field x="5"/>
  </rowFields>
  <rowItems count="1053">
    <i>
      <x/>
    </i>
    <i r="1">
      <x/>
      <x v="60"/>
    </i>
    <i r="1">
      <x v="1"/>
      <x v="42"/>
    </i>
    <i r="1">
      <x v="2"/>
      <x v="59"/>
    </i>
    <i r="1">
      <x v="3"/>
      <x v="51"/>
    </i>
    <i r="1">
      <x v="4"/>
      <x v="53"/>
    </i>
    <i r="1">
      <x v="5"/>
      <x v="64"/>
    </i>
    <i r="1">
      <x v="6"/>
      <x v="66"/>
    </i>
    <i r="1">
      <x v="7"/>
      <x v="33"/>
    </i>
    <i r="1">
      <x v="8"/>
      <x v="54"/>
    </i>
    <i r="1">
      <x v="9"/>
      <x v="32"/>
    </i>
    <i r="1">
      <x v="10"/>
      <x/>
    </i>
    <i r="1">
      <x v="11"/>
      <x v="38"/>
    </i>
    <i r="1">
      <x v="12"/>
      <x v="2"/>
    </i>
    <i r="1">
      <x v="13"/>
      <x v="41"/>
    </i>
    <i r="1">
      <x v="14"/>
      <x v="11"/>
    </i>
    <i r="1">
      <x v="15"/>
      <x v="12"/>
    </i>
    <i r="1">
      <x v="16"/>
      <x v="1"/>
    </i>
    <i r="1">
      <x v="17"/>
      <x v="35"/>
    </i>
    <i r="1">
      <x v="18"/>
      <x v="46"/>
    </i>
    <i r="1">
      <x v="19"/>
      <x v="69"/>
    </i>
    <i t="blank">
      <x/>
    </i>
    <i>
      <x v="1"/>
    </i>
    <i r="1">
      <x/>
      <x v="60"/>
    </i>
    <i r="1">
      <x v="1"/>
      <x v="42"/>
    </i>
    <i r="1">
      <x v="2"/>
      <x v="53"/>
    </i>
    <i r="1">
      <x v="3"/>
      <x v="59"/>
    </i>
    <i r="1">
      <x v="4"/>
      <x v="51"/>
    </i>
    <i r="1">
      <x v="5"/>
      <x v="66"/>
    </i>
    <i r="1">
      <x v="6"/>
      <x v="64"/>
    </i>
    <i r="1">
      <x v="7"/>
      <x v="32"/>
    </i>
    <i r="1">
      <x v="8"/>
      <x v="38"/>
    </i>
    <i r="1">
      <x v="9"/>
      <x v="33"/>
    </i>
    <i r="1">
      <x v="10"/>
      <x v="41"/>
    </i>
    <i r="1">
      <x v="11"/>
      <x v="54"/>
    </i>
    <i r="1">
      <x v="12"/>
      <x v="46"/>
    </i>
    <i r="1">
      <x v="13"/>
      <x v="12"/>
    </i>
    <i r="1">
      <x v="14"/>
      <x v="1"/>
    </i>
    <i r="1">
      <x v="15"/>
      <x v="35"/>
    </i>
    <i r="1">
      <x v="16"/>
      <x v="11"/>
    </i>
    <i r="1">
      <x v="17"/>
      <x v="31"/>
    </i>
    <i r="2">
      <x v="69"/>
    </i>
    <i r="1">
      <x v="19"/>
      <x/>
    </i>
    <i t="blank">
      <x v="1"/>
    </i>
    <i>
      <x v="2"/>
    </i>
    <i r="1">
      <x/>
      <x v="60"/>
    </i>
    <i r="1">
      <x v="1"/>
      <x v="53"/>
    </i>
    <i r="1">
      <x v="2"/>
      <x v="51"/>
    </i>
    <i r="1">
      <x v="3"/>
      <x v="42"/>
    </i>
    <i r="1">
      <x v="4"/>
      <x v="59"/>
    </i>
    <i r="1">
      <x v="5"/>
      <x v="38"/>
    </i>
    <i r="1">
      <x v="6"/>
      <x v="32"/>
    </i>
    <i r="1">
      <x v="7"/>
      <x v="54"/>
    </i>
    <i r="1">
      <x v="8"/>
      <x v="64"/>
    </i>
    <i r="1">
      <x v="9"/>
      <x v="66"/>
    </i>
    <i r="1">
      <x v="10"/>
      <x v="41"/>
    </i>
    <i r="1">
      <x v="11"/>
      <x v="46"/>
    </i>
    <i r="1">
      <x v="12"/>
      <x v="28"/>
    </i>
    <i r="1">
      <x v="13"/>
      <x v="35"/>
    </i>
    <i r="1">
      <x v="14"/>
      <x v="55"/>
    </i>
    <i r="1">
      <x v="15"/>
      <x v="33"/>
    </i>
    <i r="1">
      <x v="16"/>
      <x v="31"/>
    </i>
    <i r="1">
      <x v="17"/>
      <x v="1"/>
    </i>
    <i r="2">
      <x v="58"/>
    </i>
    <i r="1">
      <x v="19"/>
      <x v="40"/>
    </i>
    <i t="blank">
      <x v="2"/>
    </i>
    <i>
      <x v="3"/>
    </i>
    <i r="1">
      <x/>
      <x v="42"/>
    </i>
    <i r="1">
      <x v="1"/>
      <x v="60"/>
    </i>
    <i r="1">
      <x v="2"/>
      <x v="59"/>
    </i>
    <i r="1">
      <x v="3"/>
      <x v="53"/>
    </i>
    <i r="1">
      <x v="4"/>
      <x v="66"/>
    </i>
    <i r="1">
      <x v="5"/>
      <x v="33"/>
    </i>
    <i r="1">
      <x v="6"/>
      <x v="41"/>
    </i>
    <i r="1">
      <x v="7"/>
      <x v="12"/>
    </i>
    <i r="2">
      <x v="51"/>
    </i>
    <i r="1">
      <x v="9"/>
      <x v="25"/>
    </i>
    <i r="1">
      <x v="10"/>
      <x v="1"/>
    </i>
    <i r="2">
      <x v="64"/>
    </i>
    <i r="1">
      <x v="12"/>
      <x v="11"/>
    </i>
    <i r="1">
      <x v="13"/>
      <x v="38"/>
    </i>
    <i r="1">
      <x v="14"/>
      <x v="46"/>
    </i>
    <i r="1">
      <x v="15"/>
      <x v="40"/>
    </i>
    <i r="1">
      <x v="16"/>
      <x v="69"/>
    </i>
    <i r="1">
      <x v="17"/>
      <x v="17"/>
    </i>
    <i r="1">
      <x v="18"/>
      <x v="27"/>
    </i>
    <i r="1">
      <x v="19"/>
      <x v="35"/>
    </i>
    <i t="blank">
      <x v="3"/>
    </i>
    <i>
      <x v="4"/>
    </i>
    <i r="1">
      <x/>
      <x v="60"/>
    </i>
    <i r="1">
      <x v="1"/>
      <x v="42"/>
    </i>
    <i r="2">
      <x v="59"/>
    </i>
    <i r="1">
      <x v="3"/>
      <x v="53"/>
    </i>
    <i r="1">
      <x v="4"/>
      <x v="66"/>
    </i>
    <i r="1">
      <x v="5"/>
      <x v="51"/>
    </i>
    <i r="1">
      <x v="6"/>
      <x v="64"/>
    </i>
    <i r="1">
      <x v="7"/>
      <x v="32"/>
    </i>
    <i r="1">
      <x v="8"/>
      <x v="33"/>
    </i>
    <i r="1">
      <x v="9"/>
      <x v="38"/>
    </i>
    <i r="1">
      <x v="10"/>
      <x v="12"/>
    </i>
    <i r="1">
      <x v="11"/>
      <x v="54"/>
    </i>
    <i r="1">
      <x v="12"/>
      <x v="69"/>
    </i>
    <i r="1">
      <x v="13"/>
      <x v="8"/>
    </i>
    <i r="2">
      <x v="11"/>
    </i>
    <i r="1">
      <x v="15"/>
      <x v="31"/>
    </i>
    <i r="1">
      <x v="16"/>
      <x/>
    </i>
    <i r="1">
      <x v="17"/>
      <x v="1"/>
    </i>
    <i r="1">
      <x v="18"/>
      <x v="2"/>
    </i>
    <i r="2">
      <x v="41"/>
    </i>
    <i t="blank">
      <x v="4"/>
    </i>
    <i>
      <x v="5"/>
    </i>
    <i r="1">
      <x/>
      <x v="60"/>
    </i>
    <i r="1">
      <x v="1"/>
      <x v="42"/>
    </i>
    <i r="1">
      <x v="2"/>
      <x v="59"/>
    </i>
    <i r="1">
      <x v="3"/>
      <x v="64"/>
    </i>
    <i r="1">
      <x v="4"/>
      <x v="51"/>
    </i>
    <i r="1">
      <x v="5"/>
      <x v="66"/>
    </i>
    <i r="1">
      <x v="6"/>
      <x v="33"/>
    </i>
    <i r="1">
      <x v="7"/>
      <x v="41"/>
    </i>
    <i r="1">
      <x v="8"/>
      <x v="54"/>
    </i>
    <i r="1">
      <x v="9"/>
      <x v="2"/>
    </i>
    <i r="1">
      <x v="10"/>
      <x v="53"/>
    </i>
    <i r="1">
      <x v="11"/>
      <x v="11"/>
    </i>
    <i r="1">
      <x v="12"/>
      <x v="38"/>
    </i>
    <i r="1">
      <x v="13"/>
      <x v="12"/>
    </i>
    <i r="1">
      <x v="14"/>
      <x/>
    </i>
    <i r="1">
      <x v="15"/>
      <x v="1"/>
    </i>
    <i r="2">
      <x v="32"/>
    </i>
    <i r="1">
      <x v="17"/>
      <x v="21"/>
    </i>
    <i r="1">
      <x v="18"/>
      <x v="69"/>
    </i>
    <i r="1">
      <x v="19"/>
      <x v="35"/>
    </i>
    <i t="blank">
      <x v="5"/>
    </i>
    <i>
      <x v="6"/>
    </i>
    <i r="1">
      <x/>
      <x v="60"/>
    </i>
    <i r="1">
      <x v="1"/>
      <x v="42"/>
    </i>
    <i r="1">
      <x v="2"/>
      <x v="54"/>
    </i>
    <i r="1">
      <x v="3"/>
      <x v="51"/>
    </i>
    <i r="1">
      <x v="4"/>
      <x v="41"/>
    </i>
    <i r="1">
      <x v="5"/>
      <x v="53"/>
    </i>
    <i r="1">
      <x v="6"/>
      <x v="59"/>
    </i>
    <i r="1">
      <x v="7"/>
      <x v="64"/>
    </i>
    <i r="1">
      <x v="8"/>
      <x v="66"/>
    </i>
    <i r="1">
      <x v="9"/>
      <x v="38"/>
    </i>
    <i r="1">
      <x v="10"/>
      <x v="40"/>
    </i>
    <i r="1">
      <x v="11"/>
      <x v="32"/>
    </i>
    <i r="1">
      <x v="12"/>
      <x v="46"/>
    </i>
    <i r="1">
      <x v="13"/>
      <x v="43"/>
    </i>
    <i r="1">
      <x v="14"/>
      <x v="58"/>
    </i>
    <i r="1">
      <x v="15"/>
      <x v="35"/>
    </i>
    <i r="1">
      <x v="16"/>
      <x v="25"/>
    </i>
    <i r="2">
      <x v="45"/>
    </i>
    <i r="1">
      <x v="18"/>
      <x v="44"/>
    </i>
    <i r="1">
      <x v="19"/>
      <x v="28"/>
    </i>
    <i t="blank">
      <x v="6"/>
    </i>
    <i>
      <x v="7"/>
    </i>
    <i r="1">
      <x/>
      <x v="60"/>
    </i>
    <i r="1">
      <x v="1"/>
      <x v="42"/>
    </i>
    <i r="1">
      <x v="2"/>
      <x v="33"/>
    </i>
    <i r="1">
      <x v="3"/>
      <x v="59"/>
    </i>
    <i r="1">
      <x v="4"/>
      <x v="69"/>
    </i>
    <i r="1">
      <x v="5"/>
      <x v="51"/>
    </i>
    <i r="1">
      <x v="6"/>
      <x v="64"/>
    </i>
    <i r="1">
      <x v="7"/>
      <x v="41"/>
    </i>
    <i r="1">
      <x v="8"/>
      <x v="66"/>
    </i>
    <i r="1">
      <x v="9"/>
      <x/>
    </i>
    <i r="1">
      <x v="10"/>
      <x v="21"/>
    </i>
    <i r="1">
      <x v="11"/>
      <x v="2"/>
    </i>
    <i r="1">
      <x v="12"/>
      <x v="11"/>
    </i>
    <i r="1">
      <x v="13"/>
      <x v="12"/>
    </i>
    <i r="1">
      <x v="14"/>
      <x v="3"/>
    </i>
    <i r="2">
      <x v="25"/>
    </i>
    <i r="1">
      <x v="16"/>
      <x v="10"/>
    </i>
    <i r="2">
      <x v="35"/>
    </i>
    <i r="1">
      <x v="18"/>
      <x v="46"/>
    </i>
    <i r="1">
      <x v="19"/>
      <x v="1"/>
    </i>
    <i t="blank">
      <x v="7"/>
    </i>
    <i>
      <x v="8"/>
    </i>
    <i r="1">
      <x/>
      <x v="60"/>
    </i>
    <i r="1">
      <x v="1"/>
      <x v="42"/>
    </i>
    <i r="1">
      <x v="2"/>
      <x v="66"/>
    </i>
    <i r="1">
      <x v="3"/>
      <x v="64"/>
    </i>
    <i r="1">
      <x v="4"/>
      <x v="2"/>
    </i>
    <i r="2">
      <x v="33"/>
    </i>
    <i r="2">
      <x v="59"/>
    </i>
    <i r="1">
      <x v="7"/>
      <x v="32"/>
    </i>
    <i r="1">
      <x v="8"/>
      <x v="11"/>
    </i>
    <i r="1">
      <x v="9"/>
      <x v="51"/>
    </i>
    <i r="1">
      <x v="10"/>
      <x/>
    </i>
    <i r="1">
      <x v="11"/>
      <x v="21"/>
    </i>
    <i r="1">
      <x v="12"/>
      <x v="53"/>
    </i>
    <i r="1">
      <x v="13"/>
      <x v="8"/>
    </i>
    <i r="2">
      <x v="12"/>
    </i>
    <i r="1">
      <x v="15"/>
      <x v="41"/>
    </i>
    <i r="1">
      <x v="16"/>
      <x v="19"/>
    </i>
    <i r="1">
      <x v="17"/>
      <x v="1"/>
    </i>
    <i r="1">
      <x v="18"/>
      <x v="38"/>
    </i>
    <i r="1">
      <x v="19"/>
      <x v="31"/>
    </i>
    <i r="2">
      <x v="58"/>
    </i>
    <i t="blank">
      <x v="8"/>
    </i>
    <i>
      <x v="9"/>
    </i>
    <i r="1">
      <x/>
      <x v="60"/>
    </i>
    <i r="1">
      <x v="1"/>
      <x v="42"/>
    </i>
    <i r="1">
      <x v="2"/>
      <x v="33"/>
    </i>
    <i r="1">
      <x v="3"/>
      <x v="59"/>
    </i>
    <i r="1">
      <x v="4"/>
      <x v="11"/>
    </i>
    <i r="1">
      <x v="5"/>
      <x v="21"/>
    </i>
    <i r="1">
      <x v="6"/>
      <x v="64"/>
    </i>
    <i r="1">
      <x v="7"/>
      <x v="2"/>
    </i>
    <i r="1">
      <x v="8"/>
      <x v="19"/>
    </i>
    <i r="1">
      <x v="9"/>
      <x v="1"/>
    </i>
    <i r="1">
      <x v="10"/>
      <x v="66"/>
    </i>
    <i r="1">
      <x v="11"/>
      <x v="69"/>
    </i>
    <i r="1">
      <x v="12"/>
      <x v="12"/>
    </i>
    <i r="1">
      <x v="13"/>
      <x v="41"/>
    </i>
    <i r="1">
      <x v="14"/>
      <x v="51"/>
    </i>
    <i r="1">
      <x v="15"/>
      <x v="10"/>
    </i>
    <i r="2">
      <x v="63"/>
    </i>
    <i r="1">
      <x v="17"/>
      <x/>
    </i>
    <i r="1">
      <x v="18"/>
      <x v="35"/>
    </i>
    <i r="1">
      <x v="19"/>
      <x v="18"/>
    </i>
    <i t="blank">
      <x v="9"/>
    </i>
    <i>
      <x v="10"/>
    </i>
    <i r="1">
      <x/>
      <x v="60"/>
    </i>
    <i r="1">
      <x v="1"/>
      <x v="59"/>
    </i>
    <i r="1">
      <x v="2"/>
      <x v="42"/>
    </i>
    <i r="1">
      <x v="3"/>
      <x v="2"/>
    </i>
    <i r="1">
      <x v="4"/>
      <x v="33"/>
    </i>
    <i r="1">
      <x v="5"/>
      <x v="66"/>
    </i>
    <i r="1">
      <x v="6"/>
      <x v="51"/>
    </i>
    <i r="2">
      <x v="64"/>
    </i>
    <i r="1">
      <x v="8"/>
      <x v="11"/>
    </i>
    <i r="2">
      <x v="12"/>
    </i>
    <i r="1">
      <x v="10"/>
      <x/>
    </i>
    <i r="1">
      <x v="11"/>
      <x v="38"/>
    </i>
    <i r="1">
      <x v="12"/>
      <x v="1"/>
    </i>
    <i r="2">
      <x v="35"/>
    </i>
    <i r="1">
      <x v="14"/>
      <x v="32"/>
    </i>
    <i r="2">
      <x v="58"/>
    </i>
    <i r="1">
      <x v="16"/>
      <x v="69"/>
    </i>
    <i r="1">
      <x v="17"/>
      <x v="5"/>
    </i>
    <i r="1">
      <x v="18"/>
      <x v="31"/>
    </i>
    <i r="2">
      <x v="34"/>
    </i>
    <i r="2">
      <x v="55"/>
    </i>
    <i t="blank">
      <x v="10"/>
    </i>
    <i>
      <x v="11"/>
    </i>
    <i r="1">
      <x/>
      <x v="42"/>
    </i>
    <i r="1">
      <x v="1"/>
      <x v="60"/>
    </i>
    <i r="1">
      <x v="2"/>
      <x v="64"/>
    </i>
    <i r="1">
      <x v="3"/>
      <x v="2"/>
    </i>
    <i r="1">
      <x v="4"/>
      <x v="33"/>
    </i>
    <i r="1">
      <x v="5"/>
      <x v="59"/>
    </i>
    <i r="1">
      <x v="6"/>
      <x v="66"/>
    </i>
    <i r="1">
      <x v="7"/>
      <x v="1"/>
    </i>
    <i r="1">
      <x v="8"/>
      <x v="11"/>
    </i>
    <i r="1">
      <x v="9"/>
      <x v="21"/>
    </i>
    <i r="1">
      <x v="10"/>
      <x/>
    </i>
    <i r="2">
      <x v="63"/>
    </i>
    <i r="1">
      <x v="12"/>
      <x v="12"/>
    </i>
    <i r="2">
      <x v="69"/>
    </i>
    <i r="1">
      <x v="14"/>
      <x v="5"/>
    </i>
    <i r="2">
      <x v="31"/>
    </i>
    <i r="2">
      <x v="35"/>
    </i>
    <i r="2">
      <x v="41"/>
    </i>
    <i r="1">
      <x v="18"/>
      <x v="38"/>
    </i>
    <i r="1">
      <x v="19"/>
      <x v="46"/>
    </i>
    <i r="2">
      <x v="51"/>
    </i>
    <i r="2">
      <x v="53"/>
    </i>
    <i t="blank">
      <x v="11"/>
    </i>
    <i>
      <x v="12"/>
    </i>
    <i r="1">
      <x/>
      <x v="60"/>
    </i>
    <i r="1">
      <x v="1"/>
      <x/>
    </i>
    <i r="1">
      <x v="2"/>
      <x v="59"/>
    </i>
    <i r="1">
      <x v="3"/>
      <x v="32"/>
    </i>
    <i r="1">
      <x v="4"/>
      <x v="2"/>
    </i>
    <i r="2">
      <x v="16"/>
    </i>
    <i r="1">
      <x v="6"/>
      <x v="38"/>
    </i>
    <i r="1">
      <x v="7"/>
      <x v="51"/>
    </i>
    <i r="1">
      <x v="8"/>
      <x v="11"/>
    </i>
    <i r="2">
      <x v="42"/>
    </i>
    <i r="1">
      <x v="10"/>
      <x v="14"/>
    </i>
    <i r="2">
      <x v="33"/>
    </i>
    <i r="1">
      <x v="12"/>
      <x v="28"/>
    </i>
    <i r="2">
      <x v="36"/>
    </i>
    <i r="1">
      <x v="14"/>
      <x v="4"/>
    </i>
    <i r="2">
      <x v="43"/>
    </i>
    <i r="2">
      <x v="50"/>
    </i>
    <i r="2">
      <x v="66"/>
    </i>
    <i r="1">
      <x v="18"/>
      <x v="12"/>
    </i>
    <i r="1">
      <x v="19"/>
      <x v="31"/>
    </i>
    <i r="2">
      <x v="46"/>
    </i>
    <i r="2">
      <x v="47"/>
    </i>
    <i t="blank">
      <x v="12"/>
    </i>
    <i>
      <x v="13"/>
    </i>
    <i r="1">
      <x/>
      <x v="60"/>
    </i>
    <i r="1">
      <x v="1"/>
      <x v="42"/>
    </i>
    <i r="1">
      <x v="2"/>
      <x v="51"/>
    </i>
    <i r="1">
      <x v="3"/>
      <x v="53"/>
    </i>
    <i r="1">
      <x v="4"/>
      <x v="59"/>
    </i>
    <i r="1">
      <x v="5"/>
      <x v="54"/>
    </i>
    <i r="1">
      <x v="6"/>
      <x v="33"/>
    </i>
    <i r="1">
      <x v="7"/>
      <x v="32"/>
    </i>
    <i r="1">
      <x v="8"/>
      <x v="66"/>
    </i>
    <i r="1">
      <x v="9"/>
      <x v="41"/>
    </i>
    <i r="1">
      <x v="10"/>
      <x v="38"/>
    </i>
    <i r="1">
      <x v="11"/>
      <x v="64"/>
    </i>
    <i r="1">
      <x v="12"/>
      <x v="35"/>
    </i>
    <i r="1">
      <x v="13"/>
      <x v="69"/>
    </i>
    <i r="1">
      <x v="14"/>
      <x v="1"/>
    </i>
    <i r="1">
      <x v="15"/>
      <x v="11"/>
    </i>
    <i r="2">
      <x v="46"/>
    </i>
    <i r="1">
      <x v="17"/>
      <x v="31"/>
    </i>
    <i r="1">
      <x v="18"/>
      <x/>
    </i>
    <i r="2">
      <x v="12"/>
    </i>
    <i r="2">
      <x v="58"/>
    </i>
    <i t="blank">
      <x v="13"/>
    </i>
    <i>
      <x v="14"/>
    </i>
    <i r="1">
      <x/>
      <x v="42"/>
    </i>
    <i r="1">
      <x v="1"/>
      <x v="51"/>
    </i>
    <i r="1">
      <x v="2"/>
      <x v="54"/>
    </i>
    <i r="1">
      <x v="3"/>
      <x v="60"/>
    </i>
    <i r="1">
      <x v="4"/>
      <x v="32"/>
    </i>
    <i r="1">
      <x v="5"/>
      <x/>
    </i>
    <i r="2">
      <x v="55"/>
    </i>
    <i r="1">
      <x v="7"/>
      <x v="31"/>
    </i>
    <i r="1">
      <x v="8"/>
      <x v="47"/>
    </i>
    <i r="1">
      <x v="9"/>
      <x v="53"/>
    </i>
    <i r="1">
      <x v="10"/>
      <x v="59"/>
    </i>
    <i r="1">
      <x v="11"/>
      <x v="12"/>
    </i>
    <i r="2">
      <x v="38"/>
    </i>
    <i r="1">
      <x v="13"/>
      <x v="50"/>
    </i>
    <i r="2">
      <x v="58"/>
    </i>
    <i r="1">
      <x v="15"/>
      <x v="28"/>
    </i>
    <i r="1">
      <x v="16"/>
      <x v="66"/>
    </i>
    <i r="1">
      <x v="17"/>
      <x v="11"/>
    </i>
    <i r="2">
      <x v="44"/>
    </i>
    <i r="1">
      <x v="19"/>
      <x v="41"/>
    </i>
    <i t="blank">
      <x v="14"/>
    </i>
    <i>
      <x v="15"/>
    </i>
    <i r="1">
      <x/>
      <x v="42"/>
    </i>
    <i r="1">
      <x v="1"/>
      <x v="60"/>
    </i>
    <i r="1">
      <x v="2"/>
      <x v="54"/>
    </i>
    <i r="1">
      <x v="3"/>
      <x v="53"/>
    </i>
    <i r="1">
      <x v="4"/>
      <x v="41"/>
    </i>
    <i r="2">
      <x v="51"/>
    </i>
    <i r="1">
      <x v="6"/>
      <x v="64"/>
    </i>
    <i r="1">
      <x v="7"/>
      <x v="66"/>
    </i>
    <i r="1">
      <x v="8"/>
      <x v="59"/>
    </i>
    <i r="1">
      <x v="9"/>
      <x v="38"/>
    </i>
    <i r="1">
      <x v="10"/>
      <x v="32"/>
    </i>
    <i r="1">
      <x v="11"/>
      <x v="46"/>
    </i>
    <i r="1">
      <x v="12"/>
      <x v="43"/>
    </i>
    <i r="1">
      <x v="13"/>
      <x v="11"/>
    </i>
    <i r="1">
      <x v="14"/>
      <x v="12"/>
    </i>
    <i r="2">
      <x v="35"/>
    </i>
    <i r="1">
      <x v="16"/>
      <x/>
    </i>
    <i r="2">
      <x v="33"/>
    </i>
    <i r="2">
      <x v="63"/>
    </i>
    <i r="1">
      <x v="19"/>
      <x v="28"/>
    </i>
    <i t="blank">
      <x v="15"/>
    </i>
    <i>
      <x v="16"/>
    </i>
    <i r="1">
      <x/>
      <x v="60"/>
    </i>
    <i r="1">
      <x v="1"/>
      <x/>
    </i>
    <i r="1">
      <x v="2"/>
      <x v="54"/>
    </i>
    <i r="1">
      <x v="3"/>
      <x v="2"/>
    </i>
    <i r="2">
      <x v="59"/>
    </i>
    <i r="1">
      <x v="5"/>
      <x v="51"/>
    </i>
    <i r="1">
      <x v="6"/>
      <x v="66"/>
    </i>
    <i r="1">
      <x v="7"/>
      <x v="32"/>
    </i>
    <i r="1">
      <x v="8"/>
      <x v="11"/>
    </i>
    <i r="1">
      <x v="9"/>
      <x v="38"/>
    </i>
    <i r="2">
      <x v="56"/>
    </i>
    <i r="1">
      <x v="11"/>
      <x v="64"/>
    </i>
    <i r="1">
      <x v="12"/>
      <x v="53"/>
    </i>
    <i r="1">
      <x v="13"/>
      <x v="42"/>
    </i>
    <i r="2">
      <x v="69"/>
    </i>
    <i r="1">
      <x v="15"/>
      <x v="12"/>
    </i>
    <i r="2">
      <x v="35"/>
    </i>
    <i r="1">
      <x v="17"/>
      <x v="33"/>
    </i>
    <i r="1">
      <x v="18"/>
      <x v="63"/>
    </i>
    <i r="1">
      <x v="19"/>
      <x v="1"/>
    </i>
    <i t="blank">
      <x v="16"/>
    </i>
    <i>
      <x v="17"/>
    </i>
    <i r="1">
      <x/>
      <x v="42"/>
    </i>
    <i r="1">
      <x v="1"/>
      <x v="47"/>
    </i>
    <i r="1">
      <x v="2"/>
      <x v="60"/>
    </i>
    <i r="1">
      <x v="3"/>
      <x v="51"/>
    </i>
    <i r="1">
      <x v="4"/>
      <x v="32"/>
    </i>
    <i r="1">
      <x v="5"/>
      <x v="38"/>
    </i>
    <i r="1">
      <x v="6"/>
      <x v="53"/>
    </i>
    <i r="1">
      <x v="7"/>
      <x v="59"/>
    </i>
    <i r="1">
      <x v="8"/>
      <x v="54"/>
    </i>
    <i r="1">
      <x v="9"/>
      <x v="55"/>
    </i>
    <i r="1">
      <x v="10"/>
      <x v="66"/>
    </i>
    <i r="1">
      <x v="11"/>
      <x v="50"/>
    </i>
    <i r="1">
      <x v="12"/>
      <x v="64"/>
    </i>
    <i r="1">
      <x v="13"/>
      <x/>
    </i>
    <i r="1">
      <x v="14"/>
      <x v="31"/>
    </i>
    <i r="1">
      <x v="15"/>
      <x v="11"/>
    </i>
    <i r="1">
      <x v="16"/>
      <x v="49"/>
    </i>
    <i r="1">
      <x v="17"/>
      <x v="3"/>
    </i>
    <i r="2">
      <x v="40"/>
    </i>
    <i r="1">
      <x v="19"/>
      <x v="12"/>
    </i>
    <i t="blank">
      <x v="17"/>
    </i>
    <i>
      <x v="18"/>
    </i>
    <i r="1">
      <x/>
      <x v="60"/>
    </i>
    <i r="1">
      <x v="1"/>
      <x v="42"/>
    </i>
    <i r="1">
      <x v="2"/>
      <x v="59"/>
    </i>
    <i r="1">
      <x v="3"/>
      <x v="32"/>
    </i>
    <i r="1">
      <x v="4"/>
      <x v="53"/>
    </i>
    <i r="1">
      <x v="5"/>
      <x v="2"/>
    </i>
    <i r="1">
      <x v="6"/>
      <x v="51"/>
    </i>
    <i r="1">
      <x v="7"/>
      <x v="66"/>
    </i>
    <i r="1">
      <x v="8"/>
      <x v="35"/>
    </i>
    <i r="1">
      <x v="9"/>
      <x v="38"/>
    </i>
    <i r="1">
      <x v="10"/>
      <x v="64"/>
    </i>
    <i r="1">
      <x v="11"/>
      <x v="14"/>
    </i>
    <i r="2">
      <x v="58"/>
    </i>
    <i r="1">
      <x v="13"/>
      <x/>
    </i>
    <i r="1">
      <x v="14"/>
      <x v="54"/>
    </i>
    <i r="1">
      <x v="15"/>
      <x v="11"/>
    </i>
    <i r="2">
      <x v="33"/>
    </i>
    <i r="1">
      <x v="17"/>
      <x v="46"/>
    </i>
    <i r="1">
      <x v="18"/>
      <x v="12"/>
    </i>
    <i r="2">
      <x v="63"/>
    </i>
    <i t="blank">
      <x v="18"/>
    </i>
    <i>
      <x v="19"/>
    </i>
    <i r="1">
      <x/>
      <x v="42"/>
    </i>
    <i r="1">
      <x v="1"/>
      <x v="60"/>
    </i>
    <i r="1">
      <x v="2"/>
      <x v="54"/>
    </i>
    <i r="1">
      <x v="3"/>
      <x v="51"/>
    </i>
    <i r="1">
      <x v="4"/>
      <x v="64"/>
    </i>
    <i r="1">
      <x v="5"/>
      <x v="59"/>
    </i>
    <i r="1">
      <x v="6"/>
      <x v="53"/>
    </i>
    <i r="1">
      <x v="7"/>
      <x v="66"/>
    </i>
    <i r="1">
      <x v="8"/>
      <x v="33"/>
    </i>
    <i r="1">
      <x v="9"/>
      <x/>
    </i>
    <i r="1">
      <x v="10"/>
      <x v="41"/>
    </i>
    <i r="1">
      <x v="11"/>
      <x v="69"/>
    </i>
    <i r="1">
      <x v="12"/>
      <x v="11"/>
    </i>
    <i r="1">
      <x v="13"/>
      <x v="35"/>
    </i>
    <i r="1">
      <x v="14"/>
      <x v="1"/>
    </i>
    <i r="2">
      <x v="38"/>
    </i>
    <i r="1">
      <x v="16"/>
      <x v="12"/>
    </i>
    <i r="1">
      <x v="17"/>
      <x v="63"/>
    </i>
    <i r="1">
      <x v="18"/>
      <x v="2"/>
    </i>
    <i r="1">
      <x v="19"/>
      <x v="32"/>
    </i>
    <i t="blank">
      <x v="19"/>
    </i>
    <i>
      <x v="20"/>
    </i>
    <i r="1">
      <x/>
      <x v="60"/>
    </i>
    <i r="1">
      <x v="1"/>
      <x v="42"/>
    </i>
    <i r="1">
      <x v="2"/>
      <x v="59"/>
    </i>
    <i r="1">
      <x v="3"/>
      <x v="33"/>
    </i>
    <i r="1">
      <x v="4"/>
      <x v="66"/>
    </i>
    <i r="1">
      <x v="5"/>
      <x v="64"/>
    </i>
    <i r="1">
      <x v="6"/>
      <x v="51"/>
    </i>
    <i r="1">
      <x v="7"/>
      <x/>
    </i>
    <i r="1">
      <x v="8"/>
      <x v="2"/>
    </i>
    <i r="1">
      <x v="9"/>
      <x v="67"/>
    </i>
    <i r="1">
      <x v="10"/>
      <x v="53"/>
    </i>
    <i r="1">
      <x v="11"/>
      <x v="32"/>
    </i>
    <i r="1">
      <x v="12"/>
      <x v="1"/>
    </i>
    <i r="2">
      <x v="54"/>
    </i>
    <i r="2">
      <x v="69"/>
    </i>
    <i r="1">
      <x v="15"/>
      <x v="12"/>
    </i>
    <i r="1">
      <x v="16"/>
      <x v="63"/>
    </i>
    <i r="1">
      <x v="17"/>
      <x v="21"/>
    </i>
    <i r="1">
      <x v="18"/>
      <x v="11"/>
    </i>
    <i r="1">
      <x v="19"/>
      <x v="34"/>
    </i>
    <i r="2">
      <x v="41"/>
    </i>
    <i t="blank">
      <x v="20"/>
    </i>
    <i>
      <x v="21"/>
    </i>
    <i r="1">
      <x/>
      <x v="60"/>
    </i>
    <i r="1">
      <x v="1"/>
      <x v="42"/>
    </i>
    <i r="1">
      <x v="2"/>
      <x v="53"/>
    </i>
    <i r="1">
      <x v="3"/>
      <x v="59"/>
    </i>
    <i r="1">
      <x v="4"/>
      <x v="64"/>
    </i>
    <i r="1">
      <x v="5"/>
      <x v="13"/>
    </i>
    <i r="2">
      <x v="33"/>
    </i>
    <i r="1">
      <x v="7"/>
      <x v="51"/>
    </i>
    <i r="2">
      <x v="66"/>
    </i>
    <i r="1">
      <x v="9"/>
      <x v="32"/>
    </i>
    <i r="1">
      <x v="10"/>
      <x v="38"/>
    </i>
    <i r="1">
      <x v="11"/>
      <x v="31"/>
    </i>
    <i r="1">
      <x v="12"/>
      <x v="11"/>
    </i>
    <i r="1">
      <x v="13"/>
      <x/>
    </i>
    <i r="1">
      <x v="14"/>
      <x v="2"/>
    </i>
    <i r="1">
      <x v="15"/>
      <x v="22"/>
    </i>
    <i r="2">
      <x v="35"/>
    </i>
    <i r="2">
      <x v="63"/>
    </i>
    <i r="1">
      <x v="18"/>
      <x v="12"/>
    </i>
    <i r="1">
      <x v="19"/>
      <x v="41"/>
    </i>
    <i t="blank">
      <x v="21"/>
    </i>
    <i>
      <x v="22"/>
    </i>
    <i r="1">
      <x/>
      <x v="60"/>
    </i>
    <i r="1">
      <x v="1"/>
      <x v="53"/>
    </i>
    <i r="1">
      <x v="2"/>
      <x v="59"/>
    </i>
    <i r="1">
      <x v="3"/>
      <x v="51"/>
    </i>
    <i r="1">
      <x v="4"/>
      <x v="2"/>
    </i>
    <i r="1">
      <x v="5"/>
      <x v="64"/>
    </i>
    <i r="1">
      <x v="6"/>
      <x/>
    </i>
    <i r="1">
      <x v="7"/>
      <x v="66"/>
    </i>
    <i r="1">
      <x v="8"/>
      <x v="38"/>
    </i>
    <i r="1">
      <x v="9"/>
      <x v="1"/>
    </i>
    <i r="2">
      <x v="46"/>
    </i>
    <i r="1">
      <x v="11"/>
      <x v="42"/>
    </i>
    <i r="1">
      <x v="12"/>
      <x v="54"/>
    </i>
    <i r="1">
      <x v="13"/>
      <x v="32"/>
    </i>
    <i r="1">
      <x v="14"/>
      <x v="14"/>
    </i>
    <i r="2">
      <x v="31"/>
    </i>
    <i r="2">
      <x v="33"/>
    </i>
    <i r="1">
      <x v="17"/>
      <x v="12"/>
    </i>
    <i r="2">
      <x v="35"/>
    </i>
    <i r="2">
      <x v="61"/>
    </i>
    <i t="blank">
      <x v="22"/>
    </i>
    <i>
      <x v="23"/>
    </i>
    <i r="1">
      <x/>
      <x v="60"/>
    </i>
    <i r="1">
      <x v="1"/>
      <x v="64"/>
    </i>
    <i r="1">
      <x v="2"/>
      <x v="42"/>
    </i>
    <i r="1">
      <x v="3"/>
      <x v="59"/>
    </i>
    <i r="1">
      <x v="4"/>
      <x v="53"/>
    </i>
    <i r="1">
      <x v="5"/>
      <x v="51"/>
    </i>
    <i r="1">
      <x v="6"/>
      <x v="66"/>
    </i>
    <i r="1">
      <x v="7"/>
      <x v="2"/>
    </i>
    <i r="1">
      <x v="8"/>
      <x v="38"/>
    </i>
    <i r="1">
      <x v="9"/>
      <x v="33"/>
    </i>
    <i r="1">
      <x v="10"/>
      <x v="41"/>
    </i>
    <i r="1">
      <x v="11"/>
      <x v="35"/>
    </i>
    <i r="2">
      <x v="54"/>
    </i>
    <i r="1">
      <x v="13"/>
      <x v="32"/>
    </i>
    <i r="1">
      <x v="14"/>
      <x/>
    </i>
    <i r="1">
      <x v="15"/>
      <x v="12"/>
    </i>
    <i r="1">
      <x v="16"/>
      <x v="11"/>
    </i>
    <i r="1">
      <x v="17"/>
      <x v="31"/>
    </i>
    <i r="2">
      <x v="58"/>
    </i>
    <i r="1">
      <x v="19"/>
      <x v="63"/>
    </i>
    <i t="blank">
      <x v="23"/>
    </i>
    <i>
      <x v="24"/>
    </i>
    <i r="1">
      <x/>
      <x v="42"/>
    </i>
    <i r="2">
      <x v="60"/>
    </i>
    <i r="1">
      <x v="2"/>
      <x v="51"/>
    </i>
    <i r="1">
      <x v="3"/>
      <x v="59"/>
    </i>
    <i r="1">
      <x v="4"/>
      <x/>
    </i>
    <i r="1">
      <x v="5"/>
      <x v="53"/>
    </i>
    <i r="1">
      <x v="6"/>
      <x v="54"/>
    </i>
    <i r="2">
      <x v="66"/>
    </i>
    <i r="1">
      <x v="8"/>
      <x v="33"/>
    </i>
    <i r="1">
      <x v="9"/>
      <x v="64"/>
    </i>
    <i r="1">
      <x v="10"/>
      <x v="38"/>
    </i>
    <i r="1">
      <x v="11"/>
      <x v="2"/>
    </i>
    <i r="1">
      <x v="12"/>
      <x v="69"/>
    </i>
    <i r="1">
      <x v="13"/>
      <x v="28"/>
    </i>
    <i r="1">
      <x v="14"/>
      <x v="41"/>
    </i>
    <i r="1">
      <x v="15"/>
      <x v="32"/>
    </i>
    <i r="1">
      <x v="16"/>
      <x v="35"/>
    </i>
    <i r="1">
      <x v="17"/>
      <x v="12"/>
    </i>
    <i r="2">
      <x v="50"/>
    </i>
    <i r="2">
      <x v="58"/>
    </i>
    <i t="blank">
      <x v="24"/>
    </i>
    <i>
      <x v="25"/>
    </i>
    <i r="1">
      <x/>
      <x v="42"/>
    </i>
    <i r="1">
      <x v="1"/>
      <x v="60"/>
    </i>
    <i r="1">
      <x v="2"/>
      <x v="53"/>
    </i>
    <i r="1">
      <x v="3"/>
      <x v="2"/>
    </i>
    <i r="1">
      <x v="4"/>
      <x v="59"/>
    </i>
    <i r="1">
      <x v="5"/>
      <x v="33"/>
    </i>
    <i r="1">
      <x v="6"/>
      <x/>
    </i>
    <i r="1">
      <x v="7"/>
      <x v="64"/>
    </i>
    <i r="2">
      <x v="66"/>
    </i>
    <i r="1">
      <x v="9"/>
      <x v="69"/>
    </i>
    <i r="1">
      <x v="10"/>
      <x v="54"/>
    </i>
    <i r="1">
      <x v="11"/>
      <x v="11"/>
    </i>
    <i r="1">
      <x v="12"/>
      <x v="35"/>
    </i>
    <i r="2">
      <x v="38"/>
    </i>
    <i r="1">
      <x v="14"/>
      <x v="51"/>
    </i>
    <i r="2">
      <x v="63"/>
    </i>
    <i r="1">
      <x v="16"/>
      <x v="1"/>
    </i>
    <i r="1">
      <x v="17"/>
      <x v="46"/>
    </i>
    <i r="1">
      <x v="18"/>
      <x v="32"/>
    </i>
    <i r="1">
      <x v="19"/>
      <x v="4"/>
    </i>
    <i r="2">
      <x v="58"/>
    </i>
    <i r="2">
      <x v="61"/>
    </i>
    <i t="blank">
      <x v="25"/>
    </i>
    <i>
      <x v="26"/>
    </i>
    <i r="1">
      <x/>
      <x v="47"/>
    </i>
    <i r="1">
      <x v="1"/>
      <x v="42"/>
    </i>
    <i r="1">
      <x v="2"/>
      <x v="51"/>
    </i>
    <i r="2">
      <x v="60"/>
    </i>
    <i r="1">
      <x v="4"/>
      <x v="55"/>
    </i>
    <i r="1">
      <x v="5"/>
      <x v="54"/>
    </i>
    <i r="1">
      <x v="6"/>
      <x v="32"/>
    </i>
    <i r="1">
      <x v="7"/>
      <x v="59"/>
    </i>
    <i r="1">
      <x v="8"/>
      <x v="53"/>
    </i>
    <i r="1">
      <x v="9"/>
      <x v="38"/>
    </i>
    <i r="1">
      <x v="10"/>
      <x v="64"/>
    </i>
    <i r="1">
      <x v="11"/>
      <x v="28"/>
    </i>
    <i r="2">
      <x v="43"/>
    </i>
    <i r="2">
      <x v="62"/>
    </i>
    <i r="1">
      <x v="14"/>
      <x v="33"/>
    </i>
    <i r="1">
      <x v="15"/>
      <x v="31"/>
    </i>
    <i r="1">
      <x v="16"/>
      <x v="37"/>
    </i>
    <i r="2">
      <x v="50"/>
    </i>
    <i r="2">
      <x v="66"/>
    </i>
    <i r="1">
      <x v="19"/>
      <x v="2"/>
    </i>
    <i r="2">
      <x v="34"/>
    </i>
    <i r="2">
      <x v="48"/>
    </i>
    <i t="blank">
      <x v="26"/>
    </i>
    <i>
      <x v="27"/>
    </i>
    <i r="1">
      <x/>
      <x v="42"/>
    </i>
    <i r="1">
      <x v="1"/>
      <x v="60"/>
    </i>
    <i r="1">
      <x v="2"/>
      <x/>
    </i>
    <i r="1">
      <x v="3"/>
      <x v="64"/>
    </i>
    <i r="1">
      <x v="4"/>
      <x v="12"/>
    </i>
    <i r="1">
      <x v="5"/>
      <x v="59"/>
    </i>
    <i r="1">
      <x v="6"/>
      <x v="2"/>
    </i>
    <i r="1">
      <x v="7"/>
      <x v="33"/>
    </i>
    <i r="2">
      <x v="50"/>
    </i>
    <i r="1">
      <x v="9"/>
      <x v="51"/>
    </i>
    <i r="2">
      <x v="53"/>
    </i>
    <i r="2">
      <x v="66"/>
    </i>
    <i r="1">
      <x v="12"/>
      <x v="11"/>
    </i>
    <i r="1">
      <x v="13"/>
      <x v="44"/>
    </i>
    <i r="1">
      <x v="14"/>
      <x v="1"/>
    </i>
    <i r="2">
      <x v="46"/>
    </i>
    <i r="1">
      <x v="16"/>
      <x v="41"/>
    </i>
    <i r="2">
      <x v="69"/>
    </i>
    <i r="1">
      <x v="18"/>
      <x v="35"/>
    </i>
    <i r="2">
      <x v="58"/>
    </i>
    <i r="2">
      <x v="63"/>
    </i>
    <i t="blank">
      <x v="27"/>
    </i>
    <i>
      <x v="28"/>
    </i>
    <i r="1">
      <x/>
      <x v="42"/>
    </i>
    <i r="1">
      <x v="1"/>
      <x v="60"/>
    </i>
    <i r="1">
      <x v="2"/>
      <x v="21"/>
    </i>
    <i r="1">
      <x v="3"/>
      <x v="64"/>
    </i>
    <i r="1">
      <x v="4"/>
      <x v="59"/>
    </i>
    <i r="1">
      <x v="5"/>
      <x v="32"/>
    </i>
    <i r="1">
      <x v="6"/>
      <x v="66"/>
    </i>
    <i r="1">
      <x v="7"/>
      <x v="51"/>
    </i>
    <i r="1">
      <x v="8"/>
      <x v="33"/>
    </i>
    <i r="1">
      <x v="9"/>
      <x v="2"/>
    </i>
    <i r="2">
      <x v="38"/>
    </i>
    <i r="2">
      <x v="41"/>
    </i>
    <i r="2">
      <x v="55"/>
    </i>
    <i r="1">
      <x v="13"/>
      <x v="12"/>
    </i>
    <i r="2">
      <x v="58"/>
    </i>
    <i r="1">
      <x v="15"/>
      <x v="53"/>
    </i>
    <i r="2">
      <x v="63"/>
    </i>
    <i r="1">
      <x v="17"/>
      <x v="31"/>
    </i>
    <i r="2">
      <x v="46"/>
    </i>
    <i r="1">
      <x v="19"/>
      <x v="57"/>
    </i>
    <i t="blank">
      <x v="28"/>
    </i>
    <i>
      <x v="29"/>
    </i>
    <i r="1">
      <x/>
      <x v="42"/>
    </i>
    <i r="1">
      <x v="1"/>
      <x/>
    </i>
    <i r="1">
      <x v="2"/>
      <x v="47"/>
    </i>
    <i r="1">
      <x v="3"/>
      <x v="60"/>
    </i>
    <i r="1">
      <x v="4"/>
      <x v="59"/>
    </i>
    <i r="1">
      <x v="5"/>
      <x v="51"/>
    </i>
    <i r="1">
      <x v="6"/>
      <x v="38"/>
    </i>
    <i r="1">
      <x v="7"/>
      <x v="11"/>
    </i>
    <i r="1">
      <x v="8"/>
      <x v="32"/>
    </i>
    <i r="2">
      <x v="50"/>
    </i>
    <i r="1">
      <x v="10"/>
      <x v="53"/>
    </i>
    <i r="1">
      <x v="11"/>
      <x v="2"/>
    </i>
    <i r="1">
      <x v="12"/>
      <x v="1"/>
    </i>
    <i r="2">
      <x v="33"/>
    </i>
    <i r="2">
      <x v="66"/>
    </i>
    <i r="1">
      <x v="15"/>
      <x v="4"/>
    </i>
    <i r="2">
      <x v="9"/>
    </i>
    <i r="2">
      <x v="31"/>
    </i>
    <i r="2">
      <x v="54"/>
    </i>
    <i r="1">
      <x v="19"/>
      <x v="36"/>
    </i>
    <i r="2">
      <x v="46"/>
    </i>
    <i r="2">
      <x v="69"/>
    </i>
    <i t="blank">
      <x v="29"/>
    </i>
    <i>
      <x v="30"/>
    </i>
    <i r="1">
      <x/>
      <x v="60"/>
    </i>
    <i r="1">
      <x v="1"/>
      <x v="2"/>
    </i>
    <i r="1">
      <x v="2"/>
      <x v="53"/>
    </i>
    <i r="1">
      <x v="3"/>
      <x v="59"/>
    </i>
    <i r="1">
      <x v="4"/>
      <x v="33"/>
    </i>
    <i r="1">
      <x v="5"/>
      <x/>
    </i>
    <i r="1">
      <x v="6"/>
      <x v="51"/>
    </i>
    <i r="1">
      <x v="7"/>
      <x v="12"/>
    </i>
    <i r="1">
      <x v="8"/>
      <x v="1"/>
    </i>
    <i r="1">
      <x v="9"/>
      <x v="66"/>
    </i>
    <i r="1">
      <x v="10"/>
      <x v="58"/>
    </i>
    <i r="1">
      <x v="11"/>
      <x v="11"/>
    </i>
    <i r="1">
      <x v="12"/>
      <x v="36"/>
    </i>
    <i r="2">
      <x v="54"/>
    </i>
    <i r="1">
      <x v="14"/>
      <x v="64"/>
    </i>
    <i r="1">
      <x v="15"/>
      <x v="47"/>
    </i>
    <i r="1">
      <x v="16"/>
      <x v="4"/>
    </i>
    <i r="2">
      <x v="5"/>
    </i>
    <i r="2">
      <x v="8"/>
    </i>
    <i r="2">
      <x v="18"/>
    </i>
    <i r="2">
      <x v="32"/>
    </i>
    <i r="2">
      <x v="35"/>
    </i>
    <i r="2">
      <x v="46"/>
    </i>
    <i t="blank">
      <x v="30"/>
    </i>
    <i>
      <x v="31"/>
    </i>
    <i r="1">
      <x/>
      <x v="60"/>
    </i>
    <i r="1">
      <x v="1"/>
      <x v="59"/>
    </i>
    <i r="1">
      <x v="2"/>
      <x v="2"/>
    </i>
    <i r="2">
      <x v="33"/>
    </i>
    <i r="2">
      <x v="64"/>
    </i>
    <i r="1">
      <x v="5"/>
      <x v="53"/>
    </i>
    <i r="1">
      <x v="6"/>
      <x/>
    </i>
    <i r="1">
      <x v="7"/>
      <x v="14"/>
    </i>
    <i r="1">
      <x v="8"/>
      <x v="42"/>
    </i>
    <i r="1">
      <x v="9"/>
      <x v="51"/>
    </i>
    <i r="1">
      <x v="10"/>
      <x v="32"/>
    </i>
    <i r="1">
      <x v="11"/>
      <x v="46"/>
    </i>
    <i r="1">
      <x v="12"/>
      <x v="58"/>
    </i>
    <i r="2">
      <x v="68"/>
    </i>
    <i r="1">
      <x v="14"/>
      <x v="28"/>
    </i>
    <i r="2">
      <x v="31"/>
    </i>
    <i r="2">
      <x v="66"/>
    </i>
    <i r="1">
      <x v="17"/>
      <x v="1"/>
    </i>
    <i r="2">
      <x v="54"/>
    </i>
    <i r="1">
      <x v="19"/>
      <x v="8"/>
    </i>
    <i r="2">
      <x v="35"/>
    </i>
    <i r="2">
      <x v="71"/>
    </i>
    <i t="blank">
      <x v="31"/>
    </i>
    <i>
      <x v="32"/>
    </i>
    <i r="1">
      <x/>
      <x v="42"/>
    </i>
    <i r="1">
      <x v="1"/>
      <x v="60"/>
    </i>
    <i r="1">
      <x v="2"/>
      <x v="51"/>
    </i>
    <i r="2">
      <x v="59"/>
    </i>
    <i r="1">
      <x v="4"/>
      <x v="54"/>
    </i>
    <i r="1">
      <x v="5"/>
      <x v="66"/>
    </i>
    <i r="1">
      <x v="6"/>
      <x/>
    </i>
    <i r="1">
      <x v="7"/>
      <x v="53"/>
    </i>
    <i r="1">
      <x v="8"/>
      <x v="64"/>
    </i>
    <i r="1">
      <x v="9"/>
      <x v="32"/>
    </i>
    <i r="1">
      <x v="10"/>
      <x v="33"/>
    </i>
    <i r="1">
      <x v="11"/>
      <x v="2"/>
    </i>
    <i r="1">
      <x v="12"/>
      <x v="38"/>
    </i>
    <i r="1">
      <x v="13"/>
      <x v="43"/>
    </i>
    <i r="1">
      <x v="14"/>
      <x v="46"/>
    </i>
    <i r="2">
      <x v="69"/>
    </i>
    <i r="1">
      <x v="16"/>
      <x v="50"/>
    </i>
    <i r="1">
      <x v="17"/>
      <x v="12"/>
    </i>
    <i r="2">
      <x v="28"/>
    </i>
    <i r="2">
      <x v="41"/>
    </i>
    <i t="blank">
      <x v="32"/>
    </i>
    <i>
      <x v="33"/>
    </i>
    <i r="1">
      <x/>
      <x v="14"/>
    </i>
    <i r="1">
      <x v="1"/>
      <x v="60"/>
    </i>
    <i r="1">
      <x v="2"/>
      <x v="59"/>
    </i>
    <i r="1">
      <x v="3"/>
      <x v="2"/>
    </i>
    <i r="1">
      <x v="4"/>
      <x v="33"/>
    </i>
    <i r="1">
      <x v="5"/>
      <x/>
    </i>
    <i r="2">
      <x v="42"/>
    </i>
    <i r="1">
      <x v="7"/>
      <x v="32"/>
    </i>
    <i r="1">
      <x v="8"/>
      <x v="38"/>
    </i>
    <i r="2">
      <x v="53"/>
    </i>
    <i r="1">
      <x v="10"/>
      <x v="31"/>
    </i>
    <i r="1">
      <x v="11"/>
      <x v="4"/>
    </i>
    <i r="1">
      <x v="12"/>
      <x v="11"/>
    </i>
    <i r="2">
      <x v="63"/>
    </i>
    <i r="1">
      <x v="14"/>
      <x v="51"/>
    </i>
    <i r="2">
      <x v="54"/>
    </i>
    <i r="1">
      <x v="16"/>
      <x v="37"/>
    </i>
    <i r="2">
      <x v="64"/>
    </i>
    <i r="1">
      <x v="18"/>
      <x v="7"/>
    </i>
    <i r="2">
      <x v="66"/>
    </i>
    <i t="blank">
      <x v="33"/>
    </i>
    <i>
      <x v="34"/>
    </i>
    <i r="1">
      <x/>
      <x v="42"/>
    </i>
    <i r="1">
      <x v="1"/>
      <x v="47"/>
    </i>
    <i r="2">
      <x v="60"/>
    </i>
    <i r="1">
      <x v="3"/>
      <x v="32"/>
    </i>
    <i r="1">
      <x v="4"/>
      <x v="51"/>
    </i>
    <i r="1">
      <x v="5"/>
      <x/>
    </i>
    <i r="1">
      <x v="6"/>
      <x v="59"/>
    </i>
    <i r="1">
      <x v="7"/>
      <x v="53"/>
    </i>
    <i r="1">
      <x v="8"/>
      <x v="11"/>
    </i>
    <i r="2">
      <x v="35"/>
    </i>
    <i r="2">
      <x v="50"/>
    </i>
    <i r="1">
      <x v="11"/>
      <x v="31"/>
    </i>
    <i r="2">
      <x v="54"/>
    </i>
    <i r="1">
      <x v="13"/>
      <x v="8"/>
    </i>
    <i r="2">
      <x v="33"/>
    </i>
    <i r="2">
      <x v="38"/>
    </i>
    <i r="2">
      <x v="41"/>
    </i>
    <i r="2">
      <x v="55"/>
    </i>
    <i r="1">
      <x v="18"/>
      <x v="1"/>
    </i>
    <i r="2">
      <x v="12"/>
    </i>
    <i r="2">
      <x v="22"/>
    </i>
    <i r="2">
      <x v="44"/>
    </i>
    <i r="2">
      <x v="70"/>
    </i>
    <i t="blank">
      <x v="34"/>
    </i>
    <i>
      <x v="35"/>
    </i>
    <i r="1">
      <x/>
      <x v="47"/>
    </i>
    <i r="1">
      <x v="1"/>
      <x v="60"/>
    </i>
    <i r="1">
      <x v="2"/>
      <x v="2"/>
    </i>
    <i r="1">
      <x v="3"/>
      <x v="55"/>
    </i>
    <i r="1">
      <x v="4"/>
      <x v="53"/>
    </i>
    <i r="1">
      <x v="5"/>
      <x/>
    </i>
    <i r="2">
      <x v="59"/>
    </i>
    <i r="1">
      <x v="7"/>
      <x v="1"/>
    </i>
    <i r="2">
      <x v="38"/>
    </i>
    <i r="2">
      <x v="64"/>
    </i>
    <i r="1">
      <x v="10"/>
      <x v="31"/>
    </i>
    <i r="2">
      <x v="32"/>
    </i>
    <i r="2">
      <x v="35"/>
    </i>
    <i r="2">
      <x v="36"/>
    </i>
    <i r="2">
      <x v="51"/>
    </i>
    <i r="1">
      <x v="15"/>
      <x v="6"/>
    </i>
    <i r="2">
      <x v="11"/>
    </i>
    <i r="2">
      <x v="33"/>
    </i>
    <i r="2">
      <x v="52"/>
    </i>
    <i r="2">
      <x v="66"/>
    </i>
    <i t="blank">
      <x v="35"/>
    </i>
    <i>
      <x v="36"/>
    </i>
    <i r="1">
      <x/>
      <x v="47"/>
    </i>
    <i r="1">
      <x v="1"/>
      <x v="32"/>
    </i>
    <i r="1">
      <x v="2"/>
      <x v="48"/>
    </i>
    <i r="2">
      <x v="62"/>
    </i>
    <i r="1">
      <x v="4"/>
      <x v="60"/>
    </i>
    <i r="1">
      <x v="5"/>
      <x v="42"/>
    </i>
    <i r="1">
      <x v="6"/>
      <x v="38"/>
    </i>
    <i r="1">
      <x v="7"/>
      <x v="2"/>
    </i>
    <i r="2">
      <x v="33"/>
    </i>
    <i r="2">
      <x v="51"/>
    </i>
    <i r="2">
      <x v="59"/>
    </i>
    <i r="1">
      <x v="11"/>
      <x/>
    </i>
    <i r="2">
      <x v="1"/>
    </i>
    <i r="2">
      <x v="11"/>
    </i>
    <i r="2">
      <x v="36"/>
    </i>
    <i r="1">
      <x v="15"/>
      <x v="50"/>
    </i>
    <i r="2">
      <x v="55"/>
    </i>
    <i r="1">
      <x v="17"/>
      <x v="49"/>
    </i>
    <i r="2">
      <x v="66"/>
    </i>
    <i r="2">
      <x v="69"/>
    </i>
    <i t="blank">
      <x v="36"/>
    </i>
    <i>
      <x v="37"/>
    </i>
    <i r="1">
      <x/>
      <x v="47"/>
    </i>
    <i r="1">
      <x v="1"/>
      <x v="59"/>
    </i>
    <i r="1">
      <x v="2"/>
      <x v="51"/>
    </i>
    <i r="1">
      <x v="3"/>
      <x v="32"/>
    </i>
    <i r="2">
      <x v="60"/>
    </i>
    <i r="1">
      <x v="5"/>
      <x v="64"/>
    </i>
    <i r="1">
      <x v="6"/>
      <x v="31"/>
    </i>
    <i r="1">
      <x v="7"/>
      <x v="33"/>
    </i>
    <i r="2">
      <x v="50"/>
    </i>
    <i r="1">
      <x v="9"/>
      <x v="55"/>
    </i>
    <i r="2">
      <x v="62"/>
    </i>
    <i r="1">
      <x v="11"/>
      <x v="35"/>
    </i>
    <i r="2">
      <x v="63"/>
    </i>
    <i r="1">
      <x v="13"/>
      <x/>
    </i>
    <i r="2">
      <x v="38"/>
    </i>
    <i r="2">
      <x v="58"/>
    </i>
    <i r="2">
      <x v="69"/>
    </i>
    <i r="1">
      <x v="17"/>
      <x v="2"/>
    </i>
    <i r="2">
      <x v="8"/>
    </i>
    <i r="2">
      <x v="24"/>
    </i>
    <i r="2">
      <x v="28"/>
    </i>
    <i r="2">
      <x v="29"/>
    </i>
    <i r="2">
      <x v="66"/>
    </i>
    <i t="blank">
      <x v="37"/>
    </i>
    <i>
      <x v="38"/>
    </i>
    <i r="1">
      <x/>
      <x v="47"/>
    </i>
    <i r="1">
      <x v="1"/>
      <x v="32"/>
    </i>
    <i r="1">
      <x v="2"/>
      <x v="59"/>
    </i>
    <i r="2">
      <x v="60"/>
    </i>
    <i r="1">
      <x v="4"/>
      <x v="64"/>
    </i>
    <i r="1">
      <x v="5"/>
      <x v="42"/>
    </i>
    <i r="2">
      <x v="62"/>
    </i>
    <i r="1">
      <x v="7"/>
      <x/>
    </i>
    <i r="1">
      <x v="8"/>
      <x v="48"/>
    </i>
    <i r="1">
      <x v="9"/>
      <x v="50"/>
    </i>
    <i r="1">
      <x v="10"/>
      <x v="12"/>
    </i>
    <i r="2">
      <x v="33"/>
    </i>
    <i r="2">
      <x v="38"/>
    </i>
    <i r="2">
      <x v="51"/>
    </i>
    <i r="1">
      <x v="14"/>
      <x v="1"/>
    </i>
    <i r="2">
      <x v="28"/>
    </i>
    <i r="2">
      <x v="35"/>
    </i>
    <i r="1">
      <x v="17"/>
      <x v="8"/>
    </i>
    <i r="2">
      <x v="11"/>
    </i>
    <i r="2">
      <x v="13"/>
    </i>
    <i r="2">
      <x v="23"/>
    </i>
    <i r="2">
      <x v="36"/>
    </i>
    <i r="2">
      <x v="58"/>
    </i>
    <i t="blank">
      <x v="38"/>
    </i>
    <i>
      <x v="39"/>
    </i>
    <i r="1">
      <x/>
      <x v="42"/>
    </i>
    <i r="1">
      <x v="1"/>
      <x v="60"/>
    </i>
    <i r="1">
      <x v="2"/>
      <x/>
    </i>
    <i r="1">
      <x v="3"/>
      <x v="64"/>
    </i>
    <i r="1">
      <x v="4"/>
      <x v="59"/>
    </i>
    <i r="1">
      <x v="5"/>
      <x v="33"/>
    </i>
    <i r="2">
      <x v="53"/>
    </i>
    <i r="1">
      <x v="7"/>
      <x v="2"/>
    </i>
    <i r="2">
      <x v="11"/>
    </i>
    <i r="1">
      <x v="9"/>
      <x v="51"/>
    </i>
    <i r="2">
      <x v="54"/>
    </i>
    <i r="1">
      <x v="11"/>
      <x v="38"/>
    </i>
    <i r="1">
      <x v="12"/>
      <x v="12"/>
    </i>
    <i r="2">
      <x v="32"/>
    </i>
    <i r="1">
      <x v="14"/>
      <x v="1"/>
    </i>
    <i r="2">
      <x v="69"/>
    </i>
    <i r="1">
      <x v="16"/>
      <x v="67"/>
    </i>
    <i r="1">
      <x v="17"/>
      <x v="46"/>
    </i>
    <i r="1">
      <x v="18"/>
      <x v="8"/>
    </i>
    <i r="2">
      <x v="66"/>
    </i>
    <i t="blank">
      <x v="39"/>
    </i>
    <i>
      <x v="40"/>
    </i>
    <i r="1">
      <x/>
      <x v="60"/>
    </i>
    <i r="1">
      <x v="1"/>
      <x v="66"/>
    </i>
    <i r="1">
      <x v="2"/>
      <x v="64"/>
    </i>
    <i r="1">
      <x v="3"/>
      <x v="38"/>
    </i>
    <i r="2">
      <x v="42"/>
    </i>
    <i r="1">
      <x v="5"/>
      <x v="51"/>
    </i>
    <i r="1">
      <x v="6"/>
      <x v="33"/>
    </i>
    <i r="1">
      <x v="7"/>
      <x v="59"/>
    </i>
    <i r="1">
      <x v="8"/>
      <x v="32"/>
    </i>
    <i r="1">
      <x v="9"/>
      <x/>
    </i>
    <i r="1">
      <x v="10"/>
      <x v="21"/>
    </i>
    <i r="1">
      <x v="11"/>
      <x v="40"/>
    </i>
    <i r="1">
      <x v="12"/>
      <x v="69"/>
    </i>
    <i r="1">
      <x v="13"/>
      <x v="2"/>
    </i>
    <i r="2">
      <x v="11"/>
    </i>
    <i r="2">
      <x v="53"/>
    </i>
    <i r="1">
      <x v="16"/>
      <x v="12"/>
    </i>
    <i r="2">
      <x v="55"/>
    </i>
    <i r="2">
      <x v="61"/>
    </i>
    <i r="1">
      <x v="19"/>
      <x v="10"/>
    </i>
    <i r="2">
      <x v="41"/>
    </i>
    <i r="2">
      <x v="46"/>
    </i>
    <i t="blank">
      <x v="40"/>
    </i>
    <i>
      <x v="41"/>
    </i>
    <i r="1">
      <x/>
      <x v="42"/>
    </i>
    <i r="1">
      <x v="1"/>
      <x v="60"/>
    </i>
    <i r="1">
      <x v="2"/>
      <x v="64"/>
    </i>
    <i r="1">
      <x v="3"/>
      <x v="66"/>
    </i>
    <i r="1">
      <x v="4"/>
      <x v="33"/>
    </i>
    <i r="2">
      <x v="41"/>
    </i>
    <i r="1">
      <x v="6"/>
      <x v="59"/>
    </i>
    <i r="1">
      <x v="7"/>
      <x v="1"/>
    </i>
    <i r="1">
      <x v="8"/>
      <x/>
    </i>
    <i r="1">
      <x v="9"/>
      <x v="12"/>
    </i>
    <i r="2">
      <x v="51"/>
    </i>
    <i r="1">
      <x v="11"/>
      <x v="11"/>
    </i>
    <i r="2">
      <x v="38"/>
    </i>
    <i r="2">
      <x v="44"/>
    </i>
    <i r="1">
      <x v="14"/>
      <x v="69"/>
    </i>
    <i r="1">
      <x v="15"/>
      <x v="20"/>
    </i>
    <i r="2">
      <x v="35"/>
    </i>
    <i r="2">
      <x v="40"/>
    </i>
    <i r="2">
      <x v="46"/>
    </i>
    <i r="1">
      <x v="19"/>
      <x v="26"/>
    </i>
    <i r="2">
      <x v="31"/>
    </i>
    <i r="2">
      <x v="32"/>
    </i>
    <i r="2">
      <x v="34"/>
    </i>
    <i t="blank">
      <x v="41"/>
    </i>
    <i>
      <x v="42"/>
    </i>
    <i r="1">
      <x/>
      <x v="42"/>
    </i>
    <i r="1">
      <x v="1"/>
      <x/>
    </i>
    <i r="2">
      <x v="32"/>
    </i>
    <i r="1">
      <x v="3"/>
      <x v="60"/>
    </i>
    <i r="1">
      <x v="4"/>
      <x v="36"/>
    </i>
    <i r="2">
      <x v="59"/>
    </i>
    <i r="1">
      <x v="6"/>
      <x v="47"/>
    </i>
    <i r="2">
      <x v="50"/>
    </i>
    <i r="1">
      <x v="8"/>
      <x v="1"/>
    </i>
    <i r="2">
      <x v="31"/>
    </i>
    <i r="2">
      <x v="38"/>
    </i>
    <i r="2">
      <x v="51"/>
    </i>
    <i r="2">
      <x v="54"/>
    </i>
    <i r="2">
      <x v="64"/>
    </i>
    <i r="2">
      <x v="69"/>
    </i>
    <i r="1">
      <x v="15"/>
      <x v="33"/>
    </i>
    <i r="2">
      <x v="53"/>
    </i>
    <i r="1">
      <x v="17"/>
      <x v="2"/>
    </i>
    <i r="2">
      <x v="21"/>
    </i>
    <i r="2">
      <x v="70"/>
    </i>
    <i t="blank">
      <x v="42"/>
    </i>
    <i>
      <x v="43"/>
    </i>
    <i r="1">
      <x/>
      <x v="60"/>
    </i>
    <i r="1">
      <x v="1"/>
      <x v="51"/>
    </i>
    <i r="2">
      <x v="59"/>
    </i>
    <i r="1">
      <x v="3"/>
      <x v="2"/>
    </i>
    <i r="1">
      <x v="4"/>
      <x/>
    </i>
    <i r="2">
      <x v="66"/>
    </i>
    <i r="1">
      <x v="6"/>
      <x v="11"/>
    </i>
    <i r="2">
      <x v="32"/>
    </i>
    <i r="2">
      <x v="67"/>
    </i>
    <i r="1">
      <x v="9"/>
      <x v="15"/>
    </i>
    <i r="1">
      <x v="10"/>
      <x v="38"/>
    </i>
    <i r="2">
      <x v="42"/>
    </i>
    <i r="1">
      <x v="12"/>
      <x v="12"/>
    </i>
    <i r="2">
      <x v="13"/>
    </i>
    <i r="2">
      <x v="33"/>
    </i>
    <i r="2">
      <x v="41"/>
    </i>
    <i r="2">
      <x v="53"/>
    </i>
    <i r="1">
      <x v="17"/>
      <x v="31"/>
    </i>
    <i r="2">
      <x v="35"/>
    </i>
    <i r="1">
      <x v="19"/>
      <x v="64"/>
    </i>
    <i t="blank">
      <x v="43"/>
    </i>
    <i>
      <x v="44"/>
    </i>
    <i r="1">
      <x/>
      <x v="32"/>
    </i>
    <i r="1">
      <x v="1"/>
      <x v="14"/>
    </i>
    <i r="1">
      <x v="2"/>
      <x v="47"/>
    </i>
    <i r="1">
      <x v="3"/>
      <x v="59"/>
    </i>
    <i r="1">
      <x v="4"/>
      <x v="36"/>
    </i>
    <i r="1">
      <x v="5"/>
      <x v="2"/>
    </i>
    <i r="2">
      <x v="60"/>
    </i>
    <i r="1">
      <x v="7"/>
      <x/>
    </i>
    <i r="2">
      <x v="11"/>
    </i>
    <i r="2">
      <x v="30"/>
    </i>
    <i r="2">
      <x v="31"/>
    </i>
    <i r="1">
      <x v="11"/>
      <x v="50"/>
    </i>
    <i r="2">
      <x v="53"/>
    </i>
    <i r="1">
      <x v="13"/>
      <x v="51"/>
    </i>
    <i r="2">
      <x v="55"/>
    </i>
    <i r="1">
      <x v="15"/>
      <x v="28"/>
    </i>
    <i r="2">
      <x v="33"/>
    </i>
    <i r="2">
      <x v="66"/>
    </i>
    <i r="1">
      <x v="18"/>
      <x v="39"/>
    </i>
    <i r="2">
      <x v="48"/>
    </i>
    <i r="2">
      <x v="58"/>
    </i>
    <i r="2">
      <x v="65"/>
    </i>
    <i t="blank">
      <x v="44"/>
    </i>
    <i>
      <x v="45"/>
    </i>
    <i r="1">
      <x/>
      <x v="60"/>
    </i>
    <i r="1">
      <x v="1"/>
      <x v="2"/>
    </i>
    <i r="1">
      <x v="2"/>
      <x v="32"/>
    </i>
    <i r="2">
      <x v="59"/>
    </i>
    <i r="1">
      <x v="4"/>
      <x/>
    </i>
    <i r="2">
      <x v="64"/>
    </i>
    <i r="1">
      <x v="6"/>
      <x v="66"/>
    </i>
    <i r="1">
      <x v="7"/>
      <x v="11"/>
    </i>
    <i r="2">
      <x v="31"/>
    </i>
    <i r="2">
      <x v="42"/>
    </i>
    <i r="1">
      <x v="10"/>
      <x v="1"/>
    </i>
    <i r="2">
      <x v="14"/>
    </i>
    <i r="1">
      <x v="12"/>
      <x v="24"/>
    </i>
    <i r="2">
      <x v="36"/>
    </i>
    <i r="2">
      <x v="46"/>
    </i>
    <i r="2">
      <x v="53"/>
    </i>
    <i r="1">
      <x v="16"/>
      <x v="12"/>
    </i>
    <i r="2">
      <x v="33"/>
    </i>
    <i r="2">
      <x v="38"/>
    </i>
    <i r="1">
      <x v="19"/>
      <x v="3"/>
    </i>
    <i r="2">
      <x v="4"/>
    </i>
    <i r="2">
      <x v="8"/>
    </i>
    <i r="2">
      <x v="35"/>
    </i>
    <i r="2">
      <x v="50"/>
    </i>
    <i r="2">
      <x v="69"/>
    </i>
    <i t="blank">
      <x v="45"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総数／事業所数" fld="7" baseField="0" baseItem="0" numFmtId="176"/>
    <dataField name="総数／構成比" fld="8" baseField="0" baseItem="0" numFmtId="178"/>
    <dataField name="個人／事業所数" fld="9" baseField="0" baseItem="0" numFmtId="176"/>
    <dataField name="個人／構成比" fld="10" baseField="0" baseItem="0" numFmtId="178"/>
    <dataField name="法人／事業所数" fld="11" baseField="0" baseItem="0" numFmtId="176"/>
    <dataField name="法人／構成比" fld="12" baseField="0" baseItem="0" numFmtId="178"/>
    <dataField name="法人以外の団体／事業所数" fld="13" baseField="0" baseItem="0" numFmtId="176"/>
  </dataFields>
  <formats count="17">
    <format dxfId="660">
      <pivotArea field="2" type="button" dataOnly="0" labelOnly="1" outline="0" axis="axisRow" fieldPosition="0"/>
    </format>
    <format dxfId="659">
      <pivotArea outline="0" fieldPosition="0">
        <references count="1">
          <reference field="4294967294" count="1">
            <x v="0"/>
          </reference>
        </references>
      </pivotArea>
    </format>
    <format dxfId="658">
      <pivotArea outline="0" fieldPosition="0">
        <references count="1">
          <reference field="4294967294" count="1">
            <x v="1"/>
          </reference>
        </references>
      </pivotArea>
    </format>
    <format dxfId="657">
      <pivotArea outline="0" fieldPosition="0">
        <references count="1">
          <reference field="4294967294" count="1">
            <x v="2"/>
          </reference>
        </references>
      </pivotArea>
    </format>
    <format dxfId="656">
      <pivotArea outline="0" fieldPosition="0">
        <references count="1">
          <reference field="4294967294" count="1">
            <x v="3"/>
          </reference>
        </references>
      </pivotArea>
    </format>
    <format dxfId="655">
      <pivotArea outline="0" fieldPosition="0">
        <references count="1">
          <reference field="4294967294" count="1">
            <x v="4"/>
          </reference>
        </references>
      </pivotArea>
    </format>
    <format dxfId="654">
      <pivotArea outline="0" fieldPosition="0">
        <references count="1">
          <reference field="4294967294" count="1">
            <x v="5"/>
          </reference>
        </references>
      </pivotArea>
    </format>
    <format dxfId="653">
      <pivotArea outline="0" fieldPosition="0">
        <references count="1">
          <reference field="4294967294" count="1">
            <x v="6"/>
          </reference>
        </references>
      </pivotArea>
    </format>
    <format dxfId="652">
      <pivotArea field="2" type="button" dataOnly="0" labelOnly="1" outline="0" axis="axisRow" fieldPosition="0"/>
    </format>
    <format dxfId="651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50">
      <pivotArea field="2" type="button" dataOnly="0" labelOnly="1" outline="0" axis="axisRow" fieldPosition="0"/>
    </format>
    <format dxfId="649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8">
      <pivotArea field="2" type="button" dataOnly="0" labelOnly="1" outline="0" axis="axisRow" fieldPosition="0"/>
    </format>
    <format dxfId="647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5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644">
      <pivotArea field="5" type="button" dataOnly="0" labelOnly="1" outline="0" axis="axisRow" fieldPosition="2"/>
    </format>
  </formats>
  <pivotTableStyleInfo name="PivotStyleLight22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8E3DB5-32A1-456F-9153-6D796F173019}" name="LTBL_22000" displayName="LTBL_22000" ref="B4:I20" totalsRowCount="1">
  <autoFilter ref="B4:I19" xr:uid="{E68E3DB5-32A1-456F-9153-6D796F173019}"/>
  <tableColumns count="8">
    <tableColumn id="9" xr3:uid="{D14B6254-2E81-4C39-B822-96BCAD7271D6}" name="産業大分類" totalsRowLabel="合計" totalsRowDxfId="643"/>
    <tableColumn id="10" xr3:uid="{38811F9C-06AB-4D84-AD27-06D8C3ACC300}" name="総数／事業所数" totalsRowFunction="custom" totalsRowDxfId="642" dataCellStyle="桁区切り" totalsRowCellStyle="桁区切り">
      <totalsRowFormula>SUM(LTBL_22000[総数／事業所数])</totalsRowFormula>
    </tableColumn>
    <tableColumn id="11" xr3:uid="{3181541B-F803-4BD5-A05B-81C804E61616}" name="総数／構成比" dataDxfId="641"/>
    <tableColumn id="12" xr3:uid="{102F35C8-0A63-487F-847C-4AB516BA89C9}" name="個人／事業所数" totalsRowFunction="sum" totalsRowDxfId="640" dataCellStyle="桁区切り" totalsRowCellStyle="桁区切り"/>
    <tableColumn id="13" xr3:uid="{FC68ACA2-588F-4CCC-81FB-4D2F594F3CC5}" name="個人／構成比" dataDxfId="639"/>
    <tableColumn id="14" xr3:uid="{BE217691-0037-4128-BDD5-E614D691EC2E}" name="法人／事業所数" totalsRowFunction="sum" totalsRowDxfId="638" dataCellStyle="桁区切り" totalsRowCellStyle="桁区切り"/>
    <tableColumn id="15" xr3:uid="{1EBB6D7F-6683-4C72-8EAA-89862C5CFD35}" name="法人／構成比" dataDxfId="637"/>
    <tableColumn id="16" xr3:uid="{BE012428-2D6D-4C13-80C9-FF82BAD565A2}" name="法人以外の団体／事業所数" totalsRowFunction="sum" totalsRowDxfId="636" dataCellStyle="桁区切り" totalsRowCellStyle="桁区切り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B37EFA6-37CD-47C2-9CFE-59109A73D516}" name="LTBL_22102" displayName="LTBL_22102" ref="B4:I20" totalsRowCount="1">
  <autoFilter ref="B4:I19" xr:uid="{BB37EFA6-37CD-47C2-9CFE-59109A73D516}"/>
  <tableColumns count="8">
    <tableColumn id="9" xr3:uid="{C961B673-FD4E-40C9-A8B2-69D49869F37C}" name="産業大分類" totalsRowLabel="合計" totalsRowDxfId="601"/>
    <tableColumn id="10" xr3:uid="{E06174AD-8C86-49AE-BBA1-5EA1A1B46C31}" name="総数／事業所数" totalsRowFunction="custom" totalsRowDxfId="600" dataCellStyle="桁区切り" totalsRowCellStyle="桁区切り">
      <totalsRowFormula>SUM(LTBL_22102[総数／事業所数])</totalsRowFormula>
    </tableColumn>
    <tableColumn id="11" xr3:uid="{38CC003E-E12A-4484-A6DC-BCD05BA0555D}" name="総数／構成比" dataDxfId="599"/>
    <tableColumn id="12" xr3:uid="{7E9A94C6-5A9D-4A05-A237-F76D0D966B6B}" name="個人／事業所数" totalsRowFunction="sum" totalsRowDxfId="598" dataCellStyle="桁区切り" totalsRowCellStyle="桁区切り"/>
    <tableColumn id="13" xr3:uid="{BB11C917-794F-4C17-8207-5DEAB2434594}" name="個人／構成比" dataDxfId="597"/>
    <tableColumn id="14" xr3:uid="{47BE089C-A250-4DFB-9E04-BEC2991FB413}" name="法人／事業所数" totalsRowFunction="sum" totalsRowDxfId="596" dataCellStyle="桁区切り" totalsRowCellStyle="桁区切り"/>
    <tableColumn id="15" xr3:uid="{CE9508DA-2981-44F1-8BAD-A34BDD517E25}" name="法人／構成比" dataDxfId="595"/>
    <tableColumn id="16" xr3:uid="{7F8FEE0C-8719-4E48-BEED-96871D75A9DC}" name="法人以外の団体／事業所数" totalsRowFunction="sum" totalsRowDxfId="594" dataCellStyle="桁区切り" totalsRowCellStyle="桁区切り"/>
  </tableColumns>
  <tableStyleInfo name="TableStyleMedium9" showFirstColumn="0" showLastColumn="0" showRowStripes="1" showColumnStripes="0"/>
</table>
</file>

<file path=xl/tables/table10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253E4B0B-7B4E-435B-AECE-51014931C2DC}" name="LTBL_22226" displayName="LTBL_22226" ref="B4:I20" totalsRowCount="1">
  <autoFilter ref="B4:I19" xr:uid="{253E4B0B-7B4E-435B-AECE-51014931C2DC}"/>
  <tableColumns count="8">
    <tableColumn id="9" xr3:uid="{0B41B8A1-F7D4-4A9E-A086-B3F2F0625519}" name="産業大分類" totalsRowLabel="合計" totalsRowDxfId="181"/>
    <tableColumn id="10" xr3:uid="{982BB224-82A3-4686-B0EF-6EA24AECDA2A}" name="総数／事業所数" totalsRowFunction="custom" totalsRowDxfId="180" dataCellStyle="桁区切り" totalsRowCellStyle="桁区切り">
      <totalsRowFormula>SUM(LTBL_22226[総数／事業所数])</totalsRowFormula>
    </tableColumn>
    <tableColumn id="11" xr3:uid="{6ED75B7F-1A60-4BE5-A785-D650026971A8}" name="総数／構成比" dataDxfId="179"/>
    <tableColumn id="12" xr3:uid="{AC1C2A0A-8230-4242-B1E8-724C4DF6726C}" name="個人／事業所数" totalsRowFunction="sum" totalsRowDxfId="178" dataCellStyle="桁区切り" totalsRowCellStyle="桁区切り"/>
    <tableColumn id="13" xr3:uid="{BB752825-C24C-4570-8B05-FFAD5EE4EFA9}" name="個人／構成比" dataDxfId="177"/>
    <tableColumn id="14" xr3:uid="{099F48A1-0FC0-4F22-9139-A73105CA17AB}" name="法人／事業所数" totalsRowFunction="sum" totalsRowDxfId="176" dataCellStyle="桁区切り" totalsRowCellStyle="桁区切り"/>
    <tableColumn id="15" xr3:uid="{9ACAEC48-9440-4B1C-8C78-D140B5A4E529}" name="法人／構成比" dataDxfId="175"/>
    <tableColumn id="16" xr3:uid="{4DA82B05-5E50-42F9-BEA8-4A6F7922758A}" name="法人以外の団体／事業所数" totalsRowFunction="sum" totalsRowDxfId="174" dataCellStyle="桁区切り" totalsRowCellStyle="桁区切り"/>
  </tableColumns>
  <tableStyleInfo name="TableStyleMedium9" showFirstColumn="0" showLastColumn="0" showRowStripes="1" showColumnStripes="0"/>
</table>
</file>

<file path=xl/tables/table10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747B1A39-7795-44B3-A64E-3303D85B46BD}" name="M_TABLE_22226" displayName="M_TABLE_22226" ref="B23:I44" totalsRowShown="0">
  <autoFilter ref="B23:I44" xr:uid="{747B1A39-7795-44B3-A64E-3303D85B46BD}"/>
  <tableColumns count="8">
    <tableColumn id="9" xr3:uid="{32EE4010-40D5-4D54-982F-7EB7FBA59E18}" name="産業中分類上位２０"/>
    <tableColumn id="10" xr3:uid="{1E760BA2-69FD-4035-BFB7-A4463B62C91C}" name="総数／事業所数" dataCellStyle="桁区切り"/>
    <tableColumn id="11" xr3:uid="{D1B4670F-E96E-4F06-A1A6-D6FCD78CCA12}" name="総数／構成比" dataDxfId="173"/>
    <tableColumn id="12" xr3:uid="{B5C9A96E-F4C4-4874-970A-416353EBC234}" name="個人／事業所数" dataCellStyle="桁区切り"/>
    <tableColumn id="13" xr3:uid="{86AE0E24-A351-4AC0-BFE3-B53A4EF00BEC}" name="個人／構成比" dataDxfId="172"/>
    <tableColumn id="14" xr3:uid="{E3125306-95A7-408C-9799-4E8C8DD44B34}" name="法人／事業所数" dataCellStyle="桁区切り"/>
    <tableColumn id="15" xr3:uid="{6CE8ED4E-BB27-48C6-BD0E-7046134CD1E0}" name="法人／構成比" dataDxfId="171"/>
    <tableColumn id="16" xr3:uid="{E5EE0C49-1221-40FD-AA3F-B1D8E81D5865}" name="法人以外の団体／事業所数" dataCellStyle="桁区切り"/>
  </tableColumns>
  <tableStyleInfo name="TableStyleMedium9" showFirstColumn="0" showLastColumn="0" showRowStripes="1" showColumnStripes="0"/>
</table>
</file>

<file path=xl/tables/table10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6A18598C-360D-4C69-B4A6-E7FFC26A9081}" name="S_TABLE_22226" displayName="S_TABLE_22226" ref="B47:I67" totalsRowShown="0">
  <autoFilter ref="B47:I67" xr:uid="{6A18598C-360D-4C69-B4A6-E7FFC26A9081}"/>
  <tableColumns count="8">
    <tableColumn id="9" xr3:uid="{50F4C07D-DCDB-49B1-B409-E0DF4C07BAC1}" name="産業小分類上位２０"/>
    <tableColumn id="10" xr3:uid="{8000758D-3F2E-4D76-8EEB-DA37A8E523EE}" name="総数／事業所数" dataCellStyle="桁区切り"/>
    <tableColumn id="11" xr3:uid="{B090918E-75AB-4222-8E8A-0273B4C971ED}" name="総数／構成比" dataDxfId="170"/>
    <tableColumn id="12" xr3:uid="{CEA1C864-68CD-4B24-BAE4-06E43296196B}" name="個人／事業所数" dataCellStyle="桁区切り"/>
    <tableColumn id="13" xr3:uid="{B2492EFC-C011-4A1C-A23D-CDF8E34F1534}" name="個人／構成比" dataDxfId="169"/>
    <tableColumn id="14" xr3:uid="{21587BB3-4656-4421-B65B-CEFFE9679AE8}" name="法人／事業所数" dataCellStyle="桁区切り"/>
    <tableColumn id="15" xr3:uid="{2817988F-6120-4397-AD7C-DDBC93ADAF08}" name="法人／構成比" dataDxfId="168"/>
    <tableColumn id="16" xr3:uid="{9FDED783-BF68-4153-9F5D-5A8F0182A169}" name="法人以外の団体／事業所数" dataCellStyle="桁区切り"/>
  </tableColumns>
  <tableStyleInfo name="TableStyleMedium9" showFirstColumn="0" showLastColumn="0" showRowStripes="1" showColumnStripes="0"/>
</table>
</file>

<file path=xl/tables/table10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9F52FFC5-1340-401C-B83D-12610C4CFAEF}" name="LTBL_22301" displayName="LTBL_22301" ref="B4:I20" totalsRowCount="1">
  <autoFilter ref="B4:I19" xr:uid="{9F52FFC5-1340-401C-B83D-12610C4CFAEF}"/>
  <tableColumns count="8">
    <tableColumn id="9" xr3:uid="{A2200016-2191-47E1-B665-9E35DB5B6851}" name="産業大分類" totalsRowLabel="合計" totalsRowDxfId="167"/>
    <tableColumn id="10" xr3:uid="{1A022E96-B7CF-4698-9683-EC2A27F7A132}" name="総数／事業所数" totalsRowFunction="custom" totalsRowDxfId="166" dataCellStyle="桁区切り" totalsRowCellStyle="桁区切り">
      <totalsRowFormula>SUM(LTBL_22301[総数／事業所数])</totalsRowFormula>
    </tableColumn>
    <tableColumn id="11" xr3:uid="{728090B7-7DA0-4F40-9BAA-AF87AFAEB208}" name="総数／構成比" dataDxfId="165"/>
    <tableColumn id="12" xr3:uid="{AC4DB790-0A39-42DD-8EEA-09E41860A083}" name="個人／事業所数" totalsRowFunction="sum" totalsRowDxfId="164" dataCellStyle="桁区切り" totalsRowCellStyle="桁区切り"/>
    <tableColumn id="13" xr3:uid="{F476ABE1-A345-42A0-B10C-D9EC9450F3BF}" name="個人／構成比" dataDxfId="163"/>
    <tableColumn id="14" xr3:uid="{2AAD5E91-0749-40FC-A8F0-1C671E7D4FCA}" name="法人／事業所数" totalsRowFunction="sum" totalsRowDxfId="162" dataCellStyle="桁区切り" totalsRowCellStyle="桁区切り"/>
    <tableColumn id="15" xr3:uid="{8F8DF0D8-2620-497D-86DB-407291A22371}" name="法人／構成比" dataDxfId="161"/>
    <tableColumn id="16" xr3:uid="{F6121C9B-11BD-4604-91E0-716A9E145463}" name="法人以外の団体／事業所数" totalsRowFunction="sum" totalsRowDxfId="160" dataCellStyle="桁区切り" totalsRowCellStyle="桁区切り"/>
  </tableColumns>
  <tableStyleInfo name="TableStyleMedium9" showFirstColumn="0" showLastColumn="0" showRowStripes="1" showColumnStripes="0"/>
</table>
</file>

<file path=xl/tables/table10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DF02F621-3D3E-48BE-833D-6B44B6FA6A08}" name="M_TABLE_22301" displayName="M_TABLE_22301" ref="B23:I44" totalsRowShown="0">
  <autoFilter ref="B23:I44" xr:uid="{DF02F621-3D3E-48BE-833D-6B44B6FA6A08}"/>
  <tableColumns count="8">
    <tableColumn id="9" xr3:uid="{BB0A439B-573F-4C35-BB5E-EF18709AB60B}" name="産業中分類上位２０"/>
    <tableColumn id="10" xr3:uid="{42696B68-7F7C-496A-8AEC-C54515C0ADEB}" name="総数／事業所数" dataCellStyle="桁区切り"/>
    <tableColumn id="11" xr3:uid="{DE54EDE5-B04E-467B-9324-8D5CAF27DDF0}" name="総数／構成比" dataDxfId="159"/>
    <tableColumn id="12" xr3:uid="{CBA5983B-A19F-40D9-A27A-B070C9DE3F1C}" name="個人／事業所数" dataCellStyle="桁区切り"/>
    <tableColumn id="13" xr3:uid="{7D5920F6-AE0C-477A-803C-AE4BC1109016}" name="個人／構成比" dataDxfId="158"/>
    <tableColumn id="14" xr3:uid="{41D05B38-56C7-4282-86AB-F5851B074B4F}" name="法人／事業所数" dataCellStyle="桁区切り"/>
    <tableColumn id="15" xr3:uid="{8AF80911-0F6B-40D9-B4E5-139235AB90F6}" name="法人／構成比" dataDxfId="157"/>
    <tableColumn id="16" xr3:uid="{1B3DEA46-8A6E-415E-9D2B-F6706DDB2D0E}" name="法人以外の団体／事業所数" dataCellStyle="桁区切り"/>
  </tableColumns>
  <tableStyleInfo name="TableStyleMedium9" showFirstColumn="0" showLastColumn="0" showRowStripes="1" showColumnStripes="0"/>
</table>
</file>

<file path=xl/tables/table10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7941DCA9-2784-445E-8CCB-3DC921EE6F8C}" name="S_TABLE_22301" displayName="S_TABLE_22301" ref="B47:I70" totalsRowShown="0">
  <autoFilter ref="B47:I70" xr:uid="{7941DCA9-2784-445E-8CCB-3DC921EE6F8C}"/>
  <tableColumns count="8">
    <tableColumn id="9" xr3:uid="{F8C9DFE7-C5FA-403A-BA0D-C938C233C778}" name="産業小分類上位２０"/>
    <tableColumn id="10" xr3:uid="{F92AE96E-41C8-468A-BA87-4DA94559C051}" name="総数／事業所数" dataCellStyle="桁区切り"/>
    <tableColumn id="11" xr3:uid="{47690513-73C7-448B-A110-36F787C8315F}" name="総数／構成比" dataDxfId="156"/>
    <tableColumn id="12" xr3:uid="{F9CCD765-DE8F-4A3B-AB4C-E6F05E464991}" name="個人／事業所数" dataCellStyle="桁区切り"/>
    <tableColumn id="13" xr3:uid="{20883AC5-F977-4603-B6E4-0596D6B1C611}" name="個人／構成比" dataDxfId="155"/>
    <tableColumn id="14" xr3:uid="{6915AA44-A46A-4330-9AAD-9F6018962477}" name="法人／事業所数" dataCellStyle="桁区切り"/>
    <tableColumn id="15" xr3:uid="{9F51F63B-ECF8-4718-8C46-715A4680F13F}" name="法人／構成比" dataDxfId="154"/>
    <tableColumn id="16" xr3:uid="{C587E3EA-2FD0-4A70-937E-EADA0FA085F4}" name="法人以外の団体／事業所数" dataCellStyle="桁区切り"/>
  </tableColumns>
  <tableStyleInfo name="TableStyleMedium9" showFirstColumn="0" showLastColumn="0" showRowStripes="1" showColumnStripes="0"/>
</table>
</file>

<file path=xl/tables/table10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1C74ABEC-4BCE-4093-A1B5-0035072F7401}" name="LTBL_22302" displayName="LTBL_22302" ref="B4:I20" totalsRowCount="1">
  <autoFilter ref="B4:I19" xr:uid="{1C74ABEC-4BCE-4093-A1B5-0035072F7401}"/>
  <tableColumns count="8">
    <tableColumn id="9" xr3:uid="{993955CD-C168-4A1D-A29C-44A5D8269622}" name="産業大分類" totalsRowLabel="合計" totalsRowDxfId="153"/>
    <tableColumn id="10" xr3:uid="{6FCA6D16-27A4-4F0B-B498-B771BBF81CA1}" name="総数／事業所数" totalsRowFunction="custom" totalsRowDxfId="152" dataCellStyle="桁区切り" totalsRowCellStyle="桁区切り">
      <totalsRowFormula>SUM(LTBL_22302[総数／事業所数])</totalsRowFormula>
    </tableColumn>
    <tableColumn id="11" xr3:uid="{BA94DC8C-A408-4177-BD85-D335C453B054}" name="総数／構成比" dataDxfId="151"/>
    <tableColumn id="12" xr3:uid="{48C82DCA-B880-43A1-8586-1C1B10870E8E}" name="個人／事業所数" totalsRowFunction="sum" totalsRowDxfId="150" dataCellStyle="桁区切り" totalsRowCellStyle="桁区切り"/>
    <tableColumn id="13" xr3:uid="{64552EAB-BF2E-4D15-BE07-FFAF9ED491B4}" name="個人／構成比" dataDxfId="149"/>
    <tableColumn id="14" xr3:uid="{84D6697E-D19D-47EA-9134-13539C843D2F}" name="法人／事業所数" totalsRowFunction="sum" totalsRowDxfId="148" dataCellStyle="桁区切り" totalsRowCellStyle="桁区切り"/>
    <tableColumn id="15" xr3:uid="{0FE19983-08A5-46A2-A082-46DF6F9D97CB}" name="法人／構成比" dataDxfId="147"/>
    <tableColumn id="16" xr3:uid="{2FAE0C3F-1CC7-4AA3-A0EE-4E46691BB96A}" name="法人以外の団体／事業所数" totalsRowFunction="sum" totalsRowDxfId="146" dataCellStyle="桁区切り" totalsRowCellStyle="桁区切り"/>
  </tableColumns>
  <tableStyleInfo name="TableStyleMedium9" showFirstColumn="0" showLastColumn="0" showRowStripes="1" showColumnStripes="0"/>
</table>
</file>

<file path=xl/tables/table10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DAFC3647-214A-4E03-9000-C4B81FA6A566}" name="M_TABLE_22302" displayName="M_TABLE_22302" ref="B23:I48" totalsRowShown="0">
  <autoFilter ref="B23:I48" xr:uid="{DAFC3647-214A-4E03-9000-C4B81FA6A566}"/>
  <tableColumns count="8">
    <tableColumn id="9" xr3:uid="{37B37218-2CC8-4D8F-90D1-38BB9C50543C}" name="産業中分類上位２０"/>
    <tableColumn id="10" xr3:uid="{B5FEE527-89B9-43F8-9CB3-4ACAF0E57DE4}" name="総数／事業所数" dataCellStyle="桁区切り"/>
    <tableColumn id="11" xr3:uid="{B583FCD7-285F-4DCE-8D18-DB3856A814AF}" name="総数／構成比" dataDxfId="145"/>
    <tableColumn id="12" xr3:uid="{2AD4007C-086F-446B-BFE1-24E4376130BA}" name="個人／事業所数" dataCellStyle="桁区切り"/>
    <tableColumn id="13" xr3:uid="{EF01AFF7-BCA8-4D5E-831E-1A2DBE4E450F}" name="個人／構成比" dataDxfId="144"/>
    <tableColumn id="14" xr3:uid="{538EB4C1-8863-46F3-B66C-545054458934}" name="法人／事業所数" dataCellStyle="桁区切り"/>
    <tableColumn id="15" xr3:uid="{A0AF515D-9648-4FCB-9DE4-6A159194A850}" name="法人／構成比" dataDxfId="143"/>
    <tableColumn id="16" xr3:uid="{756043C2-3FBF-49DA-9D9C-932C0297694F}" name="法人以外の団体／事業所数" dataCellStyle="桁区切り"/>
  </tableColumns>
  <tableStyleInfo name="TableStyleMedium9" showFirstColumn="0" showLastColumn="0" showRowStripes="1" showColumnStripes="0"/>
</table>
</file>

<file path=xl/tables/table10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A816687D-6D7D-45F6-A8AB-1B2F56211B82}" name="S_TABLE_22302" displayName="S_TABLE_22302" ref="B51:I71" totalsRowShown="0">
  <autoFilter ref="B51:I71" xr:uid="{A816687D-6D7D-45F6-A8AB-1B2F56211B82}"/>
  <tableColumns count="8">
    <tableColumn id="9" xr3:uid="{C1FA6390-A558-4EED-A577-A11AA0F24970}" name="産業小分類上位２０"/>
    <tableColumn id="10" xr3:uid="{38FED019-4257-4FB4-9DDE-EE77A37F00A7}" name="総数／事業所数" dataCellStyle="桁区切り"/>
    <tableColumn id="11" xr3:uid="{83B96FDA-1D43-485D-9E0D-54BE1C2CD4F7}" name="総数／構成比" dataDxfId="142"/>
    <tableColumn id="12" xr3:uid="{78CC0433-F0CB-4767-930E-5C39F136EC61}" name="個人／事業所数" dataCellStyle="桁区切り"/>
    <tableColumn id="13" xr3:uid="{5C48EC1C-9A04-492B-8695-F0E32CB6D18D}" name="個人／構成比" dataDxfId="141"/>
    <tableColumn id="14" xr3:uid="{8459CD67-1964-4147-BC71-7DF105782DE8}" name="法人／事業所数" dataCellStyle="桁区切り"/>
    <tableColumn id="15" xr3:uid="{A43A4769-F895-4B9E-98BC-DFA4FDC60AD6}" name="法人／構成比" dataDxfId="140"/>
    <tableColumn id="16" xr3:uid="{128ACC39-AF0B-4813-ABD9-0A2F34388487}" name="法人以外の団体／事業所数" dataCellStyle="桁区切り"/>
  </tableColumns>
  <tableStyleInfo name="TableStyleMedium9" showFirstColumn="0" showLastColumn="0" showRowStripes="1" showColumnStripes="0"/>
</table>
</file>

<file path=xl/tables/table10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A296F7B4-7DF9-46A3-AF0F-1A9EE8164E94}" name="LTBL_22304" displayName="LTBL_22304" ref="B4:I20" totalsRowCount="1">
  <autoFilter ref="B4:I19" xr:uid="{A296F7B4-7DF9-46A3-AF0F-1A9EE8164E94}"/>
  <tableColumns count="8">
    <tableColumn id="9" xr3:uid="{A01DF2DF-87B9-41BC-BDD7-AC418019A3A4}" name="産業大分類" totalsRowLabel="合計" totalsRowDxfId="139"/>
    <tableColumn id="10" xr3:uid="{C99522A6-8BE7-4FF0-A16F-1275D24C50EF}" name="総数／事業所数" totalsRowFunction="custom" totalsRowDxfId="138" dataCellStyle="桁区切り" totalsRowCellStyle="桁区切り">
      <totalsRowFormula>SUM(LTBL_22304[総数／事業所数])</totalsRowFormula>
    </tableColumn>
    <tableColumn id="11" xr3:uid="{85EB6BF1-BEE9-4553-A725-02E4352408EB}" name="総数／構成比" dataDxfId="137"/>
    <tableColumn id="12" xr3:uid="{B375B215-8187-4740-A695-7E1D395EC796}" name="個人／事業所数" totalsRowFunction="sum" totalsRowDxfId="136" dataCellStyle="桁区切り" totalsRowCellStyle="桁区切り"/>
    <tableColumn id="13" xr3:uid="{F375B32C-BFE9-42FB-8829-5AE1FA706710}" name="個人／構成比" dataDxfId="135"/>
    <tableColumn id="14" xr3:uid="{80510F61-D9F0-431B-A01F-3D98C281126A}" name="法人／事業所数" totalsRowFunction="sum" totalsRowDxfId="134" dataCellStyle="桁区切り" totalsRowCellStyle="桁区切り"/>
    <tableColumn id="15" xr3:uid="{D827A360-847E-4417-9816-70A5A7E2F1DE}" name="法人／構成比" dataDxfId="133"/>
    <tableColumn id="16" xr3:uid="{4822EF7E-794E-4782-B275-1085CF8ED35B}" name="法人以外の団体／事業所数" totalsRowFunction="sum" totalsRowDxfId="132" dataCellStyle="桁区切り" totalsRowCellStyle="桁区切り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2C78E516-B75A-4C23-9660-24F5E0221D14}" name="M_TABLE_22102" displayName="M_TABLE_22102" ref="B23:I43" totalsRowShown="0">
  <autoFilter ref="B23:I43" xr:uid="{2C78E516-B75A-4C23-9660-24F5E0221D14}"/>
  <tableColumns count="8">
    <tableColumn id="9" xr3:uid="{4588113D-BA49-435A-A2A7-4A3F844A6A23}" name="産業中分類上位２０"/>
    <tableColumn id="10" xr3:uid="{05F6ED4C-3714-45A1-9F6B-96E52185BF9E}" name="総数／事業所数" dataCellStyle="桁区切り"/>
    <tableColumn id="11" xr3:uid="{C1D06F93-6154-4132-A69D-AC724127BB7A}" name="総数／構成比" dataDxfId="593"/>
    <tableColumn id="12" xr3:uid="{B016352D-FCE9-4DFA-A20C-560544D7862A}" name="個人／事業所数" dataCellStyle="桁区切り"/>
    <tableColumn id="13" xr3:uid="{9238A780-E504-46B3-B994-C87D299B549E}" name="個人／構成比" dataDxfId="592"/>
    <tableColumn id="14" xr3:uid="{21E335C0-E950-467C-AB6B-ED9F30F8886F}" name="法人／事業所数" dataCellStyle="桁区切り"/>
    <tableColumn id="15" xr3:uid="{6BD69706-4DA1-4EFA-BBBD-07928F3A6F82}" name="法人／構成比" dataDxfId="591"/>
    <tableColumn id="16" xr3:uid="{8BF7EEDB-895C-42A8-824A-6003DD15D542}" name="法人以外の団体／事業所数" dataCellStyle="桁区切り"/>
  </tableColumns>
  <tableStyleInfo name="TableStyleMedium9" showFirstColumn="0" showLastColumn="0" showRowStripes="1" showColumnStripes="0"/>
</table>
</file>

<file path=xl/tables/table1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FDE099C-727B-49E4-8D90-9C31ED81AB63}" name="M_TABLE_22304" displayName="M_TABLE_22304" ref="B23:I43" totalsRowShown="0">
  <autoFilter ref="B23:I43" xr:uid="{4FDE099C-727B-49E4-8D90-9C31ED81AB63}"/>
  <tableColumns count="8">
    <tableColumn id="9" xr3:uid="{C7F75C7C-3E13-41E1-BB28-C7979EA5D1E8}" name="産業中分類上位２０"/>
    <tableColumn id="10" xr3:uid="{9682E6A7-087F-4D99-9E48-25F803BC653E}" name="総数／事業所数" dataCellStyle="桁区切り"/>
    <tableColumn id="11" xr3:uid="{19CA794A-22B1-4990-8AB1-9F854786AE9B}" name="総数／構成比" dataDxfId="131"/>
    <tableColumn id="12" xr3:uid="{21E392FA-4F35-4A24-8965-22A52DF5165B}" name="個人／事業所数" dataCellStyle="桁区切り"/>
    <tableColumn id="13" xr3:uid="{075392F0-D31B-4EC6-8991-A6EB4C4062B4}" name="個人／構成比" dataDxfId="130"/>
    <tableColumn id="14" xr3:uid="{0E70AB13-DB1D-4E09-B125-7B108F00173B}" name="法人／事業所数" dataCellStyle="桁区切り"/>
    <tableColumn id="15" xr3:uid="{2AC53597-8548-4FF7-AF1D-3A13F96B9FC6}" name="法人／構成比" dataDxfId="129"/>
    <tableColumn id="16" xr3:uid="{5958723B-395A-4383-A50B-303209B59109}" name="法人以外の団体／事業所数" dataCellStyle="桁区切り"/>
  </tableColumns>
  <tableStyleInfo name="TableStyleMedium9" showFirstColumn="0" showLastColumn="0" showRowStripes="1" showColumnStripes="0"/>
</table>
</file>

<file path=xl/tables/table1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21DB7B3E-46C3-43C5-B88E-24D2B9159260}" name="S_TABLE_22304" displayName="S_TABLE_22304" ref="B46:I66" totalsRowShown="0">
  <autoFilter ref="B46:I66" xr:uid="{21DB7B3E-46C3-43C5-B88E-24D2B9159260}"/>
  <tableColumns count="8">
    <tableColumn id="9" xr3:uid="{4EA994BE-2C51-4E4B-B4A3-67593FBE5589}" name="産業小分類上位２０"/>
    <tableColumn id="10" xr3:uid="{F0610893-C44D-4262-92C8-4F7E6413ECDB}" name="総数／事業所数" dataCellStyle="桁区切り"/>
    <tableColumn id="11" xr3:uid="{EAC5D449-42AC-4D3E-8A00-A21CF4B2BD42}" name="総数／構成比" dataDxfId="128"/>
    <tableColumn id="12" xr3:uid="{C91099DD-F01A-43CA-BE17-AAAB1B10A440}" name="個人／事業所数" dataCellStyle="桁区切り"/>
    <tableColumn id="13" xr3:uid="{C3D1DDB4-2E69-4980-839F-5A942A81EF9A}" name="個人／構成比" dataDxfId="127"/>
    <tableColumn id="14" xr3:uid="{420707C3-E8DF-47F3-AA85-80D11AB3EAD0}" name="法人／事業所数" dataCellStyle="桁区切り"/>
    <tableColumn id="15" xr3:uid="{BF07F1B3-AEC5-4268-AB6A-20A658C12710}" name="法人／構成比" dataDxfId="126"/>
    <tableColumn id="16" xr3:uid="{1292A682-3161-4ADA-95B5-CC21210A5C5C}" name="法人以外の団体／事業所数" dataCellStyle="桁区切り"/>
  </tableColumns>
  <tableStyleInfo name="TableStyleMedium9" showFirstColumn="0" showLastColumn="0" showRowStripes="1" showColumnStripes="0"/>
</table>
</file>

<file path=xl/tables/table1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8A305406-1543-4088-A7AF-184AEB2A94E3}" name="LTBL_22305" displayName="LTBL_22305" ref="B4:I20" totalsRowCount="1">
  <autoFilter ref="B4:I19" xr:uid="{8A305406-1543-4088-A7AF-184AEB2A94E3}"/>
  <tableColumns count="8">
    <tableColumn id="9" xr3:uid="{8B70284F-B690-44A2-BD9C-4D4E2E1E0F8A}" name="産業大分類" totalsRowLabel="合計" totalsRowDxfId="125"/>
    <tableColumn id="10" xr3:uid="{E1258AA4-CB39-481B-BE6C-0F2B4022DABD}" name="総数／事業所数" totalsRowFunction="custom" totalsRowDxfId="124" dataCellStyle="桁区切り" totalsRowCellStyle="桁区切り">
      <totalsRowFormula>SUM(LTBL_22305[総数／事業所数])</totalsRowFormula>
    </tableColumn>
    <tableColumn id="11" xr3:uid="{36E6E21C-467E-490D-862A-5F3268087013}" name="総数／構成比" dataDxfId="123"/>
    <tableColumn id="12" xr3:uid="{EAE6DBC3-A1C3-440F-A5B2-DB2CB3F5039F}" name="個人／事業所数" totalsRowFunction="sum" totalsRowDxfId="122" dataCellStyle="桁区切り" totalsRowCellStyle="桁区切り"/>
    <tableColumn id="13" xr3:uid="{3E57650B-427E-4573-82C6-F1D99A9255E2}" name="個人／構成比" dataDxfId="121"/>
    <tableColumn id="14" xr3:uid="{4A699753-2A28-493A-B9D5-1029411D1098}" name="法人／事業所数" totalsRowFunction="sum" totalsRowDxfId="120" dataCellStyle="桁区切り" totalsRowCellStyle="桁区切り"/>
    <tableColumn id="15" xr3:uid="{4B35F788-81AC-4ED8-B89D-8285DB3E1C58}" name="法人／構成比" dataDxfId="119"/>
    <tableColumn id="16" xr3:uid="{CDEC7850-1F6E-4FFE-B3F4-EF0334ED5018}" name="法人以外の団体／事業所数" totalsRowFunction="sum" totalsRowDxfId="118" dataCellStyle="桁区切り" totalsRowCellStyle="桁区切り"/>
  </tableColumns>
  <tableStyleInfo name="TableStyleMedium9" showFirstColumn="0" showLastColumn="0" showRowStripes="1" showColumnStripes="0"/>
</table>
</file>

<file path=xl/tables/table1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601F0AED-250F-406C-BE0C-21E29385A485}" name="M_TABLE_22305" displayName="M_TABLE_22305" ref="B23:I45" totalsRowShown="0">
  <autoFilter ref="B23:I45" xr:uid="{601F0AED-250F-406C-BE0C-21E29385A485}"/>
  <tableColumns count="8">
    <tableColumn id="9" xr3:uid="{318611BB-DC38-49F1-9FD1-39FB73B5A0E4}" name="産業中分類上位２０"/>
    <tableColumn id="10" xr3:uid="{3DB7201F-620A-48CB-9485-AB61CB911E6B}" name="総数／事業所数" dataCellStyle="桁区切り"/>
    <tableColumn id="11" xr3:uid="{03AD1734-AC38-4E7D-90F8-698FE6256A42}" name="総数／構成比" dataDxfId="117"/>
    <tableColumn id="12" xr3:uid="{EC7285F6-FD9F-4BD0-BB3E-9E077A7AF0F9}" name="個人／事業所数" dataCellStyle="桁区切り"/>
    <tableColumn id="13" xr3:uid="{CD98EBEF-0F9D-42A4-B205-83B6E367BFF5}" name="個人／構成比" dataDxfId="116"/>
    <tableColumn id="14" xr3:uid="{F1DB356F-AA9B-4706-B989-3509720B005F}" name="法人／事業所数" dataCellStyle="桁区切り"/>
    <tableColumn id="15" xr3:uid="{91035BE0-125B-4362-A071-F72F43EA6121}" name="法人／構成比" dataDxfId="115"/>
    <tableColumn id="16" xr3:uid="{E4F3BC8A-BCCC-4D83-8200-CF5E4A266477}" name="法人以外の団体／事業所数" dataCellStyle="桁区切り"/>
  </tableColumns>
  <tableStyleInfo name="TableStyleMedium9" showFirstColumn="0" showLastColumn="0" showRowStripes="1" showColumnStripes="0"/>
</table>
</file>

<file path=xl/tables/table1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4488AA36-3786-48AC-86C8-2E6E052D3D1F}" name="S_TABLE_22305" displayName="S_TABLE_22305" ref="B48:I71" totalsRowShown="0">
  <autoFilter ref="B48:I71" xr:uid="{4488AA36-3786-48AC-86C8-2E6E052D3D1F}"/>
  <tableColumns count="8">
    <tableColumn id="9" xr3:uid="{96690BDB-1D7A-4AC6-888E-154A6B316ECB}" name="産業小分類上位２０"/>
    <tableColumn id="10" xr3:uid="{084AEA6B-71BC-4C14-BD98-651A3EDDDA19}" name="総数／事業所数" dataCellStyle="桁区切り"/>
    <tableColumn id="11" xr3:uid="{08DB574D-CE93-461A-A5A6-96976BE85151}" name="総数／構成比" dataDxfId="114"/>
    <tableColumn id="12" xr3:uid="{B0A63EC7-FDF8-4D73-A18F-36D6F98EC6DE}" name="個人／事業所数" dataCellStyle="桁区切り"/>
    <tableColumn id="13" xr3:uid="{EF017291-0F82-4CB4-9C9E-88D1BD83B88C}" name="個人／構成比" dataDxfId="113"/>
    <tableColumn id="14" xr3:uid="{72640320-6611-4996-A5C2-8596B58C7AB3}" name="法人／事業所数" dataCellStyle="桁区切り"/>
    <tableColumn id="15" xr3:uid="{0B603BF9-819D-46F0-AD0B-BEC66312D610}" name="法人／構成比" dataDxfId="112"/>
    <tableColumn id="16" xr3:uid="{59868017-9DCE-4F7F-B19D-40C38E1ADC24}" name="法人以外の団体／事業所数" dataCellStyle="桁区切り"/>
  </tableColumns>
  <tableStyleInfo name="TableStyleMedium9" showFirstColumn="0" showLastColumn="0" showRowStripes="1" showColumnStripes="0"/>
</table>
</file>

<file path=xl/tables/table1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07F1E2B1-4E02-4373-9C77-0F4C1DC55BBA}" name="LTBL_22306" displayName="LTBL_22306" ref="B4:I20" totalsRowCount="1">
  <autoFilter ref="B4:I19" xr:uid="{07F1E2B1-4E02-4373-9C77-0F4C1DC55BBA}"/>
  <tableColumns count="8">
    <tableColumn id="9" xr3:uid="{D587B231-AF4B-4BAC-8749-DF7CAFF5EF8B}" name="産業大分類" totalsRowLabel="合計" totalsRowDxfId="111"/>
    <tableColumn id="10" xr3:uid="{A7E0A6CB-9693-4BFC-860F-AD2F4B245918}" name="総数／事業所数" totalsRowFunction="custom" totalsRowDxfId="110" dataCellStyle="桁区切り" totalsRowCellStyle="桁区切り">
      <totalsRowFormula>SUM(LTBL_22306[総数／事業所数])</totalsRowFormula>
    </tableColumn>
    <tableColumn id="11" xr3:uid="{D115B36B-4FF7-48B7-A1FB-EBD1A68E007A}" name="総数／構成比" dataDxfId="109"/>
    <tableColumn id="12" xr3:uid="{F494C6D5-926D-48D6-BEB1-B1427806BF20}" name="個人／事業所数" totalsRowFunction="sum" totalsRowDxfId="108" dataCellStyle="桁区切り" totalsRowCellStyle="桁区切り"/>
    <tableColumn id="13" xr3:uid="{480BEDBD-FC09-4A6D-A03E-973D4C2E70AB}" name="個人／構成比" dataDxfId="107"/>
    <tableColumn id="14" xr3:uid="{AD4F93C6-A58B-481E-AFAC-B3D2BA8C4AAD}" name="法人／事業所数" totalsRowFunction="sum" totalsRowDxfId="106" dataCellStyle="桁区切り" totalsRowCellStyle="桁区切り"/>
    <tableColumn id="15" xr3:uid="{8F522974-DDBB-4542-BE8E-0BEF20752FF2}" name="法人／構成比" dataDxfId="105"/>
    <tableColumn id="16" xr3:uid="{5F45A651-7902-4FC9-8510-E6E0489D2B28}" name="法人以外の団体／事業所数" totalsRowFunction="sum" totalsRowDxfId="104" dataCellStyle="桁区切り" totalsRowCellStyle="桁区切り"/>
  </tableColumns>
  <tableStyleInfo name="TableStyleMedium9" showFirstColumn="0" showLastColumn="0" showRowStripes="1" showColumnStripes="0"/>
</table>
</file>

<file path=xl/tables/table1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2C82617B-5550-404D-B59F-3F8984BC4F4D}" name="M_TABLE_22306" displayName="M_TABLE_22306" ref="B23:I43" totalsRowShown="0">
  <autoFilter ref="B23:I43" xr:uid="{2C82617B-5550-404D-B59F-3F8984BC4F4D}"/>
  <tableColumns count="8">
    <tableColumn id="9" xr3:uid="{6F40EFA5-06FC-4908-90BC-BA7B771F1ACB}" name="産業中分類上位２０"/>
    <tableColumn id="10" xr3:uid="{BA809807-B761-45CB-A68C-35FB208162A7}" name="総数／事業所数" dataCellStyle="桁区切り"/>
    <tableColumn id="11" xr3:uid="{74CA80E3-D50D-4F91-B1D6-B837CBBBD133}" name="総数／構成比" dataDxfId="103"/>
    <tableColumn id="12" xr3:uid="{30507B96-636E-47E0-B65F-61078A035DFE}" name="個人／事業所数" dataCellStyle="桁区切り"/>
    <tableColumn id="13" xr3:uid="{11EEB376-0C86-4DE4-8D0A-5F755210D764}" name="個人／構成比" dataDxfId="102"/>
    <tableColumn id="14" xr3:uid="{49695C80-C240-4D15-B9EE-81869F9042F2}" name="法人／事業所数" dataCellStyle="桁区切り"/>
    <tableColumn id="15" xr3:uid="{0A5A8117-B0A2-46F9-9C36-8127B37D4EB7}" name="法人／構成比" dataDxfId="101"/>
    <tableColumn id="16" xr3:uid="{B633B4B0-36E0-4A49-9AA8-D94559FB9BA6}" name="法人以外の団体／事業所数" dataCellStyle="桁区切り"/>
  </tableColumns>
  <tableStyleInfo name="TableStyleMedium9" showFirstColumn="0" showLastColumn="0" showRowStripes="1" showColumnStripes="0"/>
</table>
</file>

<file path=xl/tables/table1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2932505F-6B4E-4E2E-AE3D-8DC2AABDD4FB}" name="S_TABLE_22306" displayName="S_TABLE_22306" ref="B46:I69" totalsRowShown="0">
  <autoFilter ref="B46:I69" xr:uid="{2932505F-6B4E-4E2E-AE3D-8DC2AABDD4FB}"/>
  <tableColumns count="8">
    <tableColumn id="9" xr3:uid="{C03D5CC9-6AB6-4FED-B75D-E5E8C2316AB5}" name="産業小分類上位２０"/>
    <tableColumn id="10" xr3:uid="{813E9681-2CC9-40B1-8967-A842BCE00AD8}" name="総数／事業所数" dataCellStyle="桁区切り"/>
    <tableColumn id="11" xr3:uid="{97CCAFC9-B135-4021-BE71-A5AE33F3549F}" name="総数／構成比" dataDxfId="100"/>
    <tableColumn id="12" xr3:uid="{1988CBBE-E954-455E-82E8-E4975B8DDFEA}" name="個人／事業所数" dataCellStyle="桁区切り"/>
    <tableColumn id="13" xr3:uid="{AA8DBB09-7A36-49BB-A722-CB3CD265D47E}" name="個人／構成比" dataDxfId="99"/>
    <tableColumn id="14" xr3:uid="{F0A9EE71-C791-47FD-A320-BED3C2EF58B1}" name="法人／事業所数" dataCellStyle="桁区切り"/>
    <tableColumn id="15" xr3:uid="{523CB572-FA7F-4D4F-A8B1-7E710C69CB21}" name="法人／構成比" dataDxfId="98"/>
    <tableColumn id="16" xr3:uid="{FD2EF023-4F40-48EC-B4B8-A40F51F7A02C}" name="法人以外の団体／事業所数" dataCellStyle="桁区切り"/>
  </tableColumns>
  <tableStyleInfo name="TableStyleMedium9" showFirstColumn="0" showLastColumn="0" showRowStripes="1" showColumnStripes="0"/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D6604187-C74C-4F5D-9A4C-036D09A7F5A0}" name="LTBL_22325" displayName="LTBL_22325" ref="B4:I20" totalsRowCount="1">
  <autoFilter ref="B4:I19" xr:uid="{D6604187-C74C-4F5D-9A4C-036D09A7F5A0}"/>
  <tableColumns count="8">
    <tableColumn id="9" xr3:uid="{336260E9-F1F7-403E-827C-90DCA6A73E41}" name="産業大分類" totalsRowLabel="合計" totalsRowDxfId="97"/>
    <tableColumn id="10" xr3:uid="{2121FB22-8B08-4844-A4C7-B13F5D8C25BD}" name="総数／事業所数" totalsRowFunction="custom" totalsRowDxfId="96" dataCellStyle="桁区切り" totalsRowCellStyle="桁区切り">
      <totalsRowFormula>SUM(LTBL_22325[総数／事業所数])</totalsRowFormula>
    </tableColumn>
    <tableColumn id="11" xr3:uid="{41B0989D-C74A-4961-9213-815350F69F66}" name="総数／構成比" dataDxfId="95"/>
    <tableColumn id="12" xr3:uid="{3145BE96-7804-446F-9065-DDC3E7626DF8}" name="個人／事業所数" totalsRowFunction="sum" totalsRowDxfId="94" dataCellStyle="桁区切り" totalsRowCellStyle="桁区切り"/>
    <tableColumn id="13" xr3:uid="{19AE70ED-B9DA-49A2-B01B-6AD3AAA80ADC}" name="個人／構成比" dataDxfId="93"/>
    <tableColumn id="14" xr3:uid="{6463407E-E11D-4888-8C03-970AD39000EA}" name="法人／事業所数" totalsRowFunction="sum" totalsRowDxfId="92" dataCellStyle="桁区切り" totalsRowCellStyle="桁区切り"/>
    <tableColumn id="15" xr3:uid="{68D8F9C3-69C2-4C98-A9A8-B9B4B07508AD}" name="法人／構成比" dataDxfId="91"/>
    <tableColumn id="16" xr3:uid="{5BAB29AF-97D4-4BFF-813B-99106E0D84D3}" name="法人以外の団体／事業所数" totalsRowFunction="sum" totalsRowDxfId="90" dataCellStyle="桁区切り" totalsRowCellStyle="桁区切り"/>
  </tableColumns>
  <tableStyleInfo name="TableStyleMedium9" showFirstColumn="0" showLastColumn="0" showRowStripes="1" showColumnStripes="0"/>
</table>
</file>

<file path=xl/tables/table1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306B6E11-6235-4238-8853-91DE914E88DB}" name="M_TABLE_22325" displayName="M_TABLE_22325" ref="B23:I43" totalsRowShown="0">
  <autoFilter ref="B23:I43" xr:uid="{306B6E11-6235-4238-8853-91DE914E88DB}"/>
  <tableColumns count="8">
    <tableColumn id="9" xr3:uid="{7230C3AA-D4CA-4121-85DA-F5D425E9AC67}" name="産業中分類上位２０"/>
    <tableColumn id="10" xr3:uid="{D5D3590E-ABB4-4696-885A-06D043936E8C}" name="総数／事業所数" dataCellStyle="桁区切り"/>
    <tableColumn id="11" xr3:uid="{05CB4292-EB33-4519-A6A8-553828638434}" name="総数／構成比" dataDxfId="89"/>
    <tableColumn id="12" xr3:uid="{F6DCD4D9-F290-4C95-BBA4-C6A250A71394}" name="個人／事業所数" dataCellStyle="桁区切り"/>
    <tableColumn id="13" xr3:uid="{11A5BAB0-8795-4FB3-8740-F26246DBB199}" name="個人／構成比" dataDxfId="88"/>
    <tableColumn id="14" xr3:uid="{497A58DB-CB6A-482E-A995-EA502F3F5493}" name="法人／事業所数" dataCellStyle="桁区切り"/>
    <tableColumn id="15" xr3:uid="{AFFA74E2-78E0-484A-B9A3-1AC83A8D9F3B}" name="法人／構成比" dataDxfId="87"/>
    <tableColumn id="16" xr3:uid="{D210C013-F25A-45B7-B9AC-ECB1DFD87FB4}" name="法人以外の団体／事業所数" dataCellStyle="桁区切り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22D52E45-D02C-406E-8860-57AADEA4EB93}" name="S_TABLE_22102" displayName="S_TABLE_22102" ref="B46:I66" totalsRowShown="0">
  <autoFilter ref="B46:I66" xr:uid="{22D52E45-D02C-406E-8860-57AADEA4EB93}"/>
  <tableColumns count="8">
    <tableColumn id="9" xr3:uid="{B62B14B0-FE3E-49A1-B64D-5DB727CC294B}" name="産業小分類上位２０"/>
    <tableColumn id="10" xr3:uid="{969C733E-32D0-4360-9FBB-9206E416377D}" name="総数／事業所数" dataCellStyle="桁区切り"/>
    <tableColumn id="11" xr3:uid="{644CE66C-6E4A-46CE-A27D-0841958CFC10}" name="総数／構成比" dataDxfId="590"/>
    <tableColumn id="12" xr3:uid="{7833D104-FE50-4C91-B3B4-DE69913B6C8D}" name="個人／事業所数" dataCellStyle="桁区切り"/>
    <tableColumn id="13" xr3:uid="{73E46661-B800-4842-9E92-ACD55DB2C8FA}" name="個人／構成比" dataDxfId="589"/>
    <tableColumn id="14" xr3:uid="{5246DE0D-3B1F-473B-AEBF-52ABAFCEEB52}" name="法人／事業所数" dataCellStyle="桁区切り"/>
    <tableColumn id="15" xr3:uid="{BC6D1BFD-2C1C-46B6-8BC4-7B90E0FD55F0}" name="法人／構成比" dataDxfId="588"/>
    <tableColumn id="16" xr3:uid="{6C941495-34C4-437A-91F8-E8EFC1B98326}" name="法人以外の団体／事業所数" dataCellStyle="桁区切り"/>
  </tableColumns>
  <tableStyleInfo name="TableStyleMedium9" showFirstColumn="0" showLastColumn="0" showRowStripes="1" showColumnStripes="0"/>
</table>
</file>

<file path=xl/tables/table1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106DFC57-0180-4DD4-8D6F-555968D48BA5}" name="S_TABLE_22325" displayName="S_TABLE_22325" ref="B46:I66" totalsRowShown="0">
  <autoFilter ref="B46:I66" xr:uid="{106DFC57-0180-4DD4-8D6F-555968D48BA5}"/>
  <tableColumns count="8">
    <tableColumn id="9" xr3:uid="{3A1D520B-50BA-4F18-98EB-AA8D1A846E39}" name="産業小分類上位２０"/>
    <tableColumn id="10" xr3:uid="{71D648D5-D2E8-491C-A798-13FEB2486BB9}" name="総数／事業所数" dataCellStyle="桁区切り"/>
    <tableColumn id="11" xr3:uid="{F5BACF8E-6D87-4C33-A83D-5F9DE3F70854}" name="総数／構成比" dataDxfId="86"/>
    <tableColumn id="12" xr3:uid="{07B75A77-6FD2-4280-9E52-A5B523A9063C}" name="個人／事業所数" dataCellStyle="桁区切り"/>
    <tableColumn id="13" xr3:uid="{367D1856-734C-42E5-8666-A9C89DFB8F71}" name="個人／構成比" dataDxfId="85"/>
    <tableColumn id="14" xr3:uid="{95771CB6-F69D-4554-8830-5F4B1B29BB56}" name="法人／事業所数" dataCellStyle="桁区切り"/>
    <tableColumn id="15" xr3:uid="{8D8B5018-19AB-4A84-BB80-6C6C45E5962D}" name="法人／構成比" dataDxfId="84"/>
    <tableColumn id="16" xr3:uid="{3B721B93-705C-427C-B6A1-E4A1E3D8B4F4}" name="法人以外の団体／事業所数" dataCellStyle="桁区切り"/>
  </tableColumns>
  <tableStyleInfo name="TableStyleMedium9" showFirstColumn="0" showLastColumn="0" showRowStripes="1" showColumnStripes="0"/>
</table>
</file>

<file path=xl/tables/table1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CFC6088E-1EF3-489F-91F5-CBF5094203F1}" name="LTBL_22341" displayName="LTBL_22341" ref="B4:I20" totalsRowCount="1">
  <autoFilter ref="B4:I19" xr:uid="{CFC6088E-1EF3-489F-91F5-CBF5094203F1}"/>
  <tableColumns count="8">
    <tableColumn id="9" xr3:uid="{A733F68C-3897-438C-AC87-6B686C686DB2}" name="産業大分類" totalsRowLabel="合計" totalsRowDxfId="83"/>
    <tableColumn id="10" xr3:uid="{581941E0-4558-4794-AFB4-1DFEA0325B64}" name="総数／事業所数" totalsRowFunction="custom" totalsRowDxfId="82" dataCellStyle="桁区切り" totalsRowCellStyle="桁区切り">
      <totalsRowFormula>SUM(LTBL_22341[総数／事業所数])</totalsRowFormula>
    </tableColumn>
    <tableColumn id="11" xr3:uid="{5C62CE9D-3EF6-46ED-9958-F339B1D6C1E8}" name="総数／構成比" dataDxfId="81"/>
    <tableColumn id="12" xr3:uid="{31587E99-5A23-4F21-B057-887B16DC7077}" name="個人／事業所数" totalsRowFunction="sum" totalsRowDxfId="80" dataCellStyle="桁区切り" totalsRowCellStyle="桁区切り"/>
    <tableColumn id="13" xr3:uid="{3FAC567D-CD11-42CB-8A89-7F190E71FDA2}" name="個人／構成比" dataDxfId="79"/>
    <tableColumn id="14" xr3:uid="{9ADCA346-057B-4978-BC74-78E6212978F9}" name="法人／事業所数" totalsRowFunction="sum" totalsRowDxfId="78" dataCellStyle="桁区切り" totalsRowCellStyle="桁区切り"/>
    <tableColumn id="15" xr3:uid="{18EEE483-04D4-442A-8653-56344115AF5D}" name="法人／構成比" dataDxfId="77"/>
    <tableColumn id="16" xr3:uid="{32F81F0D-586C-4531-A753-9698006BCFB0}" name="法人以外の団体／事業所数" totalsRowFunction="sum" totalsRowDxfId="76" dataCellStyle="桁区切り" totalsRowCellStyle="桁区切り"/>
  </tableColumns>
  <tableStyleInfo name="TableStyleMedium9" showFirstColumn="0" showLastColumn="0" showRowStripes="1" showColumnStripes="0"/>
</table>
</file>

<file path=xl/tables/table1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89567CF2-D362-458E-B561-B80B678A3FB5}" name="M_TABLE_22341" displayName="M_TABLE_22341" ref="B23:I44" totalsRowShown="0">
  <autoFilter ref="B23:I44" xr:uid="{89567CF2-D362-458E-B561-B80B678A3FB5}"/>
  <tableColumns count="8">
    <tableColumn id="9" xr3:uid="{8C0F1EE0-2B33-416E-9BF2-B3E7AA1EDDBE}" name="産業中分類上位２０"/>
    <tableColumn id="10" xr3:uid="{A9D93BA5-84FF-45A2-81A7-9A98318F90A2}" name="総数／事業所数" dataCellStyle="桁区切り"/>
    <tableColumn id="11" xr3:uid="{B201FEB8-2E8A-4EFA-B7ED-BE94A43B4509}" name="総数／構成比" dataDxfId="75"/>
    <tableColumn id="12" xr3:uid="{9B09F1D5-5A73-464E-8465-AFC69473D035}" name="個人／事業所数" dataCellStyle="桁区切り"/>
    <tableColumn id="13" xr3:uid="{60ADE7C1-0D3D-461A-960B-B4DB8564C41E}" name="個人／構成比" dataDxfId="74"/>
    <tableColumn id="14" xr3:uid="{AD8FD0D1-93A3-4AAE-9C0C-6CE83469D9DF}" name="法人／事業所数" dataCellStyle="桁区切り"/>
    <tableColumn id="15" xr3:uid="{EE2D603D-5279-4AC1-9F3B-A1610E6BC78C}" name="法人／構成比" dataDxfId="73"/>
    <tableColumn id="16" xr3:uid="{4CE4E56C-044A-4E45-95C8-3B23B94D442C}" name="法人以外の団体／事業所数" dataCellStyle="桁区切り"/>
  </tableColumns>
  <tableStyleInfo name="TableStyleMedium9" showFirstColumn="0" showLastColumn="0" showRowStripes="1" showColumnStripes="0"/>
</table>
</file>

<file path=xl/tables/table1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CA1FB4E-527E-4CB7-AC76-5CF449D38853}" name="S_TABLE_22341" displayName="S_TABLE_22341" ref="B47:I69" totalsRowShown="0">
  <autoFilter ref="B47:I69" xr:uid="{FCA1FB4E-527E-4CB7-AC76-5CF449D38853}"/>
  <tableColumns count="8">
    <tableColumn id="9" xr3:uid="{A3693904-0A73-46DB-995A-31E8FBBCC177}" name="産業小分類上位２０"/>
    <tableColumn id="10" xr3:uid="{072FA85E-B303-4319-A10B-8D64F0044B49}" name="総数／事業所数" dataCellStyle="桁区切り"/>
    <tableColumn id="11" xr3:uid="{D094812A-9A23-48C0-96A5-C38E975CBE5C}" name="総数／構成比" dataDxfId="72"/>
    <tableColumn id="12" xr3:uid="{0EAF48BB-B30F-4BD7-8CC4-038BB22B5C0F}" name="個人／事業所数" dataCellStyle="桁区切り"/>
    <tableColumn id="13" xr3:uid="{C762A981-7C62-4831-8231-C693654BBF7C}" name="個人／構成比" dataDxfId="71"/>
    <tableColumn id="14" xr3:uid="{BED09980-E479-4AE4-999B-DDB8E59A8530}" name="法人／事業所数" dataCellStyle="桁区切り"/>
    <tableColumn id="15" xr3:uid="{BB4091EB-C475-4539-8D1A-D79997567DC6}" name="法人／構成比" dataDxfId="70"/>
    <tableColumn id="16" xr3:uid="{2389D481-4318-4B82-A58A-500BD41A90DE}" name="法人以外の団体／事業所数" dataCellStyle="桁区切り"/>
  </tableColumns>
  <tableStyleInfo name="TableStyleMedium9" showFirstColumn="0" showLastColumn="0" showRowStripes="1" showColumnStripes="0"/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F3EDC2E-ECD1-482D-942A-17E39404BA03}" name="LTBL_22342" displayName="LTBL_22342" ref="B4:I20" totalsRowCount="1">
  <autoFilter ref="B4:I19" xr:uid="{FF3EDC2E-ECD1-482D-942A-17E39404BA03}"/>
  <tableColumns count="8">
    <tableColumn id="9" xr3:uid="{956F1879-C270-428B-9660-35C59D65ECB1}" name="産業大分類" totalsRowLabel="合計" totalsRowDxfId="69"/>
    <tableColumn id="10" xr3:uid="{EE898029-D0E9-428E-9361-63D094688BB4}" name="総数／事業所数" totalsRowFunction="custom" totalsRowDxfId="68" dataCellStyle="桁区切り" totalsRowCellStyle="桁区切り">
      <totalsRowFormula>SUM(LTBL_22342[総数／事業所数])</totalsRowFormula>
    </tableColumn>
    <tableColumn id="11" xr3:uid="{FC2AE2AB-D445-46D5-A79F-A4CD4C2B06DC}" name="総数／構成比" dataDxfId="67"/>
    <tableColumn id="12" xr3:uid="{87EC20EA-C94F-4B6B-8F14-9216BEA05E6C}" name="個人／事業所数" totalsRowFunction="sum" totalsRowDxfId="66" dataCellStyle="桁区切り" totalsRowCellStyle="桁区切り"/>
    <tableColumn id="13" xr3:uid="{4D0177E5-4DA4-44E5-A0EB-34755D8B6B84}" name="個人／構成比" dataDxfId="65"/>
    <tableColumn id="14" xr3:uid="{1A58D199-7E7C-4C4D-9BFE-CFF30721A24B}" name="法人／事業所数" totalsRowFunction="sum" totalsRowDxfId="64" dataCellStyle="桁区切り" totalsRowCellStyle="桁区切り"/>
    <tableColumn id="15" xr3:uid="{ECFABF9B-5928-4C76-8AA1-1D62542166F4}" name="法人／構成比" dataDxfId="63"/>
    <tableColumn id="16" xr3:uid="{E0619795-E1DB-436C-AE19-68F14A25DE00}" name="法人以外の団体／事業所数" totalsRowFunction="sum" totalsRowDxfId="62" dataCellStyle="桁区切り" totalsRowCellStyle="桁区切り"/>
  </tableColumns>
  <tableStyleInfo name="TableStyleMedium9" showFirstColumn="0" showLastColumn="0" showRowStripes="1" showColumnStripes="0"/>
</table>
</file>

<file path=xl/tables/table1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11E8D565-73FB-4747-83D6-8B523285EFBF}" name="M_TABLE_22342" displayName="M_TABLE_22342" ref="B23:I44" totalsRowShown="0">
  <autoFilter ref="B23:I44" xr:uid="{11E8D565-73FB-4747-83D6-8B523285EFBF}"/>
  <tableColumns count="8">
    <tableColumn id="9" xr3:uid="{976599BA-37BC-4352-90DB-89075BE87D66}" name="産業中分類上位２０"/>
    <tableColumn id="10" xr3:uid="{97F7BE01-20B6-423C-9BFE-5FD73FEA50C3}" name="総数／事業所数" dataCellStyle="桁区切り"/>
    <tableColumn id="11" xr3:uid="{CD3A60B9-FC7D-4693-9BEA-171C5D52AD62}" name="総数／構成比" dataDxfId="61"/>
    <tableColumn id="12" xr3:uid="{8A4BBE39-A965-4C7F-9001-BC859C936E30}" name="個人／事業所数" dataCellStyle="桁区切り"/>
    <tableColumn id="13" xr3:uid="{B532E048-FAF6-4788-BFF8-D82B820E981A}" name="個人／構成比" dataDxfId="60"/>
    <tableColumn id="14" xr3:uid="{4B9B89AE-51A1-4C1C-B036-434CFB816808}" name="法人／事業所数" dataCellStyle="桁区切り"/>
    <tableColumn id="15" xr3:uid="{342C0487-0C75-43AC-BA52-BCF4B38233FC}" name="法人／構成比" dataDxfId="59"/>
    <tableColumn id="16" xr3:uid="{93FCB45C-18E5-4600-BB49-FE116E2FC5C9}" name="法人以外の団体／事業所数" dataCellStyle="桁区切り"/>
  </tableColumns>
  <tableStyleInfo name="TableStyleMedium9" showFirstColumn="0" showLastColumn="0" showRowStripes="1" showColumnStripes="0"/>
</table>
</file>

<file path=xl/tables/table1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0DAE045A-B348-4696-A59A-8A3B9BC6F150}" name="S_TABLE_22342" displayName="S_TABLE_22342" ref="B47:I70" totalsRowShown="0">
  <autoFilter ref="B47:I70" xr:uid="{0DAE045A-B348-4696-A59A-8A3B9BC6F150}"/>
  <tableColumns count="8">
    <tableColumn id="9" xr3:uid="{5FAA8097-0EF7-40A2-A7C8-1B8E7148AF0C}" name="産業小分類上位２０"/>
    <tableColumn id="10" xr3:uid="{8E2E3139-58EC-4AB1-8C29-9F2DB3EA2A65}" name="総数／事業所数" dataCellStyle="桁区切り"/>
    <tableColumn id="11" xr3:uid="{BDB056BF-33CF-44A9-8C73-95DD6F90CA14}" name="総数／構成比" dataDxfId="58"/>
    <tableColumn id="12" xr3:uid="{DE6FA3C0-2979-42F5-802A-EDFE48FB27FF}" name="個人／事業所数" dataCellStyle="桁区切り"/>
    <tableColumn id="13" xr3:uid="{E5AA3EC7-5A48-4FA2-9597-875E768562C3}" name="個人／構成比" dataDxfId="57"/>
    <tableColumn id="14" xr3:uid="{D62B1437-534A-4C79-90DC-F6A5130B76E9}" name="法人／事業所数" dataCellStyle="桁区切り"/>
    <tableColumn id="15" xr3:uid="{771D4C49-00EF-4F89-BFCE-5AA9A5BC8147}" name="法人／構成比" dataDxfId="56"/>
    <tableColumn id="16" xr3:uid="{3878B434-60A7-44A2-ACA9-EF90E8FBEA54}" name="法人以外の団体／事業所数" dataCellStyle="桁区切り"/>
  </tableColumns>
  <tableStyleInfo name="TableStyleMedium9" showFirstColumn="0" showLastColumn="0" showRowStripes="1" showColumnStripes="0"/>
</table>
</file>

<file path=xl/tables/table1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88547AE6-C54B-400F-93AF-ABC0D35AE6DA}" name="LTBL_22344" displayName="LTBL_22344" ref="B4:I20" totalsRowCount="1">
  <autoFilter ref="B4:I19" xr:uid="{88547AE6-C54B-400F-93AF-ABC0D35AE6DA}"/>
  <tableColumns count="8">
    <tableColumn id="9" xr3:uid="{E73DA7C4-44DD-4C17-8008-F7ABB61287FE}" name="産業大分類" totalsRowLabel="合計" totalsRowDxfId="55"/>
    <tableColumn id="10" xr3:uid="{71B5DCEE-2234-42A4-80BB-C3C0256DCFAC}" name="総数／事業所数" totalsRowFunction="custom" totalsRowDxfId="54" dataCellStyle="桁区切り" totalsRowCellStyle="桁区切り">
      <totalsRowFormula>SUM(LTBL_22344[総数／事業所数])</totalsRowFormula>
    </tableColumn>
    <tableColumn id="11" xr3:uid="{DD4D3124-0691-443C-900F-252DE0E009A2}" name="総数／構成比" dataDxfId="53"/>
    <tableColumn id="12" xr3:uid="{1675C826-A895-4D78-AC19-34645A4D64BE}" name="個人／事業所数" totalsRowFunction="sum" totalsRowDxfId="52" dataCellStyle="桁区切り" totalsRowCellStyle="桁区切り"/>
    <tableColumn id="13" xr3:uid="{7D176CCD-1730-458C-A10D-39AC0468B982}" name="個人／構成比" dataDxfId="51"/>
    <tableColumn id="14" xr3:uid="{978F01FB-C46F-418D-8E66-0D43EAB8CE4A}" name="法人／事業所数" totalsRowFunction="sum" totalsRowDxfId="50" dataCellStyle="桁区切り" totalsRowCellStyle="桁区切り"/>
    <tableColumn id="15" xr3:uid="{0371BA49-984F-4200-80FB-46E4BFA425F7}" name="法人／構成比" dataDxfId="49"/>
    <tableColumn id="16" xr3:uid="{D67549DB-3725-44E7-9E47-93593D5F242A}" name="法人以外の団体／事業所数" totalsRowFunction="sum" totalsRowDxfId="48" dataCellStyle="桁区切り" totalsRowCellStyle="桁区切り"/>
  </tableColumns>
  <tableStyleInfo name="TableStyleMedium9" showFirstColumn="0" showLastColumn="0" showRowStripes="1" showColumnStripes="0"/>
</table>
</file>

<file path=xl/tables/table1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8AD6CC78-0A8C-4A79-A4F1-F6E52B85021B}" name="M_TABLE_22344" displayName="M_TABLE_22344" ref="B23:I44" totalsRowShown="0">
  <autoFilter ref="B23:I44" xr:uid="{8AD6CC78-0A8C-4A79-A4F1-F6E52B85021B}"/>
  <tableColumns count="8">
    <tableColumn id="9" xr3:uid="{FFF313B1-0FF9-4D9C-80D7-76B1A33681A2}" name="産業中分類上位２０"/>
    <tableColumn id="10" xr3:uid="{8254ACC0-CB9C-46C6-B2EF-4B7300FACEEB}" name="総数／事業所数" dataCellStyle="桁区切り"/>
    <tableColumn id="11" xr3:uid="{7046ECEF-ADC3-4BBC-A7A2-480F65DFE087}" name="総数／構成比" dataDxfId="47"/>
    <tableColumn id="12" xr3:uid="{D4DE48C4-9B7D-4409-878B-86CF78B8861C}" name="個人／事業所数" dataCellStyle="桁区切り"/>
    <tableColumn id="13" xr3:uid="{3784006A-A72E-44F0-B2D3-F1C835DB8857}" name="個人／構成比" dataDxfId="46"/>
    <tableColumn id="14" xr3:uid="{4D211F34-0A09-4120-A9CF-A469E5A7459F}" name="法人／事業所数" dataCellStyle="桁区切り"/>
    <tableColumn id="15" xr3:uid="{DD895917-7AD5-4BDF-8E3D-541D6ACBE514}" name="法人／構成比" dataDxfId="45"/>
    <tableColumn id="16" xr3:uid="{3447335A-3304-40CF-BEC9-C7564608ED4F}" name="法人以外の団体／事業所数" dataCellStyle="桁区切り"/>
  </tableColumns>
  <tableStyleInfo name="TableStyleMedium9" showFirstColumn="0" showLastColumn="0" showRowStripes="1" showColumnStripes="0"/>
</table>
</file>

<file path=xl/tables/table1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9" xr:uid="{21E6D159-963C-4A3E-92E5-CDBD9643C2BC}" name="S_TABLE_22344" displayName="S_TABLE_22344" ref="B47:I67" totalsRowShown="0">
  <autoFilter ref="B47:I67" xr:uid="{21E6D159-963C-4A3E-92E5-CDBD9643C2BC}"/>
  <tableColumns count="8">
    <tableColumn id="9" xr3:uid="{B6C6FDFF-68C3-4328-A7EA-F192B7C8B901}" name="産業小分類上位２０"/>
    <tableColumn id="10" xr3:uid="{AE7E577B-99CA-4A48-BEC7-A8127F4AE3F2}" name="総数／事業所数" dataCellStyle="桁区切り"/>
    <tableColumn id="11" xr3:uid="{4E7D13A8-378A-4D65-9308-364F76FDA648}" name="総数／構成比" dataDxfId="44"/>
    <tableColumn id="12" xr3:uid="{1CD902C7-057A-4BE5-A883-1388B434FD4A}" name="個人／事業所数" dataCellStyle="桁区切り"/>
    <tableColumn id="13" xr3:uid="{B966995A-855C-4EA1-A2C3-550C78ED071F}" name="個人／構成比" dataDxfId="43"/>
    <tableColumn id="14" xr3:uid="{237A8F29-0EAA-4752-929F-2B020E825A42}" name="法人／事業所数" dataCellStyle="桁区切り"/>
    <tableColumn id="15" xr3:uid="{ACE9E178-5978-4502-9AC8-34A68540500D}" name="法人／構成比" dataDxfId="42"/>
    <tableColumn id="16" xr3:uid="{56AC45CC-4095-4659-92F0-DC3C1CF13C97}" name="法人以外の団体／事業所数" dataCellStyle="桁区切り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326206D-9563-4D51-801E-C068D7C1658E}" name="LTBL_22103" displayName="LTBL_22103" ref="B4:I20" totalsRowCount="1">
  <autoFilter ref="B4:I19" xr:uid="{3326206D-9563-4D51-801E-C068D7C1658E}"/>
  <tableColumns count="8">
    <tableColumn id="9" xr3:uid="{238E6259-9479-426D-AD7B-7996A0D3DE1C}" name="産業大分類" totalsRowLabel="合計" totalsRowDxfId="587"/>
    <tableColumn id="10" xr3:uid="{1A4C3052-1B9C-416A-8DD6-F5EFC467DDBA}" name="総数／事業所数" totalsRowFunction="custom" totalsRowDxfId="586" dataCellStyle="桁区切り" totalsRowCellStyle="桁区切り">
      <totalsRowFormula>SUM(LTBL_22103[総数／事業所数])</totalsRowFormula>
    </tableColumn>
    <tableColumn id="11" xr3:uid="{2DE2C1D8-713A-48DA-9A85-52B24B5926D5}" name="総数／構成比" dataDxfId="585"/>
    <tableColumn id="12" xr3:uid="{8540E113-039A-4742-859C-1FD08AECBF86}" name="個人／事業所数" totalsRowFunction="sum" totalsRowDxfId="584" dataCellStyle="桁区切り" totalsRowCellStyle="桁区切り"/>
    <tableColumn id="13" xr3:uid="{A60324F2-25F5-49AF-A867-2FC9809B4278}" name="個人／構成比" dataDxfId="583"/>
    <tableColumn id="14" xr3:uid="{A167A293-0585-4225-9097-39C1AA4AE822}" name="法人／事業所数" totalsRowFunction="sum" totalsRowDxfId="582" dataCellStyle="桁区切り" totalsRowCellStyle="桁区切り"/>
    <tableColumn id="15" xr3:uid="{C8C851C5-F4AE-4A42-8563-460D29A2B0A8}" name="法人／構成比" dataDxfId="581"/>
    <tableColumn id="16" xr3:uid="{F4623546-AFDC-4BB0-A8FA-7D79D609D907}" name="法人以外の団体／事業所数" totalsRowFunction="sum" totalsRowDxfId="580" dataCellStyle="桁区切り" totalsRowCellStyle="桁区切り"/>
  </tableColumns>
  <tableStyleInfo name="TableStyleMedium9" showFirstColumn="0" showLastColumn="0" showRowStripes="1" showColumnStripes="0"/>
</table>
</file>

<file path=xl/tables/table1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0" xr:uid="{D5064B87-B30D-4A37-8700-508676E938A3}" name="LTBL_22424" displayName="LTBL_22424" ref="B4:I20" totalsRowCount="1">
  <autoFilter ref="B4:I19" xr:uid="{D5064B87-B30D-4A37-8700-508676E938A3}"/>
  <tableColumns count="8">
    <tableColumn id="9" xr3:uid="{A4EFDBE6-C675-44B3-80E5-D4A95A25A7F0}" name="産業大分類" totalsRowLabel="合計" totalsRowDxfId="41"/>
    <tableColumn id="10" xr3:uid="{5F3ACF97-D397-45DA-BE8F-1A884DD3A490}" name="総数／事業所数" totalsRowFunction="custom" totalsRowDxfId="40" dataCellStyle="桁区切り" totalsRowCellStyle="桁区切り">
      <totalsRowFormula>SUM(LTBL_22424[総数／事業所数])</totalsRowFormula>
    </tableColumn>
    <tableColumn id="11" xr3:uid="{33742F78-3D3D-4E52-B0A5-5A9223C2A88E}" name="総数／構成比" dataDxfId="39"/>
    <tableColumn id="12" xr3:uid="{173A0E20-D609-481E-B3AA-0AD29CFBCF03}" name="個人／事業所数" totalsRowFunction="sum" totalsRowDxfId="38" dataCellStyle="桁区切り" totalsRowCellStyle="桁区切り"/>
    <tableColumn id="13" xr3:uid="{99BCB7BD-B951-47AF-83D6-272C04795965}" name="個人／構成比" dataDxfId="37"/>
    <tableColumn id="14" xr3:uid="{1BF9BD1E-B081-4490-8A97-15E057273285}" name="法人／事業所数" totalsRowFunction="sum" totalsRowDxfId="36" dataCellStyle="桁区切り" totalsRowCellStyle="桁区切り"/>
    <tableColumn id="15" xr3:uid="{F2C24211-C2F2-4318-BF52-B64D614DC3F9}" name="法人／構成比" dataDxfId="35"/>
    <tableColumn id="16" xr3:uid="{7F3B4261-FC15-420E-BEE7-A66B61DBA22A}" name="法人以外の団体／事業所数" totalsRowFunction="sum" totalsRowDxfId="34" dataCellStyle="桁区切り" totalsRowCellStyle="桁区切り"/>
  </tableColumns>
  <tableStyleInfo name="TableStyleMedium9" showFirstColumn="0" showLastColumn="0" showRowStripes="1" showColumnStripes="0"/>
</table>
</file>

<file path=xl/tables/table1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1" xr:uid="{1F075F35-B56D-41A4-8D59-2CF83A2CE905}" name="M_TABLE_22424" displayName="M_TABLE_22424" ref="B23:I44" totalsRowShown="0">
  <autoFilter ref="B23:I44" xr:uid="{1F075F35-B56D-41A4-8D59-2CF83A2CE905}"/>
  <tableColumns count="8">
    <tableColumn id="9" xr3:uid="{6E3F90EF-9A32-4CE2-A50F-E27A43C550E8}" name="産業中分類上位２０"/>
    <tableColumn id="10" xr3:uid="{DB0846AC-AB51-4732-8795-9A35958B5224}" name="総数／事業所数" dataCellStyle="桁区切り"/>
    <tableColumn id="11" xr3:uid="{331A49B8-2164-4843-BD11-FBEF1BC647D4}" name="総数／構成比" dataDxfId="33"/>
    <tableColumn id="12" xr3:uid="{3DC9B4A4-FAF6-4974-AF78-E1552D328F60}" name="個人／事業所数" dataCellStyle="桁区切り"/>
    <tableColumn id="13" xr3:uid="{4E4717A2-6A17-42FD-A46E-F3D55D6F57A7}" name="個人／構成比" dataDxfId="32"/>
    <tableColumn id="14" xr3:uid="{0C4D03FF-E7E9-4527-96B2-217A342A7A60}" name="法人／事業所数" dataCellStyle="桁区切り"/>
    <tableColumn id="15" xr3:uid="{1980F6FE-302E-4766-AA84-7B55BA193C0D}" name="法人／構成比" dataDxfId="31"/>
    <tableColumn id="16" xr3:uid="{9FE4891F-6584-42AF-880F-0C41715F516B}" name="法人以外の団体／事業所数" dataCellStyle="桁区切り"/>
  </tableColumns>
  <tableStyleInfo name="TableStyleMedium9" showFirstColumn="0" showLastColumn="0" showRowStripes="1" showColumnStripes="0"/>
</table>
</file>

<file path=xl/tables/table1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2" xr:uid="{D93EFE3A-096F-4C94-8647-CE58B6AE2AD4}" name="S_TABLE_22424" displayName="S_TABLE_22424" ref="B47:I67" totalsRowShown="0">
  <autoFilter ref="B47:I67" xr:uid="{D93EFE3A-096F-4C94-8647-CE58B6AE2AD4}"/>
  <tableColumns count="8">
    <tableColumn id="9" xr3:uid="{DF556009-D581-4E46-B1CE-6F6F1DB0B408}" name="産業小分類上位２０"/>
    <tableColumn id="10" xr3:uid="{7993ED5E-D2E7-4244-9AC9-5F058E1438D5}" name="総数／事業所数" dataCellStyle="桁区切り"/>
    <tableColumn id="11" xr3:uid="{342B6674-4C30-41AA-99EF-E5BB8B527704}" name="総数／構成比" dataDxfId="30"/>
    <tableColumn id="12" xr3:uid="{4E6A9D3F-C395-4E59-AB5D-CD479E4C4B82}" name="個人／事業所数" dataCellStyle="桁区切り"/>
    <tableColumn id="13" xr3:uid="{3A438D0E-2C47-4E87-AE7B-20A27CADA696}" name="個人／構成比" dataDxfId="29"/>
    <tableColumn id="14" xr3:uid="{AEB3824B-E18E-4FF0-BC8E-5AFB1CD81DD9}" name="法人／事業所数" dataCellStyle="桁区切り"/>
    <tableColumn id="15" xr3:uid="{01DE39C6-D747-47F5-8BA5-3E5DD3761494}" name="法人／構成比" dataDxfId="28"/>
    <tableColumn id="16" xr3:uid="{B9068C3F-3EA1-436C-AD14-C48CAFD3C8E5}" name="法人以外の団体／事業所数" dataCellStyle="桁区切り"/>
  </tableColumns>
  <tableStyleInfo name="TableStyleMedium9" showFirstColumn="0" showLastColumn="0" showRowStripes="1" showColumnStripes="0"/>
</table>
</file>

<file path=xl/tables/table1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3" xr:uid="{58865EF6-FB73-4E99-913B-5AC378677447}" name="LTBL_22429" displayName="LTBL_22429" ref="B4:I20" totalsRowCount="1">
  <autoFilter ref="B4:I19" xr:uid="{58865EF6-FB73-4E99-913B-5AC378677447}"/>
  <tableColumns count="8">
    <tableColumn id="9" xr3:uid="{151144B0-02C7-4E7B-8EDA-0DBF0D2B23D4}" name="産業大分類" totalsRowLabel="合計" totalsRowDxfId="27"/>
    <tableColumn id="10" xr3:uid="{8FFD17C5-692C-4AE7-BE2A-7F3CB4BF93F3}" name="総数／事業所数" totalsRowFunction="custom" totalsRowDxfId="26" dataCellStyle="桁区切り" totalsRowCellStyle="桁区切り">
      <totalsRowFormula>SUM(LTBL_22429[総数／事業所数])</totalsRowFormula>
    </tableColumn>
    <tableColumn id="11" xr3:uid="{C9A7DD7E-F3A7-4C97-AF51-92B13110FAA5}" name="総数／構成比" dataDxfId="25"/>
    <tableColumn id="12" xr3:uid="{83027C58-20A2-4942-A65B-4A4B2944076B}" name="個人／事業所数" totalsRowFunction="sum" totalsRowDxfId="24" dataCellStyle="桁区切り" totalsRowCellStyle="桁区切り"/>
    <tableColumn id="13" xr3:uid="{E11AD68C-B298-4864-BF79-01E7E1E30CD1}" name="個人／構成比" dataDxfId="23"/>
    <tableColumn id="14" xr3:uid="{E55BA15E-2A2B-44AA-842E-BADB3BEEC9C7}" name="法人／事業所数" totalsRowFunction="sum" totalsRowDxfId="22" dataCellStyle="桁区切り" totalsRowCellStyle="桁区切り"/>
    <tableColumn id="15" xr3:uid="{8493417A-096F-4161-94BB-79E5BD107418}" name="法人／構成比" dataDxfId="21"/>
    <tableColumn id="16" xr3:uid="{D47AB31C-6BB6-4AF5-A8ED-F87860366592}" name="法人以外の団体／事業所数" totalsRowFunction="sum" totalsRowDxfId="20" dataCellStyle="桁区切り" totalsRowCellStyle="桁区切り"/>
  </tableColumns>
  <tableStyleInfo name="TableStyleMedium9" showFirstColumn="0" showLastColumn="0" showRowStripes="1" showColumnStripes="0"/>
</table>
</file>

<file path=xl/tables/table1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4" xr:uid="{501FD586-F8F3-42DD-9B75-D5367A483348}" name="M_TABLE_22429" displayName="M_TABLE_22429" ref="B23:I48" totalsRowShown="0">
  <autoFilter ref="B23:I48" xr:uid="{501FD586-F8F3-42DD-9B75-D5367A483348}"/>
  <tableColumns count="8">
    <tableColumn id="9" xr3:uid="{72106759-0E97-4139-95CE-D9105006C786}" name="産業中分類上位２０"/>
    <tableColumn id="10" xr3:uid="{7F3CD6D8-BC1C-435A-B2FE-1B6B29594927}" name="総数／事業所数" dataCellStyle="桁区切り"/>
    <tableColumn id="11" xr3:uid="{3046E02E-82C3-4E09-99FE-0044BD859302}" name="総数／構成比" dataDxfId="19"/>
    <tableColumn id="12" xr3:uid="{10716E28-531D-4929-B51B-F0EBAD0E0EA2}" name="個人／事業所数" dataCellStyle="桁区切り"/>
    <tableColumn id="13" xr3:uid="{5B48A672-B65E-4705-ACBC-59DE3B2EA7E1}" name="個人／構成比" dataDxfId="18"/>
    <tableColumn id="14" xr3:uid="{8CE1C54B-2BE0-49D9-B9A0-C6831178D7CC}" name="法人／事業所数" dataCellStyle="桁区切り"/>
    <tableColumn id="15" xr3:uid="{EE968FCE-B0F9-4830-9775-698EDB7FD9D0}" name="法人／構成比" dataDxfId="17"/>
    <tableColumn id="16" xr3:uid="{A3637097-D9FF-4DC6-B67A-6BFBE6B281CB}" name="法人以外の団体／事業所数" dataCellStyle="桁区切り"/>
  </tableColumns>
  <tableStyleInfo name="TableStyleMedium9" showFirstColumn="0" showLastColumn="0" showRowStripes="1" showColumnStripes="0"/>
</table>
</file>

<file path=xl/tables/table1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5" xr:uid="{CFF8F0B9-3734-4C22-93E0-0F345752B8DE}" name="S_TABLE_22429" displayName="S_TABLE_22429" ref="B51:I73" totalsRowShown="0">
  <autoFilter ref="B51:I73" xr:uid="{CFF8F0B9-3734-4C22-93E0-0F345752B8DE}"/>
  <tableColumns count="8">
    <tableColumn id="9" xr3:uid="{5BFDF634-A2AB-48F4-9EA3-F870A91DB37B}" name="産業小分類上位２０"/>
    <tableColumn id="10" xr3:uid="{F264DC15-B41B-4789-977C-937015AF1D01}" name="総数／事業所数" dataCellStyle="桁区切り"/>
    <tableColumn id="11" xr3:uid="{24B2452C-4B73-4C7F-861A-934D0096694B}" name="総数／構成比" dataDxfId="16"/>
    <tableColumn id="12" xr3:uid="{0F54617A-4096-4AC1-90A1-B51FFE6E8798}" name="個人／事業所数" dataCellStyle="桁区切り"/>
    <tableColumn id="13" xr3:uid="{8F46E323-CAC0-44DE-9D88-A1881C12A260}" name="個人／構成比" dataDxfId="15"/>
    <tableColumn id="14" xr3:uid="{7FAF120C-447D-4431-876B-A23BB100B240}" name="法人／事業所数" dataCellStyle="桁区切り"/>
    <tableColumn id="15" xr3:uid="{16D36A7E-9305-4032-80D8-CC81FD2C5AA1}" name="法人／構成比" dataDxfId="14"/>
    <tableColumn id="16" xr3:uid="{1EBCD42E-183A-43F7-8749-05B6039B697E}" name="法人以外の団体／事業所数" dataCellStyle="桁区切り"/>
  </tableColumns>
  <tableStyleInfo name="TableStyleMedium9" showFirstColumn="0" showLastColumn="0" showRowStripes="1" showColumnStripes="0"/>
</table>
</file>

<file path=xl/tables/table1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6" xr:uid="{1CB1A598-3BD6-4664-8128-130A71B3304C}" name="LTBL_22461" displayName="LTBL_22461" ref="B4:I20" totalsRowCount="1">
  <autoFilter ref="B4:I19" xr:uid="{1CB1A598-3BD6-4664-8128-130A71B3304C}"/>
  <tableColumns count="8">
    <tableColumn id="9" xr3:uid="{F3C82A02-0F37-4E9D-809C-70E420867705}" name="産業大分類" totalsRowLabel="合計" totalsRowDxfId="13"/>
    <tableColumn id="10" xr3:uid="{4B9BE209-88E0-4DF3-953A-2C5AD335E7E9}" name="総数／事業所数" totalsRowFunction="custom" totalsRowDxfId="12" dataCellStyle="桁区切り" totalsRowCellStyle="桁区切り">
      <totalsRowFormula>SUM(LTBL_22461[総数／事業所数])</totalsRowFormula>
    </tableColumn>
    <tableColumn id="11" xr3:uid="{661A6FE7-596F-435E-93FE-7E7BD80FF7B5}" name="総数／構成比" dataDxfId="11"/>
    <tableColumn id="12" xr3:uid="{4E5F6F42-3A0B-40B8-B02B-79245EC9721E}" name="個人／事業所数" totalsRowFunction="sum" totalsRowDxfId="10" dataCellStyle="桁区切り" totalsRowCellStyle="桁区切り"/>
    <tableColumn id="13" xr3:uid="{5EC2F58E-F043-4753-9638-5DBE5C5395FF}" name="個人／構成比" dataDxfId="9"/>
    <tableColumn id="14" xr3:uid="{AFA1A367-1728-4FC6-A8F9-9DA63ED42CBC}" name="法人／事業所数" totalsRowFunction="sum" totalsRowDxfId="8" dataCellStyle="桁区切り" totalsRowCellStyle="桁区切り"/>
    <tableColumn id="15" xr3:uid="{4D9024B4-9606-4B20-9F65-A30024CAE2B7}" name="法人／構成比" dataDxfId="7"/>
    <tableColumn id="16" xr3:uid="{2E24D675-0774-4C3B-AA99-BCD0C71C054B}" name="法人以外の団体／事業所数" totalsRowFunction="sum" totalsRowDxfId="6" dataCellStyle="桁区切り" totalsRowCellStyle="桁区切り"/>
  </tableColumns>
  <tableStyleInfo name="TableStyleMedium9" showFirstColumn="0" showLastColumn="0" showRowStripes="1" showColumnStripes="0"/>
</table>
</file>

<file path=xl/tables/table1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7" xr:uid="{909046BF-6C62-4B03-A932-307A29E6CF4C}" name="M_TABLE_22461" displayName="M_TABLE_22461" ref="B23:I43" totalsRowShown="0">
  <autoFilter ref="B23:I43" xr:uid="{909046BF-6C62-4B03-A932-307A29E6CF4C}"/>
  <tableColumns count="8">
    <tableColumn id="9" xr3:uid="{94AF0E66-02F4-4D65-A1EE-9C760D3A7FB1}" name="産業中分類上位２０"/>
    <tableColumn id="10" xr3:uid="{A3324AAB-6D41-469D-B393-E18EB40B56EF}" name="総数／事業所数" dataCellStyle="桁区切り"/>
    <tableColumn id="11" xr3:uid="{1D95A39F-55B9-41A4-8F20-DE47F99B65F6}" name="総数／構成比" dataDxfId="5"/>
    <tableColumn id="12" xr3:uid="{2915A0DE-D573-47B9-926D-4A498412FFF6}" name="個人／事業所数" dataCellStyle="桁区切り"/>
    <tableColumn id="13" xr3:uid="{35503583-59E2-484C-B75F-8686D3D625E4}" name="個人／構成比" dataDxfId="4"/>
    <tableColumn id="14" xr3:uid="{C4C62A9B-F4F9-4F04-8615-ED11EFBC3F26}" name="法人／事業所数" dataCellStyle="桁区切り"/>
    <tableColumn id="15" xr3:uid="{ED71AAFE-B8EC-4182-AA8E-BD7753676B56}" name="法人／構成比" dataDxfId="3"/>
    <tableColumn id="16" xr3:uid="{863489F5-1866-4C94-B405-A8AB92EDDFA2}" name="法人以外の団体／事業所数" dataCellStyle="桁区切り"/>
  </tableColumns>
  <tableStyleInfo name="TableStyleMedium9" showFirstColumn="0" showLastColumn="0" showRowStripes="1" showColumnStripes="0"/>
</table>
</file>

<file path=xl/tables/table1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8" xr:uid="{810927C9-3BBA-4A65-AEB3-B60F0288A027}" name="S_TABLE_22461" displayName="S_TABLE_22461" ref="B46:I71" totalsRowShown="0">
  <autoFilter ref="B46:I71" xr:uid="{810927C9-3BBA-4A65-AEB3-B60F0288A027}"/>
  <tableColumns count="8">
    <tableColumn id="9" xr3:uid="{73A6A4C9-1354-4100-91A2-BB9F586FCE63}" name="産業小分類上位２０"/>
    <tableColumn id="10" xr3:uid="{36B7D23E-AC89-4FD2-8595-5D980F32EFF7}" name="総数／事業所数" dataCellStyle="桁区切り"/>
    <tableColumn id="11" xr3:uid="{3684FA2E-14FF-4546-8650-21E65AB78930}" name="総数／構成比" dataDxfId="2"/>
    <tableColumn id="12" xr3:uid="{B7AC634D-0864-43D7-88F4-15B1CECF9640}" name="個人／事業所数" dataCellStyle="桁区切り"/>
    <tableColumn id="13" xr3:uid="{A17E4F6C-7DB7-45A2-84CC-95559921F6A3}" name="個人／構成比" dataDxfId="1"/>
    <tableColumn id="14" xr3:uid="{755B79F5-1C0D-4577-8EC9-2FAE29283F82}" name="法人／事業所数" dataCellStyle="桁区切り"/>
    <tableColumn id="15" xr3:uid="{CB697DA3-3639-4CB6-958C-D2F819262162}" name="法人／構成比" dataDxfId="0"/>
    <tableColumn id="16" xr3:uid="{28ED2F6B-4401-4C7B-9211-4FF6DE141044}" name="法人以外の団体／事業所数" dataCellStyle="桁区切り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FD4AC28A-EA74-43A4-8C0C-A951F303AF5A}" name="M_TABLE_22103" displayName="M_TABLE_22103" ref="B23:I43" totalsRowShown="0">
  <autoFilter ref="B23:I43" xr:uid="{FD4AC28A-EA74-43A4-8C0C-A951F303AF5A}"/>
  <tableColumns count="8">
    <tableColumn id="9" xr3:uid="{8617762F-45E1-4749-BDE8-1DBFD9A1F9A4}" name="産業中分類上位２０"/>
    <tableColumn id="10" xr3:uid="{EACBCBF8-2C37-4FC9-8AB2-BCC1346590DD}" name="総数／事業所数" dataCellStyle="桁区切り"/>
    <tableColumn id="11" xr3:uid="{2C12FCF1-DF6B-48A8-833B-E929F1FE105E}" name="総数／構成比" dataDxfId="579"/>
    <tableColumn id="12" xr3:uid="{620E3AFF-42C8-4A15-B65B-BEFE6AFADEE5}" name="個人／事業所数" dataCellStyle="桁区切り"/>
    <tableColumn id="13" xr3:uid="{067E6F98-8506-4A5F-B9AE-1EF2949216A2}" name="個人／構成比" dataDxfId="578"/>
    <tableColumn id="14" xr3:uid="{1FDE8A98-6F32-4CD5-8B9A-A5B277700197}" name="法人／事業所数" dataCellStyle="桁区切り"/>
    <tableColumn id="15" xr3:uid="{B8DCEDE7-E780-4CBB-8D48-438F4C958BC8}" name="法人／構成比" dataDxfId="577"/>
    <tableColumn id="16" xr3:uid="{0BCAABE3-DCC4-4BAB-A359-188E11B88D3E}" name="法人以外の団体／事業所数" dataCellStyle="桁区切り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44583C80-07C7-4CD4-9ED7-DA25D1A9549C}" name="S_TABLE_22103" displayName="S_TABLE_22103" ref="B46:I66" totalsRowShown="0">
  <autoFilter ref="B46:I66" xr:uid="{44583C80-07C7-4CD4-9ED7-DA25D1A9549C}"/>
  <tableColumns count="8">
    <tableColumn id="9" xr3:uid="{812AC9FC-A67E-4441-8FB5-0BDDF76E14BC}" name="産業小分類上位２０"/>
    <tableColumn id="10" xr3:uid="{CED87569-AC8D-4792-BEAE-02255B3A08F4}" name="総数／事業所数" dataCellStyle="桁区切り"/>
    <tableColumn id="11" xr3:uid="{3C2817C2-43AE-4EB7-A6A2-CDC5CFDADD39}" name="総数／構成比" dataDxfId="576"/>
    <tableColumn id="12" xr3:uid="{AD360169-89BA-450E-9D3F-F11EA6C4942B}" name="個人／事業所数" dataCellStyle="桁区切り"/>
    <tableColumn id="13" xr3:uid="{3718BF8B-F667-4E24-98CF-314A8CC0F58A}" name="個人／構成比" dataDxfId="575"/>
    <tableColumn id="14" xr3:uid="{57A11FF4-01BE-48E1-B456-56D369643E58}" name="法人／事業所数" dataCellStyle="桁区切り"/>
    <tableColumn id="15" xr3:uid="{EF4B6CCD-A4D4-4A8A-895C-38CF2A451105}" name="法人／構成比" dataDxfId="574"/>
    <tableColumn id="16" xr3:uid="{48F293BF-1C89-4DCA-951F-75D5FFA4BE6F}" name="法人以外の団体／事業所数" dataCellStyle="桁区切り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580C8B15-E618-4391-BE93-69E12A444BF0}" name="LTBL_22130" displayName="LTBL_22130" ref="B4:I20" totalsRowCount="1">
  <autoFilter ref="B4:I19" xr:uid="{580C8B15-E618-4391-BE93-69E12A444BF0}"/>
  <tableColumns count="8">
    <tableColumn id="9" xr3:uid="{EA8901EE-DB07-4EFD-A8E5-51CD96ABE068}" name="産業大分類" totalsRowLabel="合計" totalsRowDxfId="573"/>
    <tableColumn id="10" xr3:uid="{75E24AFA-7E1F-471D-96C3-596531F3488F}" name="総数／事業所数" totalsRowFunction="custom" totalsRowDxfId="572" dataCellStyle="桁区切り" totalsRowCellStyle="桁区切り">
      <totalsRowFormula>SUM(LTBL_22130[総数／事業所数])</totalsRowFormula>
    </tableColumn>
    <tableColumn id="11" xr3:uid="{FE6CCAB4-54E8-44A0-869F-EEFD9943303E}" name="総数／構成比" dataDxfId="571"/>
    <tableColumn id="12" xr3:uid="{616CFD55-8D9B-4BAC-B84F-11DB19703C76}" name="個人／事業所数" totalsRowFunction="sum" totalsRowDxfId="570" dataCellStyle="桁区切り" totalsRowCellStyle="桁区切り"/>
    <tableColumn id="13" xr3:uid="{3D63D891-2125-4FA3-AB13-096947F996ED}" name="個人／構成比" dataDxfId="569"/>
    <tableColumn id="14" xr3:uid="{7094204B-BF7D-4D1A-96D2-55CDAFF857BB}" name="法人／事業所数" totalsRowFunction="sum" totalsRowDxfId="568" dataCellStyle="桁区切り" totalsRowCellStyle="桁区切り"/>
    <tableColumn id="15" xr3:uid="{76A77DC8-E383-46D7-9E54-F223C2BBDC53}" name="法人／構成比" dataDxfId="567"/>
    <tableColumn id="16" xr3:uid="{3F563152-262D-4484-909E-7652450AE346}" name="法人以外の団体／事業所数" totalsRowFunction="sum" totalsRowDxfId="566" dataCellStyle="桁区切り" totalsRowCellStyle="桁区切り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BE61A91D-B12D-4E6A-B817-57183132270A}" name="M_TABLE_22130" displayName="M_TABLE_22130" ref="B23:I43" totalsRowShown="0">
  <autoFilter ref="B23:I43" xr:uid="{BE61A91D-B12D-4E6A-B817-57183132270A}"/>
  <tableColumns count="8">
    <tableColumn id="9" xr3:uid="{9ADA0020-9047-4FAA-9B72-5FF190D800AB}" name="産業中分類上位２０"/>
    <tableColumn id="10" xr3:uid="{E413E058-1CEC-4069-8795-FD2849C6717C}" name="総数／事業所数" dataCellStyle="桁区切り"/>
    <tableColumn id="11" xr3:uid="{7DDE724A-F5A0-4D05-8AE6-559D78F45C08}" name="総数／構成比" dataDxfId="565"/>
    <tableColumn id="12" xr3:uid="{0E019D06-AF30-40B1-BD46-6CA6B656DDBF}" name="個人／事業所数" dataCellStyle="桁区切り"/>
    <tableColumn id="13" xr3:uid="{FCF6F246-6E04-4D6C-8932-B7C71DA76DFB}" name="個人／構成比" dataDxfId="564"/>
    <tableColumn id="14" xr3:uid="{CD50ED83-8D44-4D93-A290-068D6A4201EE}" name="法人／事業所数" dataCellStyle="桁区切り"/>
    <tableColumn id="15" xr3:uid="{EBBC0085-E150-4875-BEF9-FB5D59FA4F79}" name="法人／構成比" dataDxfId="563"/>
    <tableColumn id="16" xr3:uid="{A4095C18-00B6-4FA6-8AA2-646CB74B8697}" name="法人以外の団体／事業所数" dataCellStyle="桁区切り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1DB67AD-42A7-4A0C-8DEF-A8332CA3A35F}" name="S_TABLE_22130" displayName="S_TABLE_22130" ref="B46:I66" totalsRowShown="0">
  <autoFilter ref="B46:I66" xr:uid="{01DB67AD-42A7-4A0C-8DEF-A8332CA3A35F}"/>
  <tableColumns count="8">
    <tableColumn id="9" xr3:uid="{401824EC-C194-4354-AD5B-DF20567729B1}" name="産業小分類上位２０"/>
    <tableColumn id="10" xr3:uid="{3A37F238-F384-4622-85A5-110BF95FABCF}" name="総数／事業所数" dataCellStyle="桁区切り"/>
    <tableColumn id="11" xr3:uid="{22C32D30-8A66-42D2-95EA-25CAE01B47EC}" name="総数／構成比" dataDxfId="562"/>
    <tableColumn id="12" xr3:uid="{90ECB841-DB2C-4540-8523-C8E4E89E8D89}" name="個人／事業所数" dataCellStyle="桁区切り"/>
    <tableColumn id="13" xr3:uid="{E25573CC-2A84-46AC-81B1-D2F7DB2A47DA}" name="個人／構成比" dataDxfId="561"/>
    <tableColumn id="14" xr3:uid="{8F4ED692-64F7-46E5-B638-891464D3F17E}" name="法人／事業所数" dataCellStyle="桁区切り"/>
    <tableColumn id="15" xr3:uid="{34EF25BE-5984-40F6-830F-E39CEF31E162}" name="法人／構成比" dataDxfId="560"/>
    <tableColumn id="16" xr3:uid="{230CC330-E82F-4E02-A2C7-C4F263A19048}" name="法人以外の団体／事業所数" dataCellStyle="桁区切り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6DD6B4CF-B60B-415B-B976-723DD3F4F8B0}" name="LTBL_22131" displayName="LTBL_22131" ref="B4:I20" totalsRowCount="1">
  <autoFilter ref="B4:I19" xr:uid="{6DD6B4CF-B60B-415B-B976-723DD3F4F8B0}"/>
  <tableColumns count="8">
    <tableColumn id="9" xr3:uid="{F427F673-2255-4687-988F-22F842C7C732}" name="産業大分類" totalsRowLabel="合計" totalsRowDxfId="559"/>
    <tableColumn id="10" xr3:uid="{FCDC7911-FFCB-40B8-8190-8329B253369B}" name="総数／事業所数" totalsRowFunction="custom" totalsRowDxfId="558" dataCellStyle="桁区切り" totalsRowCellStyle="桁区切り">
      <totalsRowFormula>SUM(LTBL_22131[総数／事業所数])</totalsRowFormula>
    </tableColumn>
    <tableColumn id="11" xr3:uid="{3BFEA383-67E1-4869-8FE9-7111A36E2040}" name="総数／構成比" dataDxfId="557"/>
    <tableColumn id="12" xr3:uid="{5C1C22D1-26F3-41CA-8AF5-B3F5D0B25561}" name="個人／事業所数" totalsRowFunction="sum" totalsRowDxfId="556" dataCellStyle="桁区切り" totalsRowCellStyle="桁区切り"/>
    <tableColumn id="13" xr3:uid="{BC41B158-FCC0-48A1-813B-7268269DFAEE}" name="個人／構成比" dataDxfId="555"/>
    <tableColumn id="14" xr3:uid="{5536E999-1C35-4042-8EC4-6ABCBE488F01}" name="法人／事業所数" totalsRowFunction="sum" totalsRowDxfId="554" dataCellStyle="桁区切り" totalsRowCellStyle="桁区切り"/>
    <tableColumn id="15" xr3:uid="{5215EC7D-AB4C-4732-AB07-47B40314776D}" name="法人／構成比" dataDxfId="553"/>
    <tableColumn id="16" xr3:uid="{CCF2EAFF-2608-4075-BC7D-4972637C488D}" name="法人以外の団体／事業所数" totalsRowFunction="sum" totalsRowDxfId="552" dataCellStyle="桁区切り" totalsRowCellStyle="桁区切り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703D54A-EAAE-4BBC-81C8-6D9EF4AF3BBC}" name="M_TABLE_22000" displayName="M_TABLE_22000" ref="B23:I43" totalsRowShown="0">
  <autoFilter ref="B23:I43" xr:uid="{0703D54A-EAAE-4BBC-81C8-6D9EF4AF3BBC}"/>
  <tableColumns count="8">
    <tableColumn id="9" xr3:uid="{10428477-052D-4524-A81F-F66A12440B2B}" name="産業中分類上位２０"/>
    <tableColumn id="10" xr3:uid="{B5CADCE0-D807-43CD-B334-A7F6A31983F8}" name="総数／事業所数" dataCellStyle="桁区切り"/>
    <tableColumn id="11" xr3:uid="{CF9A6A17-0E5C-43EE-9B54-A60702625C30}" name="総数／構成比" dataDxfId="635"/>
    <tableColumn id="12" xr3:uid="{0DC3525E-43B7-4C45-8508-1F581C7F7C06}" name="個人／事業所数" dataCellStyle="桁区切り"/>
    <tableColumn id="13" xr3:uid="{43F251DC-CBA9-4261-A299-925456DFDF23}" name="個人／構成比" dataDxfId="634"/>
    <tableColumn id="14" xr3:uid="{0F44C5C4-1EA4-4F41-8F1E-06D6EBD6EAB4}" name="法人／事業所数" dataCellStyle="桁区切り"/>
    <tableColumn id="15" xr3:uid="{44599CFE-BAF5-44B9-94B2-68F53B7135A8}" name="法人／構成比" dataDxfId="633"/>
    <tableColumn id="16" xr3:uid="{AEF60680-E5FA-45FF-ADFD-05F6EEB6B14E}" name="法人以外の団体／事業所数" dataCellStyle="桁区切り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99366571-6292-4D11-B4C6-BD98256E0880}" name="M_TABLE_22131" displayName="M_TABLE_22131" ref="B23:I43" totalsRowShown="0">
  <autoFilter ref="B23:I43" xr:uid="{99366571-6292-4D11-B4C6-BD98256E0880}"/>
  <tableColumns count="8">
    <tableColumn id="9" xr3:uid="{8BF90D47-A0BF-49CA-9A10-99E30EB159E3}" name="産業中分類上位２０"/>
    <tableColumn id="10" xr3:uid="{906B9B04-6D6A-454B-9409-B39559525C57}" name="総数／事業所数" dataCellStyle="桁区切り"/>
    <tableColumn id="11" xr3:uid="{EBA05D4F-4CEC-49B4-9788-1D7ED0E31431}" name="総数／構成比" dataDxfId="551"/>
    <tableColumn id="12" xr3:uid="{98B76A40-38C0-45CB-AE93-F0D81CFBEB12}" name="個人／事業所数" dataCellStyle="桁区切り"/>
    <tableColumn id="13" xr3:uid="{C8F374FE-37CB-4D65-A899-A538F28DEAF5}" name="個人／構成比" dataDxfId="550"/>
    <tableColumn id="14" xr3:uid="{B96BBD65-6318-4775-BA94-99B30049A51E}" name="法人／事業所数" dataCellStyle="桁区切り"/>
    <tableColumn id="15" xr3:uid="{58159C8E-8363-4D5B-A690-40384554297B}" name="法人／構成比" dataDxfId="549"/>
    <tableColumn id="16" xr3:uid="{D1AF8D71-2E6C-4528-95EB-823426E6E3DF}" name="法人以外の団体／事業所数" dataCellStyle="桁区切り"/>
  </tableColumns>
  <tableStyleInfo name="TableStyleMedium9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3F7C7656-081F-468A-8B6C-BDBB2C62CAE6}" name="S_TABLE_22131" displayName="S_TABLE_22131" ref="B46:I66" totalsRowShown="0">
  <autoFilter ref="B46:I66" xr:uid="{3F7C7656-081F-468A-8B6C-BDBB2C62CAE6}"/>
  <tableColumns count="8">
    <tableColumn id="9" xr3:uid="{7236CDBD-21BC-4EC6-9FA4-9462A4A4181A}" name="産業小分類上位２０"/>
    <tableColumn id="10" xr3:uid="{747667C0-ED9F-4452-BE62-4B9CA9CBC4A3}" name="総数／事業所数" dataCellStyle="桁区切り"/>
    <tableColumn id="11" xr3:uid="{D0EB7CF6-7473-44F1-8DC1-9086B8735648}" name="総数／構成比" dataDxfId="548"/>
    <tableColumn id="12" xr3:uid="{5CB45A72-307E-44E3-9895-DB1190141AA5}" name="個人／事業所数" dataCellStyle="桁区切り"/>
    <tableColumn id="13" xr3:uid="{67444587-52F8-4825-9FCB-D13B807010E2}" name="個人／構成比" dataDxfId="547"/>
    <tableColumn id="14" xr3:uid="{90E357B9-50CE-484B-A080-D04927C2DF75}" name="法人／事業所数" dataCellStyle="桁区切り"/>
    <tableColumn id="15" xr3:uid="{309847F9-A7ED-4AF2-903B-ABA0F5E5F97C}" name="法人／構成比" dataDxfId="546"/>
    <tableColumn id="16" xr3:uid="{7E6346EC-3FF8-42AE-9DD8-07E69F857A1E}" name="法人以外の団体／事業所数" dataCellStyle="桁区切り"/>
  </tableColumns>
  <tableStyleInfo name="TableStyleMedium9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F3E53AF-7AD4-4F64-9C8A-6EA964FB19AD}" name="LTBL_22132" displayName="LTBL_22132" ref="B4:I20" totalsRowCount="1">
  <autoFilter ref="B4:I19" xr:uid="{0F3E53AF-7AD4-4F64-9C8A-6EA964FB19AD}"/>
  <tableColumns count="8">
    <tableColumn id="9" xr3:uid="{03EC2588-93FF-498B-A45B-66951F114719}" name="産業大分類" totalsRowLabel="合計" totalsRowDxfId="545"/>
    <tableColumn id="10" xr3:uid="{F000535D-3C23-4F89-9F83-72E1F14052BF}" name="総数／事業所数" totalsRowFunction="custom" totalsRowDxfId="544" dataCellStyle="桁区切り" totalsRowCellStyle="桁区切り">
      <totalsRowFormula>SUM(LTBL_22132[総数／事業所数])</totalsRowFormula>
    </tableColumn>
    <tableColumn id="11" xr3:uid="{98E5BD7E-C2FE-4B2F-94A7-9D83A02D7C5F}" name="総数／構成比" dataDxfId="543"/>
    <tableColumn id="12" xr3:uid="{033B4F77-AC00-41C7-ACD6-7A4F93E3A201}" name="個人／事業所数" totalsRowFunction="sum" totalsRowDxfId="542" dataCellStyle="桁区切り" totalsRowCellStyle="桁区切り"/>
    <tableColumn id="13" xr3:uid="{56544EA7-EDBE-40CE-9F8B-4E15AFE68105}" name="個人／構成比" dataDxfId="541"/>
    <tableColumn id="14" xr3:uid="{D3ACF132-1866-4E9A-AE64-372C71AA275C}" name="法人／事業所数" totalsRowFunction="sum" totalsRowDxfId="540" dataCellStyle="桁区切り" totalsRowCellStyle="桁区切り"/>
    <tableColumn id="15" xr3:uid="{9A9E472E-C944-4015-B957-B1AAD8D51815}" name="法人／構成比" dataDxfId="539"/>
    <tableColumn id="16" xr3:uid="{2B0C048A-515A-4EE8-A47B-B4E75B0E7D31}" name="法人以外の団体／事業所数" totalsRowFunction="sum" totalsRowDxfId="538" dataCellStyle="桁区切り" totalsRowCellStyle="桁区切り"/>
  </tableColumns>
  <tableStyleInfo name="TableStyleMedium9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CB18A03D-F266-4703-AAA2-01B35BCA999D}" name="M_TABLE_22132" displayName="M_TABLE_22132" ref="B23:I43" totalsRowShown="0">
  <autoFilter ref="B23:I43" xr:uid="{CB18A03D-F266-4703-AAA2-01B35BCA999D}"/>
  <tableColumns count="8">
    <tableColumn id="9" xr3:uid="{9041B8AA-942A-4D85-8FB9-A0169B9E8D31}" name="産業中分類上位２０"/>
    <tableColumn id="10" xr3:uid="{E31C326B-723C-4F54-B060-F4D887FAE2B0}" name="総数／事業所数" dataCellStyle="桁区切り"/>
    <tableColumn id="11" xr3:uid="{D28D58A9-469A-41A8-8ED6-1322ABABFC75}" name="総数／構成比" dataDxfId="537"/>
    <tableColumn id="12" xr3:uid="{E8037E64-6EDA-4718-B2E5-13C3C4781E8A}" name="個人／事業所数" dataCellStyle="桁区切り"/>
    <tableColumn id="13" xr3:uid="{D489D6FC-ACC3-44B2-92FA-44F6C655511B}" name="個人／構成比" dataDxfId="536"/>
    <tableColumn id="14" xr3:uid="{F2DE35F0-4AB3-4BEE-BCE3-76D0679DFC5F}" name="法人／事業所数" dataCellStyle="桁区切り"/>
    <tableColumn id="15" xr3:uid="{6AB3BE7D-86CC-45AF-AB29-158C1CC96ACA}" name="法人／構成比" dataDxfId="535"/>
    <tableColumn id="16" xr3:uid="{CF6EA8C2-A83F-481B-AF08-7DE9FE36DC11}" name="法人以外の団体／事業所数" dataCellStyle="桁区切り"/>
  </tableColumns>
  <tableStyleInfo name="TableStyleMedium9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4B3720CC-9787-4B73-86D7-0343B4074044}" name="S_TABLE_22132" displayName="S_TABLE_22132" ref="B46:I66" totalsRowShown="0">
  <autoFilter ref="B46:I66" xr:uid="{4B3720CC-9787-4B73-86D7-0343B4074044}"/>
  <tableColumns count="8">
    <tableColumn id="9" xr3:uid="{D7D90EA6-8373-471B-8DB3-C73F0BC63D32}" name="産業小分類上位２０"/>
    <tableColumn id="10" xr3:uid="{41D2225C-A9F3-425F-B472-C8F208CB090B}" name="総数／事業所数" dataCellStyle="桁区切り"/>
    <tableColumn id="11" xr3:uid="{FCE17B6C-5FC4-4C3E-B565-D495499AC1CB}" name="総数／構成比" dataDxfId="534"/>
    <tableColumn id="12" xr3:uid="{B027C267-43F5-4DDF-A2CB-A8C16DF24F5A}" name="個人／事業所数" dataCellStyle="桁区切り"/>
    <tableColumn id="13" xr3:uid="{ACD4B8F2-1FD6-46A3-89BA-FE1859308251}" name="個人／構成比" dataDxfId="533"/>
    <tableColumn id="14" xr3:uid="{65D36B6C-8ADF-4465-8453-DB53726B2D7B}" name="法人／事業所数" dataCellStyle="桁区切り"/>
    <tableColumn id="15" xr3:uid="{80999576-2DDF-46F1-A22A-4228E5E5A431}" name="法人／構成比" dataDxfId="532"/>
    <tableColumn id="16" xr3:uid="{0573C077-0F47-4C1D-B71C-611FFFC6E65A}" name="法人以外の団体／事業所数" dataCellStyle="桁区切り"/>
  </tableColumns>
  <tableStyleInfo name="TableStyleMedium9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CB8501D-F4FC-4435-AD7D-573903B50A8B}" name="LTBL_22133" displayName="LTBL_22133" ref="B4:I20" totalsRowCount="1">
  <autoFilter ref="B4:I19" xr:uid="{3CB8501D-F4FC-4435-AD7D-573903B50A8B}"/>
  <tableColumns count="8">
    <tableColumn id="9" xr3:uid="{90B7DF5B-AEDE-4D82-A22A-2E1BB8E72833}" name="産業大分類" totalsRowLabel="合計" totalsRowDxfId="531"/>
    <tableColumn id="10" xr3:uid="{ED0820B2-A754-49D1-AD7A-6048626CE530}" name="総数／事業所数" totalsRowFunction="custom" totalsRowDxfId="530" dataCellStyle="桁区切り" totalsRowCellStyle="桁区切り">
      <totalsRowFormula>SUM(LTBL_22133[総数／事業所数])</totalsRowFormula>
    </tableColumn>
    <tableColumn id="11" xr3:uid="{5D4E1880-7CA2-47A7-B850-B058383CE9A8}" name="総数／構成比" dataDxfId="529"/>
    <tableColumn id="12" xr3:uid="{DA9ED7A8-B134-40D8-B62B-7819448B49ED}" name="個人／事業所数" totalsRowFunction="sum" totalsRowDxfId="528" dataCellStyle="桁区切り" totalsRowCellStyle="桁区切り"/>
    <tableColumn id="13" xr3:uid="{C9833A76-E590-4583-ACF9-AA77A20CA66B}" name="個人／構成比" dataDxfId="527"/>
    <tableColumn id="14" xr3:uid="{DAFACC38-29AD-4986-BDD5-1E721E502798}" name="法人／事業所数" totalsRowFunction="sum" totalsRowDxfId="526" dataCellStyle="桁区切り" totalsRowCellStyle="桁区切り"/>
    <tableColumn id="15" xr3:uid="{CC7B27A0-8EBF-4DD9-B82D-F0CDD717173B}" name="法人／構成比" dataDxfId="525"/>
    <tableColumn id="16" xr3:uid="{9BC413F6-8B13-4044-A729-37371A22E7CF}" name="法人以外の団体／事業所数" totalsRowFunction="sum" totalsRowDxfId="524" dataCellStyle="桁区切り" totalsRowCellStyle="桁区切り"/>
  </tableColumns>
  <tableStyleInfo name="TableStyleMedium9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E545DF0F-F688-492D-8134-8563086FE59C}" name="M_TABLE_22133" displayName="M_TABLE_22133" ref="B23:I43" totalsRowShown="0">
  <autoFilter ref="B23:I43" xr:uid="{E545DF0F-F688-492D-8134-8563086FE59C}"/>
  <tableColumns count="8">
    <tableColumn id="9" xr3:uid="{9296A8DE-21FF-4AAE-9118-65DC95E30AF2}" name="産業中分類上位２０"/>
    <tableColumn id="10" xr3:uid="{9BD0900B-7202-4086-B1B2-51F809815CC0}" name="総数／事業所数" dataCellStyle="桁区切り"/>
    <tableColumn id="11" xr3:uid="{3B7ECEB9-A345-4CFF-A818-3BBFF9EEA3A7}" name="総数／構成比" dataDxfId="523"/>
    <tableColumn id="12" xr3:uid="{2E8E1A4F-A939-4C2C-A2B7-A214E204373F}" name="個人／事業所数" dataCellStyle="桁区切り"/>
    <tableColumn id="13" xr3:uid="{D0F8CB3D-14E0-4BD1-B0DD-814574684E63}" name="個人／構成比" dataDxfId="522"/>
    <tableColumn id="14" xr3:uid="{F4C397B5-A63A-4660-9BB3-04635F4AA9CF}" name="法人／事業所数" dataCellStyle="桁区切り"/>
    <tableColumn id="15" xr3:uid="{5F060118-58F3-46E8-9F48-EDB018AB9B7F}" name="法人／構成比" dataDxfId="521"/>
    <tableColumn id="16" xr3:uid="{33777131-D11C-4924-BC06-ABC0C76338BE}" name="法人以外の団体／事業所数" dataCellStyle="桁区切り"/>
  </tableColumns>
  <tableStyleInfo name="TableStyleMedium9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7D0D86B9-15DA-4DA9-885F-6D7E0C7C5A5D}" name="S_TABLE_22133" displayName="S_TABLE_22133" ref="B46:I67" totalsRowShown="0">
  <autoFilter ref="B46:I67" xr:uid="{7D0D86B9-15DA-4DA9-885F-6D7E0C7C5A5D}"/>
  <tableColumns count="8">
    <tableColumn id="9" xr3:uid="{5B73BA12-D7EB-449E-B8BF-8686AD9F2226}" name="産業小分類上位２０"/>
    <tableColumn id="10" xr3:uid="{AF5E89D0-A407-4474-ACD5-DDA55DEAAEBF}" name="総数／事業所数" dataCellStyle="桁区切り"/>
    <tableColumn id="11" xr3:uid="{A56AFCCC-8722-404F-BBB1-CECAD11466A9}" name="総数／構成比" dataDxfId="520"/>
    <tableColumn id="12" xr3:uid="{2DC0B7B8-B753-4B65-9556-25A2EFD6C079}" name="個人／事業所数" dataCellStyle="桁区切り"/>
    <tableColumn id="13" xr3:uid="{36881387-1766-4ADE-B381-24F2034096D5}" name="個人／構成比" dataDxfId="519"/>
    <tableColumn id="14" xr3:uid="{B063DD98-E3F3-4635-BBB4-BD9FE643367E}" name="法人／事業所数" dataCellStyle="桁区切り"/>
    <tableColumn id="15" xr3:uid="{E2C3F07F-FACC-4B64-8BC8-10BB624D4FCE}" name="法人／構成比" dataDxfId="518"/>
    <tableColumn id="16" xr3:uid="{151B8E8C-F6D4-47FA-9E10-8C4F8D2696AD}" name="法人以外の団体／事業所数" dataCellStyle="桁区切り"/>
  </tableColumns>
  <tableStyleInfo name="TableStyleMedium9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9FC3E35A-2D6E-4A33-B2A7-15F19D79873F}" name="LTBL_22134" displayName="LTBL_22134" ref="B4:I20" totalsRowCount="1">
  <autoFilter ref="B4:I19" xr:uid="{9FC3E35A-2D6E-4A33-B2A7-15F19D79873F}"/>
  <tableColumns count="8">
    <tableColumn id="9" xr3:uid="{0CD80761-A93F-4369-805D-2864D6E09D66}" name="産業大分類" totalsRowLabel="合計" totalsRowDxfId="517"/>
    <tableColumn id="10" xr3:uid="{96F080B7-BB38-43E5-95EF-6D6E1CE6673C}" name="総数／事業所数" totalsRowFunction="custom" totalsRowDxfId="516" dataCellStyle="桁区切り" totalsRowCellStyle="桁区切り">
      <totalsRowFormula>SUM(LTBL_22134[総数／事業所数])</totalsRowFormula>
    </tableColumn>
    <tableColumn id="11" xr3:uid="{F5E6C9F3-3328-4BDA-80FD-5E660B2E31F1}" name="総数／構成比" dataDxfId="515"/>
    <tableColumn id="12" xr3:uid="{176863E0-C362-46D4-98CA-4DF239F99754}" name="個人／事業所数" totalsRowFunction="sum" totalsRowDxfId="514" dataCellStyle="桁区切り" totalsRowCellStyle="桁区切り"/>
    <tableColumn id="13" xr3:uid="{289A5DA3-7B15-4916-8FCC-90F9373CB884}" name="個人／構成比" dataDxfId="513"/>
    <tableColumn id="14" xr3:uid="{72CC7F58-5525-4E82-9602-823C16325B40}" name="法人／事業所数" totalsRowFunction="sum" totalsRowDxfId="512" dataCellStyle="桁区切り" totalsRowCellStyle="桁区切り"/>
    <tableColumn id="15" xr3:uid="{30EE5941-95DD-47E7-9403-EEDD801CFBA5}" name="法人／構成比" dataDxfId="511"/>
    <tableColumn id="16" xr3:uid="{8455CC64-E633-4A0A-87C7-98D195EF88ED}" name="法人以外の団体／事業所数" totalsRowFunction="sum" totalsRowDxfId="510" dataCellStyle="桁区切り" totalsRowCellStyle="桁区切り"/>
  </tableColumns>
  <tableStyleInfo name="TableStyleMedium9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ACB49851-705A-4126-AE6E-7CB3D284BA63}" name="M_TABLE_22134" displayName="M_TABLE_22134" ref="B23:I43" totalsRowShown="0">
  <autoFilter ref="B23:I43" xr:uid="{ACB49851-705A-4126-AE6E-7CB3D284BA63}"/>
  <tableColumns count="8">
    <tableColumn id="9" xr3:uid="{5A9265D9-3940-44E2-AAEA-0E0B7243ED0A}" name="産業中分類上位２０"/>
    <tableColumn id="10" xr3:uid="{2AA44AB7-4EEE-4C3B-9F78-1C755FBD4440}" name="総数／事業所数" dataCellStyle="桁区切り"/>
    <tableColumn id="11" xr3:uid="{DBBC100D-FA42-4E6C-8B8A-E823E5E522AA}" name="総数／構成比" dataDxfId="509"/>
    <tableColumn id="12" xr3:uid="{29E1F869-86A6-4058-AE6F-AC7511FC1087}" name="個人／事業所数" dataCellStyle="桁区切り"/>
    <tableColumn id="13" xr3:uid="{7519A735-4F10-44B5-8B10-7235F50281A5}" name="個人／構成比" dataDxfId="508"/>
    <tableColumn id="14" xr3:uid="{6F126946-3552-4407-88FA-FEFF4786D508}" name="法人／事業所数" dataCellStyle="桁区切り"/>
    <tableColumn id="15" xr3:uid="{9D43CC16-07D1-49C5-BAF3-5E8FE6AC4B76}" name="法人／構成比" dataDxfId="507"/>
    <tableColumn id="16" xr3:uid="{127A222A-4E99-41EE-B4BE-DEF17EDDAB67}" name="法人以外の団体／事業所数" dataCellStyle="桁区切り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917D772-AA46-4FEB-9331-D64D86B0EAD7}" name="S_TABLE_22000" displayName="S_TABLE_22000" ref="B46:I66" totalsRowShown="0">
  <autoFilter ref="B46:I66" xr:uid="{C917D772-AA46-4FEB-9331-D64D86B0EAD7}"/>
  <tableColumns count="8">
    <tableColumn id="9" xr3:uid="{B00FBE7B-A80F-4625-900A-37DE14D1CDF6}" name="産業小分類上位２０"/>
    <tableColumn id="10" xr3:uid="{B38C4009-373C-4D64-87B1-091E68D093BC}" name="総数／事業所数" dataCellStyle="桁区切り"/>
    <tableColumn id="11" xr3:uid="{D61F33BD-3FF5-49D7-8589-D6B31ECC6079}" name="総数／構成比" dataDxfId="632"/>
    <tableColumn id="12" xr3:uid="{EB7F4E76-2838-4C25-B3A9-E52E5D133223}" name="個人／事業所数" dataCellStyle="桁区切り"/>
    <tableColumn id="13" xr3:uid="{DA4F390E-BA25-4965-B7D2-C87EFF9DB949}" name="個人／構成比" dataDxfId="631"/>
    <tableColumn id="14" xr3:uid="{684AC16B-4D25-4433-9853-44366408B928}" name="法人／事業所数" dataCellStyle="桁区切り"/>
    <tableColumn id="15" xr3:uid="{488BB0F2-51B6-47C9-99B2-6CF18BFCC099}" name="法人／構成比" dataDxfId="630"/>
    <tableColumn id="16" xr3:uid="{2C40B57C-8F3C-4FBF-8E22-B2D010693FA2}" name="法人以外の団体／事業所数" dataCellStyle="桁区切り"/>
  </tableColumns>
  <tableStyleInfo name="TableStyleMedium9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6D0F6AF6-2FBA-450F-B5CE-E26354837C75}" name="S_TABLE_22134" displayName="S_TABLE_22134" ref="B46:I66" totalsRowShown="0">
  <autoFilter ref="B46:I66" xr:uid="{6D0F6AF6-2FBA-450F-B5CE-E26354837C75}"/>
  <tableColumns count="8">
    <tableColumn id="9" xr3:uid="{6ADFD4D2-DEB7-43C7-B455-28064EEB564C}" name="産業小分類上位２０"/>
    <tableColumn id="10" xr3:uid="{52BD6E38-7284-4468-A4D5-4443591B1D56}" name="総数／事業所数" dataCellStyle="桁区切り"/>
    <tableColumn id="11" xr3:uid="{FEDEED70-F18E-4B43-B607-1397ABA1D58B}" name="総数／構成比" dataDxfId="506"/>
    <tableColumn id="12" xr3:uid="{26773DEB-6CB7-45F5-9307-83FB281CF45A}" name="個人／事業所数" dataCellStyle="桁区切り"/>
    <tableColumn id="13" xr3:uid="{D0626245-2DC2-4DC8-B985-D8A465B0B469}" name="個人／構成比" dataDxfId="505"/>
    <tableColumn id="14" xr3:uid="{31CB92E8-AF61-4CEF-9DB4-B48846C5A347}" name="法人／事業所数" dataCellStyle="桁区切り"/>
    <tableColumn id="15" xr3:uid="{3DDA5A70-E9C9-4011-8F6B-3D1CD320AF25}" name="法人／構成比" dataDxfId="504"/>
    <tableColumn id="16" xr3:uid="{D49C3BC9-9AF2-4B8A-9FF6-20010AA278EF}" name="法人以外の団体／事業所数" dataCellStyle="桁区切り"/>
  </tableColumns>
  <tableStyleInfo name="TableStyleMedium9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682EE972-C2F4-404C-AC1A-F2605901FDE2}" name="LTBL_22135" displayName="LTBL_22135" ref="B4:I20" totalsRowCount="1">
  <autoFilter ref="B4:I19" xr:uid="{682EE972-C2F4-404C-AC1A-F2605901FDE2}"/>
  <tableColumns count="8">
    <tableColumn id="9" xr3:uid="{D4A53943-6055-400C-BD53-7D11CCA26A02}" name="産業大分類" totalsRowLabel="合計" totalsRowDxfId="503"/>
    <tableColumn id="10" xr3:uid="{863FCD9C-364A-4A50-82DA-76DB8621088D}" name="総数／事業所数" totalsRowFunction="custom" totalsRowDxfId="502" dataCellStyle="桁区切り" totalsRowCellStyle="桁区切り">
      <totalsRowFormula>SUM(LTBL_22135[総数／事業所数])</totalsRowFormula>
    </tableColumn>
    <tableColumn id="11" xr3:uid="{974950B1-3E4E-43E9-B56C-F6B8AE74681B}" name="総数／構成比" dataDxfId="501"/>
    <tableColumn id="12" xr3:uid="{92B60338-FC68-41BB-8BF3-2B9A1656C155}" name="個人／事業所数" totalsRowFunction="sum" totalsRowDxfId="500" dataCellStyle="桁区切り" totalsRowCellStyle="桁区切り"/>
    <tableColumn id="13" xr3:uid="{E734C7B7-094A-42CC-A93D-876054A0597E}" name="個人／構成比" dataDxfId="499"/>
    <tableColumn id="14" xr3:uid="{744C099E-8DF6-4EA0-9737-2499B3C2DA86}" name="法人／事業所数" totalsRowFunction="sum" totalsRowDxfId="498" dataCellStyle="桁区切り" totalsRowCellStyle="桁区切り"/>
    <tableColumn id="15" xr3:uid="{E4BBC84A-175E-4800-B410-BDEB493C95C4}" name="法人／構成比" dataDxfId="497"/>
    <tableColumn id="16" xr3:uid="{8D7C1105-3E9D-4B3F-9E00-9B2E699BAC5C}" name="法人以外の団体／事業所数" totalsRowFunction="sum" totalsRowDxfId="496" dataCellStyle="桁区切り" totalsRowCellStyle="桁区切り"/>
  </tableColumns>
  <tableStyleInfo name="TableStyleMedium9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1B12CF0F-6ED5-4175-AFC4-48B8FDD7F201}" name="M_TABLE_22135" displayName="M_TABLE_22135" ref="B23:I43" totalsRowShown="0">
  <autoFilter ref="B23:I43" xr:uid="{1B12CF0F-6ED5-4175-AFC4-48B8FDD7F201}"/>
  <tableColumns count="8">
    <tableColumn id="9" xr3:uid="{EFABE3DD-4E92-4A25-8E5F-88424D445828}" name="産業中分類上位２０"/>
    <tableColumn id="10" xr3:uid="{BB7C172C-51D9-4D86-9B60-1B6B3B2D2F15}" name="総数／事業所数" dataCellStyle="桁区切り"/>
    <tableColumn id="11" xr3:uid="{50D80523-D006-41CD-A643-AB01570BC24C}" name="総数／構成比" dataDxfId="495"/>
    <tableColumn id="12" xr3:uid="{AA919DF3-1B28-4257-8D35-805EF5774319}" name="個人／事業所数" dataCellStyle="桁区切り"/>
    <tableColumn id="13" xr3:uid="{A3EC7708-8E68-479C-8DA9-5F7A330C657C}" name="個人／構成比" dataDxfId="494"/>
    <tableColumn id="14" xr3:uid="{FA43A3DC-D12F-4023-87EC-EB0291830DA5}" name="法人／事業所数" dataCellStyle="桁区切り"/>
    <tableColumn id="15" xr3:uid="{50E0B64C-060B-428B-BF0A-19351D0528C4}" name="法人／構成比" dataDxfId="493"/>
    <tableColumn id="16" xr3:uid="{0BDF7BF0-4876-4D3B-AE2F-A3A657E949A5}" name="法人以外の団体／事業所数" dataCellStyle="桁区切り"/>
  </tableColumns>
  <tableStyleInfo name="TableStyleMedium9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36B2FAF2-3D12-4446-B684-80CD988D7BA9}" name="S_TABLE_22135" displayName="S_TABLE_22135" ref="B46:I67" totalsRowShown="0">
  <autoFilter ref="B46:I67" xr:uid="{36B2FAF2-3D12-4446-B684-80CD988D7BA9}"/>
  <tableColumns count="8">
    <tableColumn id="9" xr3:uid="{9358E3D2-62FC-479D-B180-949F0591FA6D}" name="産業小分類上位２０"/>
    <tableColumn id="10" xr3:uid="{56C76935-D1A0-429A-8377-081BFBD23184}" name="総数／事業所数" dataCellStyle="桁区切り"/>
    <tableColumn id="11" xr3:uid="{18196417-2563-4449-8D95-59FEC26B211A}" name="総数／構成比" dataDxfId="492"/>
    <tableColumn id="12" xr3:uid="{C9063436-0AE8-41FD-8D9D-045841D876AB}" name="個人／事業所数" dataCellStyle="桁区切り"/>
    <tableColumn id="13" xr3:uid="{963A71D8-BC18-4F39-85DC-EFB68A8CD7EC}" name="個人／構成比" dataDxfId="491"/>
    <tableColumn id="14" xr3:uid="{3B8BDA82-5008-47B8-907A-DB38834667C5}" name="法人／事業所数" dataCellStyle="桁区切り"/>
    <tableColumn id="15" xr3:uid="{27C98B92-34C3-45AF-93B6-36572E30CA62}" name="法人／構成比" dataDxfId="490"/>
    <tableColumn id="16" xr3:uid="{A480D855-D5AE-44E5-AF6D-945240B1BF4C}" name="法人以外の団体／事業所数" dataCellStyle="桁区切り"/>
  </tableColumns>
  <tableStyleInfo name="TableStyleMedium9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7710F04-53E2-494C-B44F-0A2D0FEC38F6}" name="LTBL_22136" displayName="LTBL_22136" ref="B4:I20" totalsRowCount="1">
  <autoFilter ref="B4:I19" xr:uid="{57710F04-53E2-494C-B44F-0A2D0FEC38F6}"/>
  <tableColumns count="8">
    <tableColumn id="9" xr3:uid="{7F4AB162-5BAA-47F1-9388-101148FB376F}" name="産業大分類" totalsRowLabel="合計" totalsRowDxfId="489"/>
    <tableColumn id="10" xr3:uid="{2D5FF581-44C2-4498-AC69-C11A3ECEE0D3}" name="総数／事業所数" totalsRowFunction="custom" totalsRowDxfId="488" dataCellStyle="桁区切り" totalsRowCellStyle="桁区切り">
      <totalsRowFormula>SUM(LTBL_22136[総数／事業所数])</totalsRowFormula>
    </tableColumn>
    <tableColumn id="11" xr3:uid="{1A10391A-DE48-4BA0-8C30-8B7BA9423F74}" name="総数／構成比" dataDxfId="487"/>
    <tableColumn id="12" xr3:uid="{4A836522-BCF3-462E-AE78-2E7B03C83E08}" name="個人／事業所数" totalsRowFunction="sum" totalsRowDxfId="486" dataCellStyle="桁区切り" totalsRowCellStyle="桁区切り"/>
    <tableColumn id="13" xr3:uid="{E06CE731-E71F-4E2A-A8D1-F38E7CD51FC8}" name="個人／構成比" dataDxfId="485"/>
    <tableColumn id="14" xr3:uid="{ED3DF580-B676-4875-B9EF-DE8ED58F4D9B}" name="法人／事業所数" totalsRowFunction="sum" totalsRowDxfId="484" dataCellStyle="桁区切り" totalsRowCellStyle="桁区切り"/>
    <tableColumn id="15" xr3:uid="{728B3AC3-217E-4AFA-AE1E-625721EDB35E}" name="法人／構成比" dataDxfId="483"/>
    <tableColumn id="16" xr3:uid="{B95A97AB-B830-4537-9216-86BF8CD70318}" name="法人以外の団体／事業所数" totalsRowFunction="sum" totalsRowDxfId="482" dataCellStyle="桁区切り" totalsRowCellStyle="桁区切り"/>
  </tableColumns>
  <tableStyleInfo name="TableStyleMedium9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D1E0392D-C833-48C7-A626-DCCF62EE6BB3}" name="M_TABLE_22136" displayName="M_TABLE_22136" ref="B23:I44" totalsRowShown="0">
  <autoFilter ref="B23:I44" xr:uid="{D1E0392D-C833-48C7-A626-DCCF62EE6BB3}"/>
  <tableColumns count="8">
    <tableColumn id="9" xr3:uid="{A1FC66BB-4A25-4471-914D-2CD8EBF4DE78}" name="産業中分類上位２０"/>
    <tableColumn id="10" xr3:uid="{10878B2A-7434-4CD5-8E68-73AE77037F4C}" name="総数／事業所数" dataCellStyle="桁区切り"/>
    <tableColumn id="11" xr3:uid="{C9A1DD50-17D4-4B42-B686-391D8A93DBF4}" name="総数／構成比" dataDxfId="481"/>
    <tableColumn id="12" xr3:uid="{23DA36F5-8EC8-47FC-925E-3B1751622B21}" name="個人／事業所数" dataCellStyle="桁区切り"/>
    <tableColumn id="13" xr3:uid="{DBBBF27C-C83B-41A4-99C0-CBA72B20B4ED}" name="個人／構成比" dataDxfId="480"/>
    <tableColumn id="14" xr3:uid="{E31D7C4A-AD38-41CE-8779-213ABB3E5045}" name="法人／事業所数" dataCellStyle="桁区切り"/>
    <tableColumn id="15" xr3:uid="{B7DEE519-8241-4ADB-8457-76254F436164}" name="法人／構成比" dataDxfId="479"/>
    <tableColumn id="16" xr3:uid="{23691C71-7290-46AE-AF4A-B07D6653D886}" name="法人以外の団体／事業所数" dataCellStyle="桁区切り"/>
  </tableColumns>
  <tableStyleInfo name="TableStyleMedium9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801FED04-4BCA-405C-A1E2-F33DAE827612}" name="S_TABLE_22136" displayName="S_TABLE_22136" ref="B47:I69" totalsRowShown="0">
  <autoFilter ref="B47:I69" xr:uid="{801FED04-4BCA-405C-A1E2-F33DAE827612}"/>
  <tableColumns count="8">
    <tableColumn id="9" xr3:uid="{A2CC6A68-D120-4B62-A092-78E5A33A4F77}" name="産業小分類上位２０"/>
    <tableColumn id="10" xr3:uid="{D00160F2-EB08-47AC-A770-1E5FA87CDE19}" name="総数／事業所数" dataCellStyle="桁区切り"/>
    <tableColumn id="11" xr3:uid="{9C67C057-5023-49D0-B158-0154A16240C4}" name="総数／構成比" dataDxfId="478"/>
    <tableColumn id="12" xr3:uid="{98F91A1A-BD60-4F2E-A51C-C32C2C8954CF}" name="個人／事業所数" dataCellStyle="桁区切り"/>
    <tableColumn id="13" xr3:uid="{DE30B8A7-B531-461C-BE6A-4CAE6E19273A}" name="個人／構成比" dataDxfId="477"/>
    <tableColumn id="14" xr3:uid="{724979AD-0290-43E1-8C5C-34C01EC6698B}" name="法人／事業所数" dataCellStyle="桁区切り"/>
    <tableColumn id="15" xr3:uid="{5B098C10-4BDB-465D-9B20-C32B80159B54}" name="法人／構成比" dataDxfId="476"/>
    <tableColumn id="16" xr3:uid="{44A28088-0AC0-41FD-948B-A9AC1470B80C}" name="法人以外の団体／事業所数" dataCellStyle="桁区切り"/>
  </tableColumns>
  <tableStyleInfo name="TableStyleMedium9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C0A5FC21-B9E6-4711-8F14-EFA44569DD3A}" name="LTBL_22137" displayName="LTBL_22137" ref="B4:I20" totalsRowCount="1">
  <autoFilter ref="B4:I19" xr:uid="{C0A5FC21-B9E6-4711-8F14-EFA44569DD3A}"/>
  <tableColumns count="8">
    <tableColumn id="9" xr3:uid="{5E21F54F-42DF-4A67-BD68-18E37288EF2E}" name="産業大分類" totalsRowLabel="合計" totalsRowDxfId="475"/>
    <tableColumn id="10" xr3:uid="{5FC7DE20-8943-4B13-8018-B09680A99F79}" name="総数／事業所数" totalsRowFunction="custom" totalsRowDxfId="474" dataCellStyle="桁区切り" totalsRowCellStyle="桁区切り">
      <totalsRowFormula>SUM(LTBL_22137[総数／事業所数])</totalsRowFormula>
    </tableColumn>
    <tableColumn id="11" xr3:uid="{02749565-C546-4549-8266-C9D23B3F2D64}" name="総数／構成比" dataDxfId="473"/>
    <tableColumn id="12" xr3:uid="{AB03922D-757A-456D-BDAC-CB8D95023E84}" name="個人／事業所数" totalsRowFunction="sum" totalsRowDxfId="472" dataCellStyle="桁区切り" totalsRowCellStyle="桁区切り"/>
    <tableColumn id="13" xr3:uid="{AAA3F9CD-E174-41B4-BB88-6064A91C6E2D}" name="個人／構成比" dataDxfId="471"/>
    <tableColumn id="14" xr3:uid="{4999D9C0-D155-4E20-B86F-1DC46CD04072}" name="法人／事業所数" totalsRowFunction="sum" totalsRowDxfId="470" dataCellStyle="桁区切り" totalsRowCellStyle="桁区切り"/>
    <tableColumn id="15" xr3:uid="{C32DA5CF-63B9-47C2-B4E7-A5BBDBC04203}" name="法人／構成比" dataDxfId="469"/>
    <tableColumn id="16" xr3:uid="{372A1CF3-C2D8-4B28-BB6D-DCB29E28DEE0}" name="法人以外の団体／事業所数" totalsRowFunction="sum" totalsRowDxfId="468" dataCellStyle="桁区切り" totalsRowCellStyle="桁区切り"/>
  </tableColumns>
  <tableStyleInfo name="TableStyleMedium9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45524BC-8FB7-41E3-848E-857619941A93}" name="M_TABLE_22137" displayName="M_TABLE_22137" ref="B23:I45" totalsRowShown="0">
  <autoFilter ref="B23:I45" xr:uid="{C45524BC-8FB7-41E3-848E-857619941A93}"/>
  <tableColumns count="8">
    <tableColumn id="9" xr3:uid="{1DC66CE7-BD5B-4593-AF89-F01CBFA105A7}" name="産業中分類上位２０"/>
    <tableColumn id="10" xr3:uid="{57A3B587-1490-42A2-A279-53C323D9455F}" name="総数／事業所数" dataCellStyle="桁区切り"/>
    <tableColumn id="11" xr3:uid="{A1A1E754-A7AC-4CA5-A1E0-630C77C80170}" name="総数／構成比" dataDxfId="467"/>
    <tableColumn id="12" xr3:uid="{D9BF385F-4C69-49DF-B548-B81D6737C357}" name="個人／事業所数" dataCellStyle="桁区切り"/>
    <tableColumn id="13" xr3:uid="{FED7B0C3-E124-4BC6-AE59-7FC0D42266D1}" name="個人／構成比" dataDxfId="466"/>
    <tableColumn id="14" xr3:uid="{38C4EFD1-C96E-45E3-BD23-C6237D77B892}" name="法人／事業所数" dataCellStyle="桁区切り"/>
    <tableColumn id="15" xr3:uid="{4BC62FFB-532C-476F-9CA7-5C30590D81B5}" name="法人／構成比" dataDxfId="465"/>
    <tableColumn id="16" xr3:uid="{52E6406C-0A0B-4EBF-8E23-2400769600E0}" name="法人以外の団体／事業所数" dataCellStyle="桁区切り"/>
  </tableColumns>
  <tableStyleInfo name="TableStyleMedium9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1BBCED88-22D2-4997-8633-8831F7D85B9F}" name="S_TABLE_22137" displayName="S_TABLE_22137" ref="B48:I70" totalsRowShown="0">
  <autoFilter ref="B48:I70" xr:uid="{1BBCED88-22D2-4997-8633-8831F7D85B9F}"/>
  <tableColumns count="8">
    <tableColumn id="9" xr3:uid="{DBBD3F49-23BC-449A-90DB-6BACC52032C1}" name="産業小分類上位２０"/>
    <tableColumn id="10" xr3:uid="{A1280DA2-90D7-43CB-9AFE-76EB3E160F44}" name="総数／事業所数" dataCellStyle="桁区切り"/>
    <tableColumn id="11" xr3:uid="{1F9801A7-147F-46C7-A360-D89FBD746A59}" name="総数／構成比" dataDxfId="464"/>
    <tableColumn id="12" xr3:uid="{B2763435-46F2-4F04-90C0-5AB8FC0E179D}" name="個人／事業所数" dataCellStyle="桁区切り"/>
    <tableColumn id="13" xr3:uid="{D26689A7-5042-4E4E-9DF0-1E4C7D91FD2B}" name="個人／構成比" dataDxfId="463"/>
    <tableColumn id="14" xr3:uid="{6FBAE81C-0C4A-4C2D-9FA0-D14A27FB6A05}" name="法人／事業所数" dataCellStyle="桁区切り"/>
    <tableColumn id="15" xr3:uid="{89000C2D-974E-4C0C-B468-3C0DDED6B961}" name="法人／構成比" dataDxfId="462"/>
    <tableColumn id="16" xr3:uid="{F24685F0-1C52-417F-BFAA-E829E7D36CCF}" name="法人以外の団体／事業所数" dataCellStyle="桁区切り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0825EC-E475-4267-9CFF-5F44C2A3A76B}" name="LTBL_22100" displayName="LTBL_22100" ref="B4:I20" totalsRowCount="1">
  <autoFilter ref="B4:I19" xr:uid="{440825EC-E475-4267-9CFF-5F44C2A3A76B}"/>
  <tableColumns count="8">
    <tableColumn id="9" xr3:uid="{88EB6AF2-43E4-4AEE-B547-6337AEF049BA}" name="産業大分類" totalsRowLabel="合計" totalsRowDxfId="629"/>
    <tableColumn id="10" xr3:uid="{E2092A3C-83E4-4321-9CF2-6CD6FBF15793}" name="総数／事業所数" totalsRowFunction="custom" totalsRowDxfId="628" dataCellStyle="桁区切り" totalsRowCellStyle="桁区切り">
      <totalsRowFormula>SUM(LTBL_22100[総数／事業所数])</totalsRowFormula>
    </tableColumn>
    <tableColumn id="11" xr3:uid="{23862C76-7D1E-44E7-80F6-63C5219DC018}" name="総数／構成比" dataDxfId="627"/>
    <tableColumn id="12" xr3:uid="{B6651817-50B8-4886-96FF-8EC6DEEF9AC3}" name="個人／事業所数" totalsRowFunction="sum" totalsRowDxfId="626" dataCellStyle="桁区切り" totalsRowCellStyle="桁区切り"/>
    <tableColumn id="13" xr3:uid="{68175DBF-7155-4CCD-8FFC-72C3E1534C94}" name="個人／構成比" dataDxfId="625"/>
    <tableColumn id="14" xr3:uid="{829A3729-D890-4B8D-88D8-EE018135CCA2}" name="法人／事業所数" totalsRowFunction="sum" totalsRowDxfId="624" dataCellStyle="桁区切り" totalsRowCellStyle="桁区切り"/>
    <tableColumn id="15" xr3:uid="{B71F29D0-FAB3-42D5-8D94-325A62CEB5E1}" name="法人／構成比" dataDxfId="623"/>
    <tableColumn id="16" xr3:uid="{F5B7D30D-91F7-4FF6-A091-FBEADE244CDF}" name="法人以外の団体／事業所数" totalsRowFunction="sum" totalsRowDxfId="622" dataCellStyle="桁区切り" totalsRowCellStyle="桁区切り"/>
  </tableColumns>
  <tableStyleInfo name="TableStyleMedium9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50C74E71-315E-4031-BDEF-371F52FB0E63}" name="LTBL_22203" displayName="LTBL_22203" ref="B4:I20" totalsRowCount="1">
  <autoFilter ref="B4:I19" xr:uid="{50C74E71-315E-4031-BDEF-371F52FB0E63}"/>
  <tableColumns count="8">
    <tableColumn id="9" xr3:uid="{99A0DBF2-1810-4F0D-9E55-0A58AD87DFF0}" name="産業大分類" totalsRowLabel="合計" totalsRowDxfId="461"/>
    <tableColumn id="10" xr3:uid="{5F6B2150-0B13-4CE6-9EC3-FD0A5990AEE6}" name="総数／事業所数" totalsRowFunction="custom" totalsRowDxfId="460" dataCellStyle="桁区切り" totalsRowCellStyle="桁区切り">
      <totalsRowFormula>SUM(LTBL_22203[総数／事業所数])</totalsRowFormula>
    </tableColumn>
    <tableColumn id="11" xr3:uid="{42B30916-4CC6-4B49-A96A-3D35B2DE9783}" name="総数／構成比" dataDxfId="459"/>
    <tableColumn id="12" xr3:uid="{70BB5BDF-84A9-4256-8CF4-813905997BD0}" name="個人／事業所数" totalsRowFunction="sum" totalsRowDxfId="458" dataCellStyle="桁区切り" totalsRowCellStyle="桁区切り"/>
    <tableColumn id="13" xr3:uid="{704F19EE-31BC-42BF-B1D9-73E0088A8CD1}" name="個人／構成比" dataDxfId="457"/>
    <tableColumn id="14" xr3:uid="{13449B27-320A-4E55-B6C2-AF765200D3E7}" name="法人／事業所数" totalsRowFunction="sum" totalsRowDxfId="456" dataCellStyle="桁区切り" totalsRowCellStyle="桁区切り"/>
    <tableColumn id="15" xr3:uid="{37950128-0DB8-4AF9-B046-3A725EB133AC}" name="法人／構成比" dataDxfId="455"/>
    <tableColumn id="16" xr3:uid="{97CB1006-322C-4B82-9C44-20EFBAFB8682}" name="法人以外の団体／事業所数" totalsRowFunction="sum" totalsRowDxfId="454" dataCellStyle="桁区切り" totalsRowCellStyle="桁区切り"/>
  </tableColumns>
  <tableStyleInfo name="TableStyleMedium9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8407BEB4-AEA7-4139-B957-ACFB7310FCD6}" name="M_TABLE_22203" displayName="M_TABLE_22203" ref="B23:I44" totalsRowShown="0">
  <autoFilter ref="B23:I44" xr:uid="{8407BEB4-AEA7-4139-B957-ACFB7310FCD6}"/>
  <tableColumns count="8">
    <tableColumn id="9" xr3:uid="{9B105838-B914-4291-A5E8-733A6ED63C0F}" name="産業中分類上位２０"/>
    <tableColumn id="10" xr3:uid="{C85F297E-4ADD-44FC-808D-0D4C2E3C4BFC}" name="総数／事業所数" dataCellStyle="桁区切り"/>
    <tableColumn id="11" xr3:uid="{AE6B4537-D69B-4741-BD32-4D401ECA9DD2}" name="総数／構成比" dataDxfId="453"/>
    <tableColumn id="12" xr3:uid="{4C447CAD-D4A4-4F98-B71B-8543898B56DB}" name="個人／事業所数" dataCellStyle="桁区切り"/>
    <tableColumn id="13" xr3:uid="{F14176FC-2687-40EB-9FF8-0CD844E29E12}" name="個人／構成比" dataDxfId="452"/>
    <tableColumn id="14" xr3:uid="{0C3E5153-504A-41CB-8AB0-141653F0C6C1}" name="法人／事業所数" dataCellStyle="桁区切り"/>
    <tableColumn id="15" xr3:uid="{1C61CB65-C7C0-41F8-8DBC-058C0B4CE9D9}" name="法人／構成比" dataDxfId="451"/>
    <tableColumn id="16" xr3:uid="{9DA27049-351D-4E00-9E51-7E526CD413DF}" name="法人以外の団体／事業所数" dataCellStyle="桁区切り"/>
  </tableColumns>
  <tableStyleInfo name="TableStyleMedium9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362572EC-69F4-433D-916B-6C5CF1825750}" name="S_TABLE_22203" displayName="S_TABLE_22203" ref="B47:I68" totalsRowShown="0">
  <autoFilter ref="B47:I68" xr:uid="{362572EC-69F4-433D-916B-6C5CF1825750}"/>
  <tableColumns count="8">
    <tableColumn id="9" xr3:uid="{1A08C19A-F552-44EE-A1A0-13F96A5F4701}" name="産業小分類上位２０"/>
    <tableColumn id="10" xr3:uid="{66A1B7D9-3755-4BDD-8FE5-02E9AECB0C6E}" name="総数／事業所数" dataCellStyle="桁区切り"/>
    <tableColumn id="11" xr3:uid="{27A374D6-B9CD-4453-8A34-B562DB0B2D38}" name="総数／構成比" dataDxfId="450"/>
    <tableColumn id="12" xr3:uid="{C13F23BD-5FDE-4F30-8F96-1223B33B387D}" name="個人／事業所数" dataCellStyle="桁区切り"/>
    <tableColumn id="13" xr3:uid="{66E91E52-803F-456F-ADC4-3E85051E1903}" name="個人／構成比" dataDxfId="449"/>
    <tableColumn id="14" xr3:uid="{9E671BC9-D97F-4CA7-A161-012894CE4BAC}" name="法人／事業所数" dataCellStyle="桁区切り"/>
    <tableColumn id="15" xr3:uid="{C02AB630-DCEF-4B35-9C7F-1C8D79DA7EDC}" name="法人／構成比" dataDxfId="448"/>
    <tableColumn id="16" xr3:uid="{B35B2919-7028-42E4-AE44-32A64E51940B}" name="法人以外の団体／事業所数" dataCellStyle="桁区切り"/>
  </tableColumns>
  <tableStyleInfo name="TableStyleMedium9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9FDB6E66-D065-406D-9CE2-C82DF45BE487}" name="LTBL_22205" displayName="LTBL_22205" ref="B4:I20" totalsRowCount="1">
  <autoFilter ref="B4:I19" xr:uid="{9FDB6E66-D065-406D-9CE2-C82DF45BE487}"/>
  <tableColumns count="8">
    <tableColumn id="9" xr3:uid="{E4B6798F-7458-4FB5-BFF1-60952C11D505}" name="産業大分類" totalsRowLabel="合計" totalsRowDxfId="447"/>
    <tableColumn id="10" xr3:uid="{A0F6623E-8FA8-410E-BA88-DF78407D70CC}" name="総数／事業所数" totalsRowFunction="custom" totalsRowDxfId="446" dataCellStyle="桁区切り" totalsRowCellStyle="桁区切り">
      <totalsRowFormula>SUM(LTBL_22205[総数／事業所数])</totalsRowFormula>
    </tableColumn>
    <tableColumn id="11" xr3:uid="{37AC40FE-5278-4C2A-A246-47381CC7F9C2}" name="総数／構成比" dataDxfId="445"/>
    <tableColumn id="12" xr3:uid="{E8E84F6B-53E2-46DF-9839-C5CC54A0E247}" name="個人／事業所数" totalsRowFunction="sum" totalsRowDxfId="444" dataCellStyle="桁区切り" totalsRowCellStyle="桁区切り"/>
    <tableColumn id="13" xr3:uid="{7629DC8A-0A47-4985-B9FF-8660CB7E13E4}" name="個人／構成比" dataDxfId="443"/>
    <tableColumn id="14" xr3:uid="{472DE20D-AA58-4F36-92FE-DD7FF0824BB0}" name="法人／事業所数" totalsRowFunction="sum" totalsRowDxfId="442" dataCellStyle="桁区切り" totalsRowCellStyle="桁区切り"/>
    <tableColumn id="15" xr3:uid="{EDE4BFF9-CEE8-489E-8E07-5437A131EC95}" name="法人／構成比" dataDxfId="441"/>
    <tableColumn id="16" xr3:uid="{02D2E797-6268-4086-8763-624EF75E5E0E}" name="法人以外の団体／事業所数" totalsRowFunction="sum" totalsRowDxfId="440" dataCellStyle="桁区切り" totalsRowCellStyle="桁区切り"/>
  </tableColumns>
  <tableStyleInfo name="TableStyleMedium9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B81BA08D-F4F4-4F74-8F19-F01F1EE37480}" name="M_TABLE_22205" displayName="M_TABLE_22205" ref="B23:I43" totalsRowShown="0">
  <autoFilter ref="B23:I43" xr:uid="{B81BA08D-F4F4-4F74-8F19-F01F1EE37480}"/>
  <tableColumns count="8">
    <tableColumn id="9" xr3:uid="{43AAA03C-73C0-4F2E-911C-4AD08E16A147}" name="産業中分類上位２０"/>
    <tableColumn id="10" xr3:uid="{572AC6F2-FC8D-4207-8E23-59EC65F3BD27}" name="総数／事業所数" dataCellStyle="桁区切り"/>
    <tableColumn id="11" xr3:uid="{ADA175D6-58BF-45ED-9883-03240DBACD6D}" name="総数／構成比" dataDxfId="439"/>
    <tableColumn id="12" xr3:uid="{394D132A-11EA-49AE-B37B-B248E03DCF3D}" name="個人／事業所数" dataCellStyle="桁区切り"/>
    <tableColumn id="13" xr3:uid="{CD5A5676-DD94-42ED-B6B3-DC2A86EEC085}" name="個人／構成比" dataDxfId="438"/>
    <tableColumn id="14" xr3:uid="{1CA1AEFA-DDBC-4BD2-9D2B-0377D4B97525}" name="法人／事業所数" dataCellStyle="桁区切り"/>
    <tableColumn id="15" xr3:uid="{0206CDFE-6F83-4268-898B-363176343214}" name="法人／構成比" dataDxfId="437"/>
    <tableColumn id="16" xr3:uid="{4E8D4686-4C8B-4FAF-BC17-A8558AFC7575}" name="法人以外の団体／事業所数" dataCellStyle="桁区切り"/>
  </tableColumns>
  <tableStyleInfo name="TableStyleMedium9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FBAD2A1C-C3C8-4B1B-ADEF-2BE28698DE92}" name="S_TABLE_22205" displayName="S_TABLE_22205" ref="B46:I66" totalsRowShown="0">
  <autoFilter ref="B46:I66" xr:uid="{FBAD2A1C-C3C8-4B1B-ADEF-2BE28698DE92}"/>
  <tableColumns count="8">
    <tableColumn id="9" xr3:uid="{42F64940-6AAF-4F94-B584-41A9BD3624CF}" name="産業小分類上位２０"/>
    <tableColumn id="10" xr3:uid="{23C7A892-AF98-4CF9-8531-E1DAC5B97A88}" name="総数／事業所数" dataCellStyle="桁区切り"/>
    <tableColumn id="11" xr3:uid="{9D65F594-D308-42EA-8D4E-FBC8098CCADF}" name="総数／構成比" dataDxfId="436"/>
    <tableColumn id="12" xr3:uid="{1F344DCF-D01C-4835-A74D-2AC4F0774201}" name="個人／事業所数" dataCellStyle="桁区切り"/>
    <tableColumn id="13" xr3:uid="{CABBEF18-7820-4857-A1D3-3F29D11544CB}" name="個人／構成比" dataDxfId="435"/>
    <tableColumn id="14" xr3:uid="{984530D3-1EC7-4AFE-8D80-2239ABC3A5A3}" name="法人／事業所数" dataCellStyle="桁区切り"/>
    <tableColumn id="15" xr3:uid="{8E6ADD65-DB34-4B52-9526-8DF128501DB9}" name="法人／構成比" dataDxfId="434"/>
    <tableColumn id="16" xr3:uid="{60A4C72D-E558-4C9E-8DDB-62FD9BE32E1B}" name="法人以外の団体／事業所数" dataCellStyle="桁区切り"/>
  </tableColumns>
  <tableStyleInfo name="TableStyleMedium9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FA289641-5213-48C6-8A7A-934B430168C1}" name="LTBL_22206" displayName="LTBL_22206" ref="B4:I20" totalsRowCount="1">
  <autoFilter ref="B4:I19" xr:uid="{FA289641-5213-48C6-8A7A-934B430168C1}"/>
  <tableColumns count="8">
    <tableColumn id="9" xr3:uid="{D3F6CCBC-A003-4329-B9A5-ADC89CDE8C55}" name="産業大分類" totalsRowLabel="合計" totalsRowDxfId="433"/>
    <tableColumn id="10" xr3:uid="{20224108-AA45-4331-A516-B0CC2A4FE6A6}" name="総数／事業所数" totalsRowFunction="custom" totalsRowDxfId="432" dataCellStyle="桁区切り" totalsRowCellStyle="桁区切り">
      <totalsRowFormula>SUM(LTBL_22206[総数／事業所数])</totalsRowFormula>
    </tableColumn>
    <tableColumn id="11" xr3:uid="{32A3ED3E-FDC5-4028-8A3A-1EA56B780BDD}" name="総数／構成比" dataDxfId="431"/>
    <tableColumn id="12" xr3:uid="{41587A41-ECF7-4DC3-BD95-C3AC7B2CE585}" name="個人／事業所数" totalsRowFunction="sum" totalsRowDxfId="430" dataCellStyle="桁区切り" totalsRowCellStyle="桁区切り"/>
    <tableColumn id="13" xr3:uid="{DA126AED-2749-4CEC-8C99-6B653CCDA87B}" name="個人／構成比" dataDxfId="429"/>
    <tableColumn id="14" xr3:uid="{6F6DAD30-7641-450D-BA50-CC32F2660535}" name="法人／事業所数" totalsRowFunction="sum" totalsRowDxfId="428" dataCellStyle="桁区切り" totalsRowCellStyle="桁区切り"/>
    <tableColumn id="15" xr3:uid="{645A517F-961D-4BA1-918A-53054792971F}" name="法人／構成比" dataDxfId="427"/>
    <tableColumn id="16" xr3:uid="{F78FEBEE-0409-43B8-9B15-4F957D0C3489}" name="法人以外の団体／事業所数" totalsRowFunction="sum" totalsRowDxfId="426" dataCellStyle="桁区切り" totalsRowCellStyle="桁区切り"/>
  </tableColumns>
  <tableStyleInfo name="TableStyleMedium9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2AF274E8-A692-4005-8A68-871323D58A35}" name="M_TABLE_22206" displayName="M_TABLE_22206" ref="B23:I44" totalsRowShown="0">
  <autoFilter ref="B23:I44" xr:uid="{2AF274E8-A692-4005-8A68-871323D58A35}"/>
  <tableColumns count="8">
    <tableColumn id="9" xr3:uid="{2BBA37D7-36AD-46C5-8FA9-7C7E14CE39A6}" name="産業中分類上位２０"/>
    <tableColumn id="10" xr3:uid="{4F6176D7-1D4E-45FC-961D-22E840D1F69B}" name="総数／事業所数" dataCellStyle="桁区切り"/>
    <tableColumn id="11" xr3:uid="{4EDDB888-F69D-4FCA-9DD3-DFBB2058A383}" name="総数／構成比" dataDxfId="425"/>
    <tableColumn id="12" xr3:uid="{0CEC4955-FBB6-4B31-8DC1-74306F9C8192}" name="個人／事業所数" dataCellStyle="桁区切り"/>
    <tableColumn id="13" xr3:uid="{8CC54BCD-0F60-42F3-B22B-C342DAD2E015}" name="個人／構成比" dataDxfId="424"/>
    <tableColumn id="14" xr3:uid="{513F1E84-C1E6-447F-B330-B5A4D3828F6F}" name="法人／事業所数" dataCellStyle="桁区切り"/>
    <tableColumn id="15" xr3:uid="{C30485BC-7D9C-4DE0-88EB-1D7120C658D3}" name="法人／構成比" dataDxfId="423"/>
    <tableColumn id="16" xr3:uid="{48A821BA-9B19-4C0D-8D54-C7ECEC80C64F}" name="法人以外の団体／事業所数" dataCellStyle="桁区切り"/>
  </tableColumns>
  <tableStyleInfo name="TableStyleMedium9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E3051EF7-1F4D-47D0-B86F-72B128454E29}" name="S_TABLE_22206" displayName="S_TABLE_22206" ref="B47:I67" totalsRowShown="0">
  <autoFilter ref="B47:I67" xr:uid="{E3051EF7-1F4D-47D0-B86F-72B128454E29}"/>
  <tableColumns count="8">
    <tableColumn id="9" xr3:uid="{A22EA839-A670-42B0-8B97-F0FB0248EFAA}" name="産業小分類上位２０"/>
    <tableColumn id="10" xr3:uid="{43C9DC3D-3112-4CB4-9EEF-FC5E7E7DB792}" name="総数／事業所数" dataCellStyle="桁区切り"/>
    <tableColumn id="11" xr3:uid="{C07F8864-38EF-4FE4-AFE7-37E33751E38C}" name="総数／構成比" dataDxfId="422"/>
    <tableColumn id="12" xr3:uid="{8EA48C0A-530D-465D-A3DE-60ECC355E20A}" name="個人／事業所数" dataCellStyle="桁区切り"/>
    <tableColumn id="13" xr3:uid="{B12FBDE3-32C5-4C67-A283-1312A3F7F471}" name="個人／構成比" dataDxfId="421"/>
    <tableColumn id="14" xr3:uid="{B80364DF-FAE1-4700-A46E-95F6E233A1D3}" name="法人／事業所数" dataCellStyle="桁区切り"/>
    <tableColumn id="15" xr3:uid="{8E461BBF-FD75-4832-AC69-EC7B26818032}" name="法人／構成比" dataDxfId="420"/>
    <tableColumn id="16" xr3:uid="{4563A3CA-4DAA-4FEF-99B5-3D061FDF811A}" name="法人以外の団体／事業所数" dataCellStyle="桁区切り"/>
  </tableColumns>
  <tableStyleInfo name="TableStyleMedium9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4356371C-5B2C-4A66-A410-96392E0F57BC}" name="LTBL_22207" displayName="LTBL_22207" ref="B4:I20" totalsRowCount="1">
  <autoFilter ref="B4:I19" xr:uid="{4356371C-5B2C-4A66-A410-96392E0F57BC}"/>
  <tableColumns count="8">
    <tableColumn id="9" xr3:uid="{10666BDA-8882-4294-8047-5EDEFC091688}" name="産業大分類" totalsRowLabel="合計" totalsRowDxfId="419"/>
    <tableColumn id="10" xr3:uid="{ED36C357-30F0-4C36-8303-904C0EB4A07B}" name="総数／事業所数" totalsRowFunction="custom" totalsRowDxfId="418" dataCellStyle="桁区切り" totalsRowCellStyle="桁区切り">
      <totalsRowFormula>SUM(LTBL_22207[総数／事業所数])</totalsRowFormula>
    </tableColumn>
    <tableColumn id="11" xr3:uid="{6CF80898-1B58-4955-8352-C6BE35E58507}" name="総数／構成比" dataDxfId="417"/>
    <tableColumn id="12" xr3:uid="{3D156451-AD42-4AE2-929B-4FF05CBB0823}" name="個人／事業所数" totalsRowFunction="sum" totalsRowDxfId="416" dataCellStyle="桁区切り" totalsRowCellStyle="桁区切り"/>
    <tableColumn id="13" xr3:uid="{FBF044EE-8471-4013-801C-ED5EAADD1EFD}" name="個人／構成比" dataDxfId="415"/>
    <tableColumn id="14" xr3:uid="{963AFB62-F65E-4630-BCCA-EAB2259D0F5C}" name="法人／事業所数" totalsRowFunction="sum" totalsRowDxfId="414" dataCellStyle="桁区切り" totalsRowCellStyle="桁区切り"/>
    <tableColumn id="15" xr3:uid="{27E82091-68A8-46B3-B9EF-B6AF4D299D53}" name="法人／構成比" dataDxfId="413"/>
    <tableColumn id="16" xr3:uid="{9656888E-6A10-4807-BD28-EC43AF59E386}" name="法人以外の団体／事業所数" totalsRowFunction="sum" totalsRowDxfId="412" dataCellStyle="桁区切り" totalsRowCellStyle="桁区切り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57760E0-5D56-45DA-9BE5-94D8719E6C39}" name="M_TABLE_22100" displayName="M_TABLE_22100" ref="B23:I43" totalsRowShown="0">
  <autoFilter ref="B23:I43" xr:uid="{657760E0-5D56-45DA-9BE5-94D8719E6C39}"/>
  <tableColumns count="8">
    <tableColumn id="9" xr3:uid="{CC777740-1EB6-4EDD-8BE2-E939F717C8FC}" name="産業中分類上位２０"/>
    <tableColumn id="10" xr3:uid="{092C88BB-11EA-4CC0-BCE9-0C93EF36728D}" name="総数／事業所数" dataCellStyle="桁区切り"/>
    <tableColumn id="11" xr3:uid="{1D80D111-D747-4771-B5A4-01FA0C811340}" name="総数／構成比" dataDxfId="621"/>
    <tableColumn id="12" xr3:uid="{C7874A3A-7BCC-4166-87FD-B68569EEF4C9}" name="個人／事業所数" dataCellStyle="桁区切り"/>
    <tableColumn id="13" xr3:uid="{18AEA75F-4D48-4C34-8BEC-D7C64968690E}" name="個人／構成比" dataDxfId="620"/>
    <tableColumn id="14" xr3:uid="{C8D9FA39-DE52-449B-BA3C-3EA3C11A0C81}" name="法人／事業所数" dataCellStyle="桁区切り"/>
    <tableColumn id="15" xr3:uid="{442D9BE1-DA62-4392-8987-C4A141FA6E3D}" name="法人／構成比" dataDxfId="619"/>
    <tableColumn id="16" xr3:uid="{8F8C0CCF-A546-4D60-9099-1F4D148B8D53}" name="法人以外の団体／事業所数" dataCellStyle="桁区切り"/>
  </tableColumns>
  <tableStyleInfo name="TableStyleMedium9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3EC52AA0-2B10-4B23-9680-44A5B431E9CA}" name="M_TABLE_22207" displayName="M_TABLE_22207" ref="B23:I43" totalsRowShown="0">
  <autoFilter ref="B23:I43" xr:uid="{3EC52AA0-2B10-4B23-9680-44A5B431E9CA}"/>
  <tableColumns count="8">
    <tableColumn id="9" xr3:uid="{8B20EFAD-4258-44F3-A75B-9BDB1582498B}" name="産業中分類上位２０"/>
    <tableColumn id="10" xr3:uid="{F6F9687A-69E1-46A6-8FE1-9051D72B31B0}" name="総数／事業所数" dataCellStyle="桁区切り"/>
    <tableColumn id="11" xr3:uid="{4079FED4-C3E0-48B8-AC4E-1BE030294936}" name="総数／構成比" dataDxfId="411"/>
    <tableColumn id="12" xr3:uid="{539015A9-0EF6-4C9B-AC6A-ED6A5C7ACC85}" name="個人／事業所数" dataCellStyle="桁区切り"/>
    <tableColumn id="13" xr3:uid="{B47D8E85-0786-4565-8E72-C072DC4641F4}" name="個人／構成比" dataDxfId="410"/>
    <tableColumn id="14" xr3:uid="{AD5AFF05-2941-4038-A3AF-4EB9790E1417}" name="法人／事業所数" dataCellStyle="桁区切り"/>
    <tableColumn id="15" xr3:uid="{F4AF7D40-CA7D-4B80-AFAB-544E26A43961}" name="法人／構成比" dataDxfId="409"/>
    <tableColumn id="16" xr3:uid="{0C79BD34-F071-4AFF-94AF-E7FDB06AE0C6}" name="法人以外の団体／事業所数" dataCellStyle="桁区切り"/>
  </tableColumns>
  <tableStyleInfo name="TableStyleMedium9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E8457051-C19F-4294-A672-BBCF76A81743}" name="S_TABLE_22207" displayName="S_TABLE_22207" ref="B46:I66" totalsRowShown="0">
  <autoFilter ref="B46:I66" xr:uid="{E8457051-C19F-4294-A672-BBCF76A81743}"/>
  <tableColumns count="8">
    <tableColumn id="9" xr3:uid="{5F5D56E9-C9FF-4FBD-967F-80F9E1C754D1}" name="産業小分類上位２０"/>
    <tableColumn id="10" xr3:uid="{96D32EC7-7593-4463-AD4B-A8BACAC3C4EE}" name="総数／事業所数" dataCellStyle="桁区切り"/>
    <tableColumn id="11" xr3:uid="{F86B84F1-29CC-4C72-BD61-F7B329AFE593}" name="総数／構成比" dataDxfId="408"/>
    <tableColumn id="12" xr3:uid="{A94E1EF0-0CFA-4866-9162-A71FDF4D3133}" name="個人／事業所数" dataCellStyle="桁区切り"/>
    <tableColumn id="13" xr3:uid="{279CE745-7361-4165-811D-767B7D42EAB1}" name="個人／構成比" dataDxfId="407"/>
    <tableColumn id="14" xr3:uid="{3E0970FD-91B4-45BA-9088-D37C2F8B9CD9}" name="法人／事業所数" dataCellStyle="桁区切り"/>
    <tableColumn id="15" xr3:uid="{4069A75C-63FB-41BE-AECE-AF14FC011531}" name="法人／構成比" dataDxfId="406"/>
    <tableColumn id="16" xr3:uid="{3B011365-57DC-4D86-B63F-E09BABCE8A67}" name="法人以外の団体／事業所数" dataCellStyle="桁区切り"/>
  </tableColumns>
  <tableStyleInfo name="TableStyleMedium9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9F849B0F-D191-4512-8EA3-F6F524378BB6}" name="LTBL_22208" displayName="LTBL_22208" ref="B4:I20" totalsRowCount="1">
  <autoFilter ref="B4:I19" xr:uid="{9F849B0F-D191-4512-8EA3-F6F524378BB6}"/>
  <tableColumns count="8">
    <tableColumn id="9" xr3:uid="{05EFEF38-8B9B-4F19-AC46-10E76F91606E}" name="産業大分類" totalsRowLabel="合計" totalsRowDxfId="405"/>
    <tableColumn id="10" xr3:uid="{C9BD5DE3-16ED-4955-BC39-9D5E7CB504F3}" name="総数／事業所数" totalsRowFunction="custom" totalsRowDxfId="404" dataCellStyle="桁区切り" totalsRowCellStyle="桁区切り">
      <totalsRowFormula>SUM(LTBL_22208[総数／事業所数])</totalsRowFormula>
    </tableColumn>
    <tableColumn id="11" xr3:uid="{F71E6FE7-747D-4141-952A-482A5A882BCC}" name="総数／構成比" dataDxfId="403"/>
    <tableColumn id="12" xr3:uid="{007E3E00-1109-46AD-B80F-FAEE598D46F0}" name="個人／事業所数" totalsRowFunction="sum" totalsRowDxfId="402" dataCellStyle="桁区切り" totalsRowCellStyle="桁区切り"/>
    <tableColumn id="13" xr3:uid="{8D501F51-48CE-4388-BE85-0B580279254B}" name="個人／構成比" dataDxfId="401"/>
    <tableColumn id="14" xr3:uid="{B8DB0A99-0D3D-4FA9-AC27-0C49FBAF27D2}" name="法人／事業所数" totalsRowFunction="sum" totalsRowDxfId="400" dataCellStyle="桁区切り" totalsRowCellStyle="桁区切り"/>
    <tableColumn id="15" xr3:uid="{FBB097DB-9A35-4C60-A4E7-158729F1AD68}" name="法人／構成比" dataDxfId="399"/>
    <tableColumn id="16" xr3:uid="{670C9D68-5C52-4381-8F0E-1C3F040D7158}" name="法人以外の団体／事業所数" totalsRowFunction="sum" totalsRowDxfId="398" dataCellStyle="桁区切り" totalsRowCellStyle="桁区切り"/>
  </tableColumns>
  <tableStyleInfo name="TableStyleMedium9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3F74C18D-13D4-465E-8A76-FDA7E85B9039}" name="M_TABLE_22208" displayName="M_TABLE_22208" ref="B23:I43" totalsRowShown="0">
  <autoFilter ref="B23:I43" xr:uid="{3F74C18D-13D4-465E-8A76-FDA7E85B9039}"/>
  <tableColumns count="8">
    <tableColumn id="9" xr3:uid="{2394C18D-A6C2-4B3B-81D6-176D44D962F3}" name="産業中分類上位２０"/>
    <tableColumn id="10" xr3:uid="{2F5E3CFE-8463-4A5C-96FD-CC2FA66C321B}" name="総数／事業所数" dataCellStyle="桁区切り"/>
    <tableColumn id="11" xr3:uid="{121A6636-CD63-4975-AD7E-B3AB8F8A5D18}" name="総数／構成比" dataDxfId="397"/>
    <tableColumn id="12" xr3:uid="{F458D678-65E7-40B7-AD01-EE829880112B}" name="個人／事業所数" dataCellStyle="桁区切り"/>
    <tableColumn id="13" xr3:uid="{0DB2D8A2-03BF-42F9-9502-BAD53B9B4C79}" name="個人／構成比" dataDxfId="396"/>
    <tableColumn id="14" xr3:uid="{31BE227F-F43C-454F-A2C9-2B3BCF41C15F}" name="法人／事業所数" dataCellStyle="桁区切り"/>
    <tableColumn id="15" xr3:uid="{FB7F1481-77D0-4221-8D54-8AF46C7F4EBF}" name="法人／構成比" dataDxfId="395"/>
    <tableColumn id="16" xr3:uid="{D536E71B-DEC8-420A-9172-7CDFFB7B5AC6}" name="法人以外の団体／事業所数" dataCellStyle="桁区切り"/>
  </tableColumns>
  <tableStyleInfo name="TableStyleMedium9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F5B2744-CC77-4231-BDC6-8A9939BE5714}" name="S_TABLE_22208" displayName="S_TABLE_22208" ref="B46:I66" totalsRowShown="0">
  <autoFilter ref="B46:I66" xr:uid="{AF5B2744-CC77-4231-BDC6-8A9939BE5714}"/>
  <tableColumns count="8">
    <tableColumn id="9" xr3:uid="{8245C70F-DF14-4DA5-88C0-7659E80B9145}" name="産業小分類上位２０"/>
    <tableColumn id="10" xr3:uid="{33C474F1-E7CA-479B-A0D8-392E0282DB1F}" name="総数／事業所数" dataCellStyle="桁区切り"/>
    <tableColumn id="11" xr3:uid="{A935723E-12CA-4FDC-AD23-AF69C18FB011}" name="総数／構成比" dataDxfId="394"/>
    <tableColumn id="12" xr3:uid="{A50110F2-EB4E-4A5C-AD72-323AAD6AC70C}" name="個人／事業所数" dataCellStyle="桁区切り"/>
    <tableColumn id="13" xr3:uid="{66FE7C05-C8EC-4218-B5E2-6BE5D596FEB8}" name="個人／構成比" dataDxfId="393"/>
    <tableColumn id="14" xr3:uid="{3F169359-0E6B-4D4A-B721-59AAC3BCFA46}" name="法人／事業所数" dataCellStyle="桁区切り"/>
    <tableColumn id="15" xr3:uid="{037FAC82-D06A-4F04-81D9-7179019FAA71}" name="法人／構成比" dataDxfId="392"/>
    <tableColumn id="16" xr3:uid="{075875D2-61BA-48A6-B3E0-55204F589377}" name="法人以外の団体／事業所数" dataCellStyle="桁区切り"/>
  </tableColumns>
  <tableStyleInfo name="TableStyleMedium9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7E2FB99D-E9A6-4BAA-8C62-BE812E9BD2A8}" name="LTBL_22209" displayName="LTBL_22209" ref="B4:I20" totalsRowCount="1">
  <autoFilter ref="B4:I19" xr:uid="{7E2FB99D-E9A6-4BAA-8C62-BE812E9BD2A8}"/>
  <tableColumns count="8">
    <tableColumn id="9" xr3:uid="{BD8D3BE7-00CB-48CA-B204-86093946AAED}" name="産業大分類" totalsRowLabel="合計" totalsRowDxfId="391"/>
    <tableColumn id="10" xr3:uid="{E456A638-779A-4766-B3AD-13C25BBB0335}" name="総数／事業所数" totalsRowFunction="custom" totalsRowDxfId="390" dataCellStyle="桁区切り" totalsRowCellStyle="桁区切り">
      <totalsRowFormula>SUM(LTBL_22209[総数／事業所数])</totalsRowFormula>
    </tableColumn>
    <tableColumn id="11" xr3:uid="{694E345F-33F8-43D7-A11E-3D048EC51E34}" name="総数／構成比" dataDxfId="389"/>
    <tableColumn id="12" xr3:uid="{EAAE7184-FA07-493A-AC2C-78CA27CBFC03}" name="個人／事業所数" totalsRowFunction="sum" totalsRowDxfId="388" dataCellStyle="桁区切り" totalsRowCellStyle="桁区切り"/>
    <tableColumn id="13" xr3:uid="{5CC9475E-C626-4F79-AB34-535F1CD50DD0}" name="個人／構成比" dataDxfId="387"/>
    <tableColumn id="14" xr3:uid="{1E1096B7-34F1-4AB8-8CE9-026C847C2A46}" name="法人／事業所数" totalsRowFunction="sum" totalsRowDxfId="386" dataCellStyle="桁区切り" totalsRowCellStyle="桁区切り"/>
    <tableColumn id="15" xr3:uid="{458E1DAB-C88E-4F40-B43B-99117D6F43DE}" name="法人／構成比" dataDxfId="385"/>
    <tableColumn id="16" xr3:uid="{1F196ED8-CE65-4437-A63B-16F8B1C1611E}" name="法人以外の団体／事業所数" totalsRowFunction="sum" totalsRowDxfId="384" dataCellStyle="桁区切り" totalsRowCellStyle="桁区切り"/>
  </tableColumns>
  <tableStyleInfo name="TableStyleMedium9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D5CB1B8C-9CB3-451C-88A5-59E71A10EC55}" name="M_TABLE_22209" displayName="M_TABLE_22209" ref="B23:I43" totalsRowShown="0">
  <autoFilter ref="B23:I43" xr:uid="{D5CB1B8C-9CB3-451C-88A5-59E71A10EC55}"/>
  <tableColumns count="8">
    <tableColumn id="9" xr3:uid="{F262CF9F-CC5A-4658-9108-09AA8A156C12}" name="産業中分類上位２０"/>
    <tableColumn id="10" xr3:uid="{D8144C2C-AB21-4298-A88A-7EA21F939445}" name="総数／事業所数" dataCellStyle="桁区切り"/>
    <tableColumn id="11" xr3:uid="{5BDDEDF0-0619-4C7E-A6C2-8FFA57BCC138}" name="総数／構成比" dataDxfId="383"/>
    <tableColumn id="12" xr3:uid="{D0D10424-7D57-45C5-A8E4-3EB9187F124A}" name="個人／事業所数" dataCellStyle="桁区切り"/>
    <tableColumn id="13" xr3:uid="{0E10ACE5-0E49-4290-A40A-11A5BF673066}" name="個人／構成比" dataDxfId="382"/>
    <tableColumn id="14" xr3:uid="{BA59DB14-CCB1-4B14-8116-2D6C1DF09364}" name="法人／事業所数" dataCellStyle="桁区切り"/>
    <tableColumn id="15" xr3:uid="{003F6D7A-77CE-4EC3-AE09-30F42B26E510}" name="法人／構成比" dataDxfId="381"/>
    <tableColumn id="16" xr3:uid="{BA5E237D-0F8B-4690-84E9-13AECA15695B}" name="法人以外の団体／事業所数" dataCellStyle="桁区切り"/>
  </tableColumns>
  <tableStyleInfo name="TableStyleMedium9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3A2B8182-4D10-4DC8-B5DB-56DA0AB82F5E}" name="S_TABLE_22209" displayName="S_TABLE_22209" ref="B46:I66" totalsRowShown="0">
  <autoFilter ref="B46:I66" xr:uid="{3A2B8182-4D10-4DC8-B5DB-56DA0AB82F5E}"/>
  <tableColumns count="8">
    <tableColumn id="9" xr3:uid="{EDFDCF04-7578-4134-BEE2-6ECCE0A0C28D}" name="産業小分類上位２０"/>
    <tableColumn id="10" xr3:uid="{E2EA53A9-FB1F-4DBA-9799-61546E194352}" name="総数／事業所数" dataCellStyle="桁区切り"/>
    <tableColumn id="11" xr3:uid="{DEC8BD4B-64FB-4F08-BA6C-405FA450952E}" name="総数／構成比" dataDxfId="380"/>
    <tableColumn id="12" xr3:uid="{810960DD-F7A6-4846-AE17-2461920AAD9E}" name="個人／事業所数" dataCellStyle="桁区切り"/>
    <tableColumn id="13" xr3:uid="{A9D783DA-939C-47CF-AA3D-6D0913B87D20}" name="個人／構成比" dataDxfId="379"/>
    <tableColumn id="14" xr3:uid="{E46C85CE-A948-4885-B785-8AD9F661DF34}" name="法人／事業所数" dataCellStyle="桁区切り"/>
    <tableColumn id="15" xr3:uid="{CF4D925B-BF33-4484-99B3-12C095BF31C8}" name="法人／構成比" dataDxfId="378"/>
    <tableColumn id="16" xr3:uid="{4EA388B8-8649-4622-B098-E10D34593DD5}" name="法人以外の団体／事業所数" dataCellStyle="桁区切り"/>
  </tableColumns>
  <tableStyleInfo name="TableStyleMedium9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667266F4-A02C-4307-BB7C-B203728F885B}" name="LTBL_22210" displayName="LTBL_22210" ref="B4:I20" totalsRowCount="1">
  <autoFilter ref="B4:I19" xr:uid="{667266F4-A02C-4307-BB7C-B203728F885B}"/>
  <tableColumns count="8">
    <tableColumn id="9" xr3:uid="{EF9875FD-0EA6-47D5-9760-F12E68938121}" name="産業大分類" totalsRowLabel="合計" totalsRowDxfId="377"/>
    <tableColumn id="10" xr3:uid="{60C8126E-0388-43CD-9639-F1EE419882FC}" name="総数／事業所数" totalsRowFunction="custom" totalsRowDxfId="376" dataCellStyle="桁区切り" totalsRowCellStyle="桁区切り">
      <totalsRowFormula>SUM(LTBL_22210[総数／事業所数])</totalsRowFormula>
    </tableColumn>
    <tableColumn id="11" xr3:uid="{1259744B-8A00-4D9A-9788-E37DBC4F6564}" name="総数／構成比" dataDxfId="375"/>
    <tableColumn id="12" xr3:uid="{DE10E87C-3463-4631-BE88-9608438D8C30}" name="個人／事業所数" totalsRowFunction="sum" totalsRowDxfId="374" dataCellStyle="桁区切り" totalsRowCellStyle="桁区切り"/>
    <tableColumn id="13" xr3:uid="{57D311BB-96EF-480C-9A60-C2CF087F4C83}" name="個人／構成比" dataDxfId="373"/>
    <tableColumn id="14" xr3:uid="{97446C6F-8170-466E-BA5B-F7880038BC20}" name="法人／事業所数" totalsRowFunction="sum" totalsRowDxfId="372" dataCellStyle="桁区切り" totalsRowCellStyle="桁区切り"/>
    <tableColumn id="15" xr3:uid="{F12CC035-BFA7-4346-A031-2C61B48A5BA9}" name="法人／構成比" dataDxfId="371"/>
    <tableColumn id="16" xr3:uid="{E1C99AC8-2D70-4409-9D21-92009B651EA5}" name="法人以外の団体／事業所数" totalsRowFunction="sum" totalsRowDxfId="370" dataCellStyle="桁区切り" totalsRowCellStyle="桁区切り"/>
  </tableColumns>
  <tableStyleInfo name="TableStyleMedium9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F58AFD6C-5121-4858-8CB2-3014955DEE5D}" name="M_TABLE_22210" displayName="M_TABLE_22210" ref="B23:I43" totalsRowShown="0">
  <autoFilter ref="B23:I43" xr:uid="{F58AFD6C-5121-4858-8CB2-3014955DEE5D}"/>
  <tableColumns count="8">
    <tableColumn id="9" xr3:uid="{402E18FA-96B7-4F99-BCDD-0F075F307A8C}" name="産業中分類上位２０"/>
    <tableColumn id="10" xr3:uid="{EB968E81-EA35-4412-8799-8F86C593B12C}" name="総数／事業所数" dataCellStyle="桁区切り"/>
    <tableColumn id="11" xr3:uid="{BC6FEDFC-7C13-4F91-988D-6E408D77DB49}" name="総数／構成比" dataDxfId="369"/>
    <tableColumn id="12" xr3:uid="{D888A69C-0D68-4BD1-9C02-2744A55DD22D}" name="個人／事業所数" dataCellStyle="桁区切り"/>
    <tableColumn id="13" xr3:uid="{91401301-54DE-46E1-8534-D8F9DFD68CF0}" name="個人／構成比" dataDxfId="368"/>
    <tableColumn id="14" xr3:uid="{3341F169-8FC3-4FEE-B4B2-EBA1040425BC}" name="法人／事業所数" dataCellStyle="桁区切り"/>
    <tableColumn id="15" xr3:uid="{D80A0B9D-AB03-4A75-B395-0565C515279D}" name="法人／構成比" dataDxfId="367"/>
    <tableColumn id="16" xr3:uid="{D6D81152-25D9-4241-BDE6-86D89AA31C4F}" name="法人以外の団体／事業所数" dataCellStyle="桁区切り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A8254DE-411C-4025-A86E-1F93DBE312AB}" name="S_TABLE_22100" displayName="S_TABLE_22100" ref="B46:I66" totalsRowShown="0">
  <autoFilter ref="B46:I66" xr:uid="{FA8254DE-411C-4025-A86E-1F93DBE312AB}"/>
  <tableColumns count="8">
    <tableColumn id="9" xr3:uid="{E9F0D381-B9E5-4A48-9C23-AD02808FE84C}" name="産業小分類上位２０"/>
    <tableColumn id="10" xr3:uid="{F8EBFDF4-8722-4BA5-92A4-A8FAFB3FE61E}" name="総数／事業所数" dataCellStyle="桁区切り"/>
    <tableColumn id="11" xr3:uid="{D847D44E-FF24-41E9-875C-40E1BC44009E}" name="総数／構成比" dataDxfId="618"/>
    <tableColumn id="12" xr3:uid="{A6824826-D663-4FF1-9621-DAC4767EA112}" name="個人／事業所数" dataCellStyle="桁区切り"/>
    <tableColumn id="13" xr3:uid="{F4D03244-3500-4469-ABC8-3CF9CB3E3331}" name="個人／構成比" dataDxfId="617"/>
    <tableColumn id="14" xr3:uid="{0E190D2B-7029-4039-ABC8-4C6D0BCEBFF8}" name="法人／事業所数" dataCellStyle="桁区切り"/>
    <tableColumn id="15" xr3:uid="{CD44CEC3-5F5B-42BE-8BF7-F9D44BD5840C}" name="法人／構成比" dataDxfId="616"/>
    <tableColumn id="16" xr3:uid="{4F7B8095-E011-493D-BF31-6B1EF4E482CF}" name="法人以外の団体／事業所数" dataCellStyle="桁区切り"/>
  </tableColumns>
  <tableStyleInfo name="TableStyleMedium9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C7255B4A-8DD7-439B-9E7E-DA2BBA029380}" name="S_TABLE_22210" displayName="S_TABLE_22210" ref="B46:I66" totalsRowShown="0">
  <autoFilter ref="B46:I66" xr:uid="{C7255B4A-8DD7-439B-9E7E-DA2BBA029380}"/>
  <tableColumns count="8">
    <tableColumn id="9" xr3:uid="{190D5A93-F049-403A-A862-A1D35903F076}" name="産業小分類上位２０"/>
    <tableColumn id="10" xr3:uid="{3701FB4E-533D-4529-B616-1A658E31936C}" name="総数／事業所数" dataCellStyle="桁区切り"/>
    <tableColumn id="11" xr3:uid="{D3B4242C-6EB9-4326-9BE0-9D2015D00260}" name="総数／構成比" dataDxfId="366"/>
    <tableColumn id="12" xr3:uid="{F550311C-2F5A-4B91-BBDD-DE474653DAD9}" name="個人／事業所数" dataCellStyle="桁区切り"/>
    <tableColumn id="13" xr3:uid="{7DEFF62D-911D-48D3-86BB-1102097988BA}" name="個人／構成比" dataDxfId="365"/>
    <tableColumn id="14" xr3:uid="{66ABDC7C-B1D3-40C6-A6C6-DFC8CBABB2A2}" name="法人／事業所数" dataCellStyle="桁区切り"/>
    <tableColumn id="15" xr3:uid="{0592DA9E-C08E-4B47-809D-9BD3214A4FA2}" name="法人／構成比" dataDxfId="364"/>
    <tableColumn id="16" xr3:uid="{7B920A19-6305-4891-9D3B-573BEE489F73}" name="法人以外の団体／事業所数" dataCellStyle="桁区切り"/>
  </tableColumns>
  <tableStyleInfo name="TableStyleMedium9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69F0261-417A-4C04-9D6B-F4FF9D80DFB9}" name="LTBL_22211" displayName="LTBL_22211" ref="B4:I20" totalsRowCount="1">
  <autoFilter ref="B4:I19" xr:uid="{D69F0261-417A-4C04-9D6B-F4FF9D80DFB9}"/>
  <tableColumns count="8">
    <tableColumn id="9" xr3:uid="{084B96F8-0BF7-4527-9A57-F314B7F64221}" name="産業大分類" totalsRowLabel="合計" totalsRowDxfId="363"/>
    <tableColumn id="10" xr3:uid="{CF180DD6-E490-4E4E-8F07-5A96F3DE576B}" name="総数／事業所数" totalsRowFunction="custom" totalsRowDxfId="362" dataCellStyle="桁区切り" totalsRowCellStyle="桁区切り">
      <totalsRowFormula>SUM(LTBL_22211[総数／事業所数])</totalsRowFormula>
    </tableColumn>
    <tableColumn id="11" xr3:uid="{7CCDB20B-DF15-4194-8BFB-6CBB7C0B9C59}" name="総数／構成比" dataDxfId="361"/>
    <tableColumn id="12" xr3:uid="{682690EA-1522-44CF-B9B1-767A3C7E2C47}" name="個人／事業所数" totalsRowFunction="sum" totalsRowDxfId="360" dataCellStyle="桁区切り" totalsRowCellStyle="桁区切り"/>
    <tableColumn id="13" xr3:uid="{2607A367-2042-49D6-BAB5-C4D2F932162A}" name="個人／構成比" dataDxfId="359"/>
    <tableColumn id="14" xr3:uid="{FB0C9EFC-2F53-455A-8626-0DDE0F197EF9}" name="法人／事業所数" totalsRowFunction="sum" totalsRowDxfId="358" dataCellStyle="桁区切り" totalsRowCellStyle="桁区切り"/>
    <tableColumn id="15" xr3:uid="{42AFBCA5-E6A5-4609-ACF8-D4A47C0499F5}" name="法人／構成比" dataDxfId="357"/>
    <tableColumn id="16" xr3:uid="{2441AC82-6FE1-443E-8C12-97D7FA6739C4}" name="法人以外の団体／事業所数" totalsRowFunction="sum" totalsRowDxfId="356" dataCellStyle="桁区切り" totalsRowCellStyle="桁区切り"/>
  </tableColumns>
  <tableStyleInfo name="TableStyleMedium9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747286F0-4C91-4811-92E4-C1D4241E18EF}" name="M_TABLE_22211" displayName="M_TABLE_22211" ref="B23:I43" totalsRowShown="0">
  <autoFilter ref="B23:I43" xr:uid="{747286F0-4C91-4811-92E4-C1D4241E18EF}"/>
  <tableColumns count="8">
    <tableColumn id="9" xr3:uid="{A2124CA1-3FEA-4E06-BFF9-EEE29141EA7D}" name="産業中分類上位２０"/>
    <tableColumn id="10" xr3:uid="{8B44F7C0-22F1-4782-8FB6-28E39BB9A43C}" name="総数／事業所数" dataCellStyle="桁区切り"/>
    <tableColumn id="11" xr3:uid="{9688FB12-22B8-47FF-A348-15BB016E9A8D}" name="総数／構成比" dataDxfId="355"/>
    <tableColumn id="12" xr3:uid="{CF410B54-6D9F-4FF3-BE51-3834BCE3F186}" name="個人／事業所数" dataCellStyle="桁区切り"/>
    <tableColumn id="13" xr3:uid="{981620C4-21C6-472C-BAF1-CBC72A5649B6}" name="個人／構成比" dataDxfId="354"/>
    <tableColumn id="14" xr3:uid="{240C8C1F-7768-4708-BFA8-2C4178C81356}" name="法人／事業所数" dataCellStyle="桁区切り"/>
    <tableColumn id="15" xr3:uid="{C71B3270-1D6D-439D-8C1A-F6F068357C87}" name="法人／構成比" dataDxfId="353"/>
    <tableColumn id="16" xr3:uid="{737511E9-C1D0-48D3-A5D2-C3BEDBCE6176}" name="法人以外の団体／事業所数" dataCellStyle="桁区切り"/>
  </tableColumns>
  <tableStyleInfo name="TableStyleMedium9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D6C043C1-61F2-4DEA-BCF4-B48BC0D3FE5E}" name="S_TABLE_22211" displayName="S_TABLE_22211" ref="B46:I67" totalsRowShown="0">
  <autoFilter ref="B46:I67" xr:uid="{D6C043C1-61F2-4DEA-BCF4-B48BC0D3FE5E}"/>
  <tableColumns count="8">
    <tableColumn id="9" xr3:uid="{9DCD0A68-CE54-45F8-9B3F-270E6096DD56}" name="産業小分類上位２０"/>
    <tableColumn id="10" xr3:uid="{75A97C4C-12A2-453F-9D14-BA3250582E8E}" name="総数／事業所数" dataCellStyle="桁区切り"/>
    <tableColumn id="11" xr3:uid="{965DB54D-26DE-4333-8AA8-9BE0B223E331}" name="総数／構成比" dataDxfId="352"/>
    <tableColumn id="12" xr3:uid="{8A8CFE59-4548-4B6B-B9F7-ADB66B8E6316}" name="個人／事業所数" dataCellStyle="桁区切り"/>
    <tableColumn id="13" xr3:uid="{63D2E203-D15F-4EFC-B096-D2D165F16A03}" name="個人／構成比" dataDxfId="351"/>
    <tableColumn id="14" xr3:uid="{8E67DBF8-7B31-44E7-8254-13B57B66CAEC}" name="法人／事業所数" dataCellStyle="桁区切り"/>
    <tableColumn id="15" xr3:uid="{0848A5B3-859F-47DC-A578-469D514E594B}" name="法人／構成比" dataDxfId="350"/>
    <tableColumn id="16" xr3:uid="{0FF52D3F-ED7D-4147-A9FA-EE71C73160DE}" name="法人以外の団体／事業所数" dataCellStyle="桁区切り"/>
  </tableColumns>
  <tableStyleInfo name="TableStyleMedium9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1750DE11-8618-4B1F-A6FB-E58799065962}" name="LTBL_22212" displayName="LTBL_22212" ref="B4:I20" totalsRowCount="1">
  <autoFilter ref="B4:I19" xr:uid="{1750DE11-8618-4B1F-A6FB-E58799065962}"/>
  <tableColumns count="8">
    <tableColumn id="9" xr3:uid="{2C57759B-BB8C-470B-8F45-70A16C365C75}" name="産業大分類" totalsRowLabel="合計" totalsRowDxfId="349"/>
    <tableColumn id="10" xr3:uid="{A04BB184-CA7F-4032-9515-F4DCC475AEE2}" name="総数／事業所数" totalsRowFunction="custom" totalsRowDxfId="348" dataCellStyle="桁区切り" totalsRowCellStyle="桁区切り">
      <totalsRowFormula>SUM(LTBL_22212[総数／事業所数])</totalsRowFormula>
    </tableColumn>
    <tableColumn id="11" xr3:uid="{15E89FC6-7B3A-40B7-A773-06B15D6D7C07}" name="総数／構成比" dataDxfId="347"/>
    <tableColumn id="12" xr3:uid="{3FD3749D-6987-4EA2-8DAD-BA20A2EF740D}" name="個人／事業所数" totalsRowFunction="sum" totalsRowDxfId="346" dataCellStyle="桁区切り" totalsRowCellStyle="桁区切り"/>
    <tableColumn id="13" xr3:uid="{715BE139-3A43-433D-9008-3633701A3F43}" name="個人／構成比" dataDxfId="345"/>
    <tableColumn id="14" xr3:uid="{BBAB5097-E773-4D41-9230-8B373475309F}" name="法人／事業所数" totalsRowFunction="sum" totalsRowDxfId="344" dataCellStyle="桁区切り" totalsRowCellStyle="桁区切り"/>
    <tableColumn id="15" xr3:uid="{FD562BEB-5381-4128-9B83-4C44FC3492B2}" name="法人／構成比" dataDxfId="343"/>
    <tableColumn id="16" xr3:uid="{8FAB991F-241E-4E33-8D00-3816A41534B1}" name="法人以外の団体／事業所数" totalsRowFunction="sum" totalsRowDxfId="342" dataCellStyle="桁区切り" totalsRowCellStyle="桁区切り"/>
  </tableColumns>
  <tableStyleInfo name="TableStyleMedium9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F63AC241-B6A5-4C07-B2A8-E490485725AD}" name="M_TABLE_22212" displayName="M_TABLE_22212" ref="B23:I43" totalsRowShown="0">
  <autoFilter ref="B23:I43" xr:uid="{F63AC241-B6A5-4C07-B2A8-E490485725AD}"/>
  <tableColumns count="8">
    <tableColumn id="9" xr3:uid="{1CB194A3-B706-49EE-89FC-10D926D1B3FA}" name="産業中分類上位２０"/>
    <tableColumn id="10" xr3:uid="{79D281A9-36A9-4D1C-95EC-F08E114F982C}" name="総数／事業所数" dataCellStyle="桁区切り"/>
    <tableColumn id="11" xr3:uid="{A1E8F28E-3836-4257-9EB2-47BD3208E7E0}" name="総数／構成比" dataDxfId="341"/>
    <tableColumn id="12" xr3:uid="{FE8EE0EC-DA51-4A74-897D-B673407D2207}" name="個人／事業所数" dataCellStyle="桁区切り"/>
    <tableColumn id="13" xr3:uid="{3B44DDC1-15C1-44AE-97CC-0F6DAE68A1D1}" name="個人／構成比" dataDxfId="340"/>
    <tableColumn id="14" xr3:uid="{85CF6DC6-C72B-4C75-ACC9-CA898E00947D}" name="法人／事業所数" dataCellStyle="桁区切り"/>
    <tableColumn id="15" xr3:uid="{9E1A59D2-6579-4D8B-A580-2822672183D7}" name="法人／構成比" dataDxfId="339"/>
    <tableColumn id="16" xr3:uid="{F1B7EC0B-4EB7-402B-A265-614C6EAB3933}" name="法人以外の団体／事業所数" dataCellStyle="桁区切り"/>
  </tableColumns>
  <tableStyleInfo name="TableStyleMedium9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24D5CAA1-FB52-4AF9-98CB-DD1650A3DD60}" name="S_TABLE_22212" displayName="S_TABLE_22212" ref="B46:I66" totalsRowShown="0">
  <autoFilter ref="B46:I66" xr:uid="{24D5CAA1-FB52-4AF9-98CB-DD1650A3DD60}"/>
  <tableColumns count="8">
    <tableColumn id="9" xr3:uid="{E0BC9F8B-9C8A-4EC2-8128-E64ED95EA5AB}" name="産業小分類上位２０"/>
    <tableColumn id="10" xr3:uid="{7975FB02-C42A-4882-8C6D-133CEB815225}" name="総数／事業所数" dataCellStyle="桁区切り"/>
    <tableColumn id="11" xr3:uid="{6282456D-FE6D-4315-8BB5-377AB682DFFB}" name="総数／構成比" dataDxfId="338"/>
    <tableColumn id="12" xr3:uid="{AF9CCD02-BEBC-4F56-955C-061DD10E61B7}" name="個人／事業所数" dataCellStyle="桁区切り"/>
    <tableColumn id="13" xr3:uid="{A89CC189-09CD-47B3-97C6-4ADDBFD75DCA}" name="個人／構成比" dataDxfId="337"/>
    <tableColumn id="14" xr3:uid="{9C8DCCA4-E8FE-4181-B930-CFF93DFE717B}" name="法人／事業所数" dataCellStyle="桁区切り"/>
    <tableColumn id="15" xr3:uid="{77167567-DB29-4554-B8DD-5557EE087106}" name="法人／構成比" dataDxfId="336"/>
    <tableColumn id="16" xr3:uid="{898CF63C-0F18-45E3-AC47-9BE1A1B82FCA}" name="法人以外の団体／事業所数" dataCellStyle="桁区切り"/>
  </tableColumns>
  <tableStyleInfo name="TableStyleMedium9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B704BEF9-D059-46B3-96E1-E2296C5AC3BB}" name="LTBL_22213" displayName="LTBL_22213" ref="B4:I20" totalsRowCount="1">
  <autoFilter ref="B4:I19" xr:uid="{B704BEF9-D059-46B3-96E1-E2296C5AC3BB}"/>
  <tableColumns count="8">
    <tableColumn id="9" xr3:uid="{9A88FEF4-C256-47F3-85ED-40DD9B04E33E}" name="産業大分類" totalsRowLabel="合計" totalsRowDxfId="335"/>
    <tableColumn id="10" xr3:uid="{3E61C64E-5446-4D4E-9423-B59F7BC4F697}" name="総数／事業所数" totalsRowFunction="custom" totalsRowDxfId="334" dataCellStyle="桁区切り" totalsRowCellStyle="桁区切り">
      <totalsRowFormula>SUM(LTBL_22213[総数／事業所数])</totalsRowFormula>
    </tableColumn>
    <tableColumn id="11" xr3:uid="{A2AE0888-3586-408C-A931-16F5AF5C9A5A}" name="総数／構成比" dataDxfId="333"/>
    <tableColumn id="12" xr3:uid="{8C51CD73-86E7-44EE-9B07-1FE6A8B7718C}" name="個人／事業所数" totalsRowFunction="sum" totalsRowDxfId="332" dataCellStyle="桁区切り" totalsRowCellStyle="桁区切り"/>
    <tableColumn id="13" xr3:uid="{80838EBF-8043-494B-8B15-BE53F9F6B5BF}" name="個人／構成比" dataDxfId="331"/>
    <tableColumn id="14" xr3:uid="{28356D52-86B9-4BE7-9F08-C44AEB907E8A}" name="法人／事業所数" totalsRowFunction="sum" totalsRowDxfId="330" dataCellStyle="桁区切り" totalsRowCellStyle="桁区切り"/>
    <tableColumn id="15" xr3:uid="{A821DB3B-2E83-468E-8BCD-637C2DAB0337}" name="法人／構成比" dataDxfId="329"/>
    <tableColumn id="16" xr3:uid="{79E119C5-BDF9-4116-A0AB-3AB1AC4C1254}" name="法人以外の団体／事業所数" totalsRowFunction="sum" totalsRowDxfId="328" dataCellStyle="桁区切り" totalsRowCellStyle="桁区切り"/>
  </tableColumns>
  <tableStyleInfo name="TableStyleMedium9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B89C828D-BDB3-4A84-A111-AE836A01ADE9}" name="M_TABLE_22213" displayName="M_TABLE_22213" ref="B23:I43" totalsRowShown="0">
  <autoFilter ref="B23:I43" xr:uid="{B89C828D-BDB3-4A84-A111-AE836A01ADE9}"/>
  <tableColumns count="8">
    <tableColumn id="9" xr3:uid="{9735A65B-0AB2-4D60-BEB1-295CBA5CCF16}" name="産業中分類上位２０"/>
    <tableColumn id="10" xr3:uid="{91B59418-3127-4567-9789-396E24E3F38B}" name="総数／事業所数" dataCellStyle="桁区切り"/>
    <tableColumn id="11" xr3:uid="{C791B483-234D-45C6-B081-623983FC4DAA}" name="総数／構成比" dataDxfId="327"/>
    <tableColumn id="12" xr3:uid="{1AA40D31-37E4-45EF-B333-7035C2E79638}" name="個人／事業所数" dataCellStyle="桁区切り"/>
    <tableColumn id="13" xr3:uid="{7F8E8013-CBCE-4DC3-83DE-387267124589}" name="個人／構成比" dataDxfId="326"/>
    <tableColumn id="14" xr3:uid="{24788400-AADB-4EBD-89C0-E8465A09C438}" name="法人／事業所数" dataCellStyle="桁区切り"/>
    <tableColumn id="15" xr3:uid="{FBACBB9C-3949-4A3D-A003-E42A26790D5A}" name="法人／構成比" dataDxfId="325"/>
    <tableColumn id="16" xr3:uid="{3FE0A740-69E8-409F-8E4E-6ED19AB32422}" name="法人以外の団体／事業所数" dataCellStyle="桁区切り"/>
  </tableColumns>
  <tableStyleInfo name="TableStyleMedium9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84C49592-1CD6-454D-8778-3B6D28756418}" name="S_TABLE_22213" displayName="S_TABLE_22213" ref="B46:I66" totalsRowShown="0">
  <autoFilter ref="B46:I66" xr:uid="{84C49592-1CD6-454D-8778-3B6D28756418}"/>
  <tableColumns count="8">
    <tableColumn id="9" xr3:uid="{A036FF55-908A-42C3-9846-F88E2811F371}" name="産業小分類上位２０"/>
    <tableColumn id="10" xr3:uid="{9AD14276-A358-4E36-9616-BD1311E025DA}" name="総数／事業所数" dataCellStyle="桁区切り"/>
    <tableColumn id="11" xr3:uid="{22BBCE26-2441-4C32-B517-69645FBFF493}" name="総数／構成比" dataDxfId="324"/>
    <tableColumn id="12" xr3:uid="{6ED235E8-E354-4850-A217-DC17F0499DD2}" name="個人／事業所数" dataCellStyle="桁区切り"/>
    <tableColumn id="13" xr3:uid="{42E3A516-2A6F-436A-8814-80E288F77081}" name="個人／構成比" dataDxfId="323"/>
    <tableColumn id="14" xr3:uid="{4AB32313-76C9-4614-BA08-9A2577B733F2}" name="法人／事業所数" dataCellStyle="桁区切り"/>
    <tableColumn id="15" xr3:uid="{41F9C904-6A5E-4E64-B209-FB9C25CD1DF6}" name="法人／構成比" dataDxfId="322"/>
    <tableColumn id="16" xr3:uid="{83F45A8A-CA04-4C9C-8018-BCC32D3E1C6F}" name="法人以外の団体／事業所数" dataCellStyle="桁区切り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71E8535-198A-4D5A-8189-898EA5B45E35}" name="LTBL_22101" displayName="LTBL_22101" ref="B4:I20" totalsRowCount="1">
  <autoFilter ref="B4:I19" xr:uid="{471E8535-198A-4D5A-8189-898EA5B45E35}"/>
  <tableColumns count="8">
    <tableColumn id="9" xr3:uid="{79F1AAEB-5870-4C52-8A95-60D6017B40AC}" name="産業大分類" totalsRowLabel="合計" totalsRowDxfId="615"/>
    <tableColumn id="10" xr3:uid="{2F11D8C1-A0F3-4DA3-AD87-4F9A5050D5A0}" name="総数／事業所数" totalsRowFunction="custom" totalsRowDxfId="614" dataCellStyle="桁区切り" totalsRowCellStyle="桁区切り">
      <totalsRowFormula>SUM(LTBL_22101[総数／事業所数])</totalsRowFormula>
    </tableColumn>
    <tableColumn id="11" xr3:uid="{E625DF20-5E71-4FED-B218-4276BB40BD28}" name="総数／構成比" dataDxfId="613"/>
    <tableColumn id="12" xr3:uid="{12D25BF3-09A6-47DB-9144-F65FC639E17A}" name="個人／事業所数" totalsRowFunction="sum" totalsRowDxfId="612" dataCellStyle="桁区切り" totalsRowCellStyle="桁区切り"/>
    <tableColumn id="13" xr3:uid="{15AB582B-5DBF-4E3A-BB21-BD7DF7A48F43}" name="個人／構成比" dataDxfId="611"/>
    <tableColumn id="14" xr3:uid="{94303FBC-0D91-4834-B5CE-94B1092F041A}" name="法人／事業所数" totalsRowFunction="sum" totalsRowDxfId="610" dataCellStyle="桁区切り" totalsRowCellStyle="桁区切り"/>
    <tableColumn id="15" xr3:uid="{C73A92E6-AD60-4231-8C39-7EC23B9C9D42}" name="法人／構成比" dataDxfId="609"/>
    <tableColumn id="16" xr3:uid="{B345D855-AFE0-4096-9920-29B81651BC2F}" name="法人以外の団体／事業所数" totalsRowFunction="sum" totalsRowDxfId="608" dataCellStyle="桁区切り" totalsRowCellStyle="桁区切り"/>
  </tableColumns>
  <tableStyleInfo name="TableStyleMedium9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3B36970-5400-47A2-975C-429BB5E299A4}" name="LTBL_22214" displayName="LTBL_22214" ref="B4:I20" totalsRowCount="1">
  <autoFilter ref="B4:I19" xr:uid="{03B36970-5400-47A2-975C-429BB5E299A4}"/>
  <tableColumns count="8">
    <tableColumn id="9" xr3:uid="{658B98E0-0420-410D-9476-6C8F2B3F0653}" name="産業大分類" totalsRowLabel="合計" totalsRowDxfId="321"/>
    <tableColumn id="10" xr3:uid="{65745078-B94D-46BD-8F48-F738CCF36E23}" name="総数／事業所数" totalsRowFunction="custom" totalsRowDxfId="320" dataCellStyle="桁区切り" totalsRowCellStyle="桁区切り">
      <totalsRowFormula>SUM(LTBL_22214[総数／事業所数])</totalsRowFormula>
    </tableColumn>
    <tableColumn id="11" xr3:uid="{A13BEDB8-9392-4BB9-B937-42FABDDC20A4}" name="総数／構成比" dataDxfId="319"/>
    <tableColumn id="12" xr3:uid="{DDD63F26-2E50-4B25-9DE6-36D1860CE270}" name="個人／事業所数" totalsRowFunction="sum" totalsRowDxfId="318" dataCellStyle="桁区切り" totalsRowCellStyle="桁区切り"/>
    <tableColumn id="13" xr3:uid="{583CC936-7C1E-47E8-A008-440550FDA7A0}" name="個人／構成比" dataDxfId="317"/>
    <tableColumn id="14" xr3:uid="{8B1E9535-D222-4A6C-A35B-581BFAC135D8}" name="法人／事業所数" totalsRowFunction="sum" totalsRowDxfId="316" dataCellStyle="桁区切り" totalsRowCellStyle="桁区切り"/>
    <tableColumn id="15" xr3:uid="{0E99B9FE-476A-4483-9AE8-32CE28A8A511}" name="法人／構成比" dataDxfId="315"/>
    <tableColumn id="16" xr3:uid="{613F136C-16FD-4B14-B694-0F0E3135FA12}" name="法人以外の団体／事業所数" totalsRowFunction="sum" totalsRowDxfId="314" dataCellStyle="桁区切り" totalsRowCellStyle="桁区切り"/>
  </tableColumns>
  <tableStyleInfo name="TableStyleMedium9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567FC8C-C06D-4642-8E0F-694C4F8CC202}" name="M_TABLE_22214" displayName="M_TABLE_22214" ref="B23:I44" totalsRowShown="0">
  <autoFilter ref="B23:I44" xr:uid="{1567FC8C-C06D-4642-8E0F-694C4F8CC202}"/>
  <tableColumns count="8">
    <tableColumn id="9" xr3:uid="{DE662D8F-5C22-4B26-8D03-75C0E49C2C3F}" name="産業中分類上位２０"/>
    <tableColumn id="10" xr3:uid="{10EEFA53-BB4A-41D3-8B56-7F9695DF14BD}" name="総数／事業所数" dataCellStyle="桁区切り"/>
    <tableColumn id="11" xr3:uid="{61176A21-ED79-414F-AEB9-1C9F8118FFDA}" name="総数／構成比" dataDxfId="313"/>
    <tableColumn id="12" xr3:uid="{17EE2B84-3F78-4B7C-A632-ECA46B9E5D78}" name="個人／事業所数" dataCellStyle="桁区切り"/>
    <tableColumn id="13" xr3:uid="{95B514E6-8D89-41B0-A95F-334CBB6163BC}" name="個人／構成比" dataDxfId="312"/>
    <tableColumn id="14" xr3:uid="{1F360B6B-BD36-4AF1-9E95-3ECED1823393}" name="法人／事業所数" dataCellStyle="桁区切り"/>
    <tableColumn id="15" xr3:uid="{DF6B5442-1593-49A3-890B-B056D03F0477}" name="法人／構成比" dataDxfId="311"/>
    <tableColumn id="16" xr3:uid="{C4D29EAF-E4DB-4DB9-B7DA-F035C81EA73A}" name="法人以外の団体／事業所数" dataCellStyle="桁区切り"/>
  </tableColumns>
  <tableStyleInfo name="TableStyleMedium9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92238500-0F44-4135-9588-1E4A8EED2F50}" name="S_TABLE_22214" displayName="S_TABLE_22214" ref="B47:I67" totalsRowShown="0">
  <autoFilter ref="B47:I67" xr:uid="{92238500-0F44-4135-9588-1E4A8EED2F50}"/>
  <tableColumns count="8">
    <tableColumn id="9" xr3:uid="{1A1507B5-6FB8-41A2-82BC-D6840C2636B0}" name="産業小分類上位２０"/>
    <tableColumn id="10" xr3:uid="{02C9EC86-BE94-4424-AB49-2A291C20A4F8}" name="総数／事業所数" dataCellStyle="桁区切り"/>
    <tableColumn id="11" xr3:uid="{A9CA11F7-B1AD-4BF2-8C45-1D301AF762A0}" name="総数／構成比" dataDxfId="310"/>
    <tableColumn id="12" xr3:uid="{453F83F1-2C90-4C87-9709-86DA49A1319F}" name="個人／事業所数" dataCellStyle="桁区切り"/>
    <tableColumn id="13" xr3:uid="{B2E8556E-B10D-43C2-A17E-5D03EBEC19A2}" name="個人／構成比" dataDxfId="309"/>
    <tableColumn id="14" xr3:uid="{9D1051E9-3E8E-493B-B802-F95A926B84A5}" name="法人／事業所数" dataCellStyle="桁区切り"/>
    <tableColumn id="15" xr3:uid="{E919AFED-D2AB-4B36-932D-0D00A0795241}" name="法人／構成比" dataDxfId="308"/>
    <tableColumn id="16" xr3:uid="{F05F7139-9F63-4FE4-80C9-16A69611A5C8}" name="法人以外の団体／事業所数" dataCellStyle="桁区切り"/>
  </tableColumns>
  <tableStyleInfo name="TableStyleMedium9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70A834C7-D342-4F6E-9FAA-58FAAA669D90}" name="LTBL_22215" displayName="LTBL_22215" ref="B4:I20" totalsRowCount="1">
  <autoFilter ref="B4:I19" xr:uid="{70A834C7-D342-4F6E-9FAA-58FAAA669D90}"/>
  <tableColumns count="8">
    <tableColumn id="9" xr3:uid="{138767DA-AFA3-400C-92A3-8F610A49E409}" name="産業大分類" totalsRowLabel="合計" totalsRowDxfId="307"/>
    <tableColumn id="10" xr3:uid="{9DF39B51-AEB8-4508-838D-A098A595DD3B}" name="総数／事業所数" totalsRowFunction="custom" totalsRowDxfId="306" dataCellStyle="桁区切り" totalsRowCellStyle="桁区切り">
      <totalsRowFormula>SUM(LTBL_22215[総数／事業所数])</totalsRowFormula>
    </tableColumn>
    <tableColumn id="11" xr3:uid="{6138C5CB-A5BF-41D3-9C6C-427F18A32C70}" name="総数／構成比" dataDxfId="305"/>
    <tableColumn id="12" xr3:uid="{A8E81E72-0540-4C2B-9309-C3E4AFD47DD2}" name="個人／事業所数" totalsRowFunction="sum" totalsRowDxfId="304" dataCellStyle="桁区切り" totalsRowCellStyle="桁区切り"/>
    <tableColumn id="13" xr3:uid="{471118FF-D811-4C99-8AF1-5595636C89E1}" name="個人／構成比" dataDxfId="303"/>
    <tableColumn id="14" xr3:uid="{90F681E3-284F-4E07-881C-C3445202F03B}" name="法人／事業所数" totalsRowFunction="sum" totalsRowDxfId="302" dataCellStyle="桁区切り" totalsRowCellStyle="桁区切り"/>
    <tableColumn id="15" xr3:uid="{775B92F9-CE41-431D-BA24-9A1FA673A25A}" name="法人／構成比" dataDxfId="301"/>
    <tableColumn id="16" xr3:uid="{E4729453-75E3-4F15-ABDB-5170FAAC8799}" name="法人以外の団体／事業所数" totalsRowFunction="sum" totalsRowDxfId="300" dataCellStyle="桁区切り" totalsRowCellStyle="桁区切り"/>
  </tableColumns>
  <tableStyleInfo name="TableStyleMedium9" showFirstColumn="0" showLastColumn="0" showRowStripes="1" showColumnStripes="0"/>
</table>
</file>

<file path=xl/tables/table7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290BD262-E290-4665-AA2F-03AF0B6D6C02}" name="M_TABLE_22215" displayName="M_TABLE_22215" ref="B23:I45" totalsRowShown="0">
  <autoFilter ref="B23:I45" xr:uid="{290BD262-E290-4665-AA2F-03AF0B6D6C02}"/>
  <tableColumns count="8">
    <tableColumn id="9" xr3:uid="{F4196A1E-D03D-4F16-9CEC-14709DE62069}" name="産業中分類上位２０"/>
    <tableColumn id="10" xr3:uid="{882712BE-EC84-44AE-AF6D-8499440AB41E}" name="総数／事業所数" dataCellStyle="桁区切り"/>
    <tableColumn id="11" xr3:uid="{A495F148-5C3A-4C90-9A35-229698FF77EC}" name="総数／構成比" dataDxfId="299"/>
    <tableColumn id="12" xr3:uid="{1395B50E-F6A0-48EF-9448-D1F011383074}" name="個人／事業所数" dataCellStyle="桁区切り"/>
    <tableColumn id="13" xr3:uid="{4383FC07-9A91-46EB-834C-0950F3820C93}" name="個人／構成比" dataDxfId="298"/>
    <tableColumn id="14" xr3:uid="{7D823097-B0B7-4435-AF3D-4848BC046B7E}" name="法人／事業所数" dataCellStyle="桁区切り"/>
    <tableColumn id="15" xr3:uid="{EAC70C46-4695-4299-94F5-A7992282CF3A}" name="法人／構成比" dataDxfId="297"/>
    <tableColumn id="16" xr3:uid="{235B6EFE-CF89-421A-8BBA-C8D2F73E38EE}" name="法人以外の団体／事業所数" dataCellStyle="桁区切り"/>
  </tableColumns>
  <tableStyleInfo name="TableStyleMedium9" showFirstColumn="0" showLastColumn="0" showRowStripes="1" showColumnStripes="0"/>
</table>
</file>

<file path=xl/tables/table7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B6F852D5-0353-4FAB-BA97-9F63A0798081}" name="S_TABLE_22215" displayName="S_TABLE_22215" ref="B48:I68" totalsRowShown="0">
  <autoFilter ref="B48:I68" xr:uid="{B6F852D5-0353-4FAB-BA97-9F63A0798081}"/>
  <tableColumns count="8">
    <tableColumn id="9" xr3:uid="{E022A917-15F9-4200-BE15-7F8C4854B841}" name="産業小分類上位２０"/>
    <tableColumn id="10" xr3:uid="{79E2C1DB-FE08-4B46-B937-CE2D071343B6}" name="総数／事業所数" dataCellStyle="桁区切り"/>
    <tableColumn id="11" xr3:uid="{9A627CDB-7BD1-42DD-93A2-F745FDDB6CAE}" name="総数／構成比" dataDxfId="296"/>
    <tableColumn id="12" xr3:uid="{2CEEDF72-F35F-4CAF-A187-4E8FBCFF3589}" name="個人／事業所数" dataCellStyle="桁区切り"/>
    <tableColumn id="13" xr3:uid="{7CB692BB-4301-4A9F-8D90-537BDE773BDE}" name="個人／構成比" dataDxfId="295"/>
    <tableColumn id="14" xr3:uid="{ADF7EA0E-3114-4B9F-95D3-64ADD65A08EA}" name="法人／事業所数" dataCellStyle="桁区切り"/>
    <tableColumn id="15" xr3:uid="{D4561F71-6F58-4B5F-8886-C103EF11811F}" name="法人／構成比" dataDxfId="294"/>
    <tableColumn id="16" xr3:uid="{2FA6CE40-52F2-427E-BAA8-2D6BC0C224FD}" name="法人以外の団体／事業所数" dataCellStyle="桁区切り"/>
  </tableColumns>
  <tableStyleInfo name="TableStyleMedium9" showFirstColumn="0" showLastColumn="0" showRowStripes="1" showColumnStripes="0"/>
</table>
</file>

<file path=xl/tables/table7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EB7CCB01-9DB0-4D66-98EE-4C0C235781A6}" name="LTBL_22216" displayName="LTBL_22216" ref="B4:I20" totalsRowCount="1">
  <autoFilter ref="B4:I19" xr:uid="{EB7CCB01-9DB0-4D66-98EE-4C0C235781A6}"/>
  <tableColumns count="8">
    <tableColumn id="9" xr3:uid="{AB103279-35F9-46BC-A42A-C07ADD7986B3}" name="産業大分類" totalsRowLabel="合計" totalsRowDxfId="293"/>
    <tableColumn id="10" xr3:uid="{5BEF77AF-7589-41D3-ABBA-6E17E6E5F6B9}" name="総数／事業所数" totalsRowFunction="custom" totalsRowDxfId="292" dataCellStyle="桁区切り" totalsRowCellStyle="桁区切り">
      <totalsRowFormula>SUM(LTBL_22216[総数／事業所数])</totalsRowFormula>
    </tableColumn>
    <tableColumn id="11" xr3:uid="{2A72A8E1-41DE-4196-9B12-4E49D9345A4E}" name="総数／構成比" dataDxfId="291"/>
    <tableColumn id="12" xr3:uid="{88B87713-8CF9-4B19-A007-07D20336E16E}" name="個人／事業所数" totalsRowFunction="sum" totalsRowDxfId="290" dataCellStyle="桁区切り" totalsRowCellStyle="桁区切り"/>
    <tableColumn id="13" xr3:uid="{DEFAFDFE-6E39-4414-871A-0268A0298D62}" name="個人／構成比" dataDxfId="289"/>
    <tableColumn id="14" xr3:uid="{A06A7CFE-F948-4426-BAF2-464506F3CABA}" name="法人／事業所数" totalsRowFunction="sum" totalsRowDxfId="288" dataCellStyle="桁区切り" totalsRowCellStyle="桁区切り"/>
    <tableColumn id="15" xr3:uid="{DDB20BAB-838E-42AC-A215-E8304283CB49}" name="法人／構成比" dataDxfId="287"/>
    <tableColumn id="16" xr3:uid="{816025E8-12B1-4BD2-BDCF-E6436263AC86}" name="法人以外の団体／事業所数" totalsRowFunction="sum" totalsRowDxfId="286" dataCellStyle="桁区切り" totalsRowCellStyle="桁区切り"/>
  </tableColumns>
  <tableStyleInfo name="TableStyleMedium9" showFirstColumn="0" showLastColumn="0" showRowStripes="1" showColumnStripes="0"/>
</table>
</file>

<file path=xl/tables/table7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6881D288-2529-444C-8154-5E52ADF4F86E}" name="M_TABLE_22216" displayName="M_TABLE_22216" ref="B23:I44" totalsRowShown="0">
  <autoFilter ref="B23:I44" xr:uid="{6881D288-2529-444C-8154-5E52ADF4F86E}"/>
  <tableColumns count="8">
    <tableColumn id="9" xr3:uid="{1EA114D4-FB56-44C0-B69A-97B8F1E72D4C}" name="産業中分類上位２０"/>
    <tableColumn id="10" xr3:uid="{89CABB10-6CAE-4360-99E9-0A59F7EB263B}" name="総数／事業所数" dataCellStyle="桁区切り"/>
    <tableColumn id="11" xr3:uid="{42D5A2A3-3527-408F-9882-0320B6BDEDE0}" name="総数／構成比" dataDxfId="285"/>
    <tableColumn id="12" xr3:uid="{9706DC95-3FC4-42C9-ACBC-AC74D75924C8}" name="個人／事業所数" dataCellStyle="桁区切り"/>
    <tableColumn id="13" xr3:uid="{2A37CD06-2F24-4F2E-B6CC-944FB10C9227}" name="個人／構成比" dataDxfId="284"/>
    <tableColumn id="14" xr3:uid="{7DFFCCE2-D227-4A5C-A229-B8231D74DA59}" name="法人／事業所数" dataCellStyle="桁区切り"/>
    <tableColumn id="15" xr3:uid="{7AD66517-16B8-4475-8605-00D0B2225780}" name="法人／構成比" dataDxfId="283"/>
    <tableColumn id="16" xr3:uid="{77008CCA-9021-49C1-A123-EBD868F12A1C}" name="法人以外の団体／事業所数" dataCellStyle="桁区切り"/>
  </tableColumns>
  <tableStyleInfo name="TableStyleMedium9" showFirstColumn="0" showLastColumn="0" showRowStripes="1" showColumnStripes="0"/>
</table>
</file>

<file path=xl/tables/table7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8DB64453-0378-4C20-A391-6AF52817A694}" name="S_TABLE_22216" displayName="S_TABLE_22216" ref="B47:I69" totalsRowShown="0">
  <autoFilter ref="B47:I69" xr:uid="{8DB64453-0378-4C20-A391-6AF52817A694}"/>
  <tableColumns count="8">
    <tableColumn id="9" xr3:uid="{57AB606A-B1A3-4CEC-9B52-ED159AD69B17}" name="産業小分類上位２０"/>
    <tableColumn id="10" xr3:uid="{8984DA73-E703-4C2A-819B-3BC86609F86E}" name="総数／事業所数" dataCellStyle="桁区切り"/>
    <tableColumn id="11" xr3:uid="{628EF9FA-DF73-4E10-AFBD-062DF9B98DF2}" name="総数／構成比" dataDxfId="282"/>
    <tableColumn id="12" xr3:uid="{CE40E08C-77BB-4575-B3C2-815513043F00}" name="個人／事業所数" dataCellStyle="桁区切り"/>
    <tableColumn id="13" xr3:uid="{999333AE-CBE0-424B-BF4E-8F91AD40FC72}" name="個人／構成比" dataDxfId="281"/>
    <tableColumn id="14" xr3:uid="{2153268C-1D22-4D88-AF9B-8BD883ABBE55}" name="法人／事業所数" dataCellStyle="桁区切り"/>
    <tableColumn id="15" xr3:uid="{FBEDA0D3-87ED-49F6-B7D2-54D135423D6D}" name="法人／構成比" dataDxfId="280"/>
    <tableColumn id="16" xr3:uid="{3828A3F4-C99B-45FC-993D-18E4EDBB00B8}" name="法人以外の団体／事業所数" dataCellStyle="桁区切り"/>
  </tableColumns>
  <tableStyleInfo name="TableStyleMedium9" showFirstColumn="0" showLastColumn="0" showRowStripes="1" showColumnStripes="0"/>
</table>
</file>

<file path=xl/tables/table7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28C824E-4264-4CD8-968B-C201B157BD5F}" name="LTBL_22219" displayName="LTBL_22219" ref="B4:I20" totalsRowCount="1">
  <autoFilter ref="B4:I19" xr:uid="{F28C824E-4264-4CD8-968B-C201B157BD5F}"/>
  <tableColumns count="8">
    <tableColumn id="9" xr3:uid="{C7F2A3BB-C478-4DB6-8037-7E1BBC99A8BD}" name="産業大分類" totalsRowLabel="合計" totalsRowDxfId="279"/>
    <tableColumn id="10" xr3:uid="{D261998B-A122-43F5-87BC-C015C775A44B}" name="総数／事業所数" totalsRowFunction="custom" totalsRowDxfId="278" dataCellStyle="桁区切り" totalsRowCellStyle="桁区切り">
      <totalsRowFormula>SUM(LTBL_22219[総数／事業所数])</totalsRowFormula>
    </tableColumn>
    <tableColumn id="11" xr3:uid="{DB1F71ED-6B5B-4B3F-9EC0-D0E122E4A0C4}" name="総数／構成比" dataDxfId="277"/>
    <tableColumn id="12" xr3:uid="{3FAF440E-7B22-4D01-915D-104B8157AA48}" name="個人／事業所数" totalsRowFunction="sum" totalsRowDxfId="276" dataCellStyle="桁区切り" totalsRowCellStyle="桁区切り"/>
    <tableColumn id="13" xr3:uid="{50E80FC2-8225-4455-8BDB-A8731A5D5415}" name="個人／構成比" dataDxfId="275"/>
    <tableColumn id="14" xr3:uid="{5BF742CB-1318-40FB-B259-BC12C570DAAC}" name="法人／事業所数" totalsRowFunction="sum" totalsRowDxfId="274" dataCellStyle="桁区切り" totalsRowCellStyle="桁区切り"/>
    <tableColumn id="15" xr3:uid="{401A7F35-5FB4-4E48-B8D0-AEE49784307F}" name="法人／構成比" dataDxfId="273"/>
    <tableColumn id="16" xr3:uid="{39B88374-8344-4CF0-83A5-B821F0B4E954}" name="法人以外の団体／事業所数" totalsRowFunction="sum" totalsRowDxfId="272" dataCellStyle="桁区切り" totalsRowCellStyle="桁区切り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A7447E1-0132-402C-8C81-5E5062EACF2C}" name="M_TABLE_22101" displayName="M_TABLE_22101" ref="B23:I43" totalsRowShown="0">
  <autoFilter ref="B23:I43" xr:uid="{5A7447E1-0132-402C-8C81-5E5062EACF2C}"/>
  <tableColumns count="8">
    <tableColumn id="9" xr3:uid="{B79C09A0-6AE6-4576-8F9B-90D95000ABBB}" name="産業中分類上位２０"/>
    <tableColumn id="10" xr3:uid="{1957BA64-55F1-4CCF-90C0-2A39FBBC6BA4}" name="総数／事業所数" dataCellStyle="桁区切り"/>
    <tableColumn id="11" xr3:uid="{4948DC0F-B6E1-48AA-B9D2-726B374431C7}" name="総数／構成比" dataDxfId="607"/>
    <tableColumn id="12" xr3:uid="{2264B96A-ADC5-4A37-991B-F314D916CCA0}" name="個人／事業所数" dataCellStyle="桁区切り"/>
    <tableColumn id="13" xr3:uid="{1A9085C9-D935-49F3-A815-59E75A36BEE5}" name="個人／構成比" dataDxfId="606"/>
    <tableColumn id="14" xr3:uid="{F142F531-CD74-4512-BF3B-C32058E01D72}" name="法人／事業所数" dataCellStyle="桁区切り"/>
    <tableColumn id="15" xr3:uid="{689D00B1-EA7C-49F8-95BA-EE35209C3FD1}" name="法人／構成比" dataDxfId="605"/>
    <tableColumn id="16" xr3:uid="{503931A6-A4B4-4ABD-8F54-F37591367470}" name="法人以外の団体／事業所数" dataCellStyle="桁区切り"/>
  </tableColumns>
  <tableStyleInfo name="TableStyleMedium9" showFirstColumn="0" showLastColumn="0" showRowStripes="1" showColumnStripes="0"/>
</table>
</file>

<file path=xl/tables/table8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52E3E5C-9164-4FD0-8680-16472E281B3E}" name="M_TABLE_22219" displayName="M_TABLE_22219" ref="B23:I43" totalsRowShown="0">
  <autoFilter ref="B23:I43" xr:uid="{052E3E5C-9164-4FD0-8680-16472E281B3E}"/>
  <tableColumns count="8">
    <tableColumn id="9" xr3:uid="{1F2B915C-E45B-4E78-9FBA-22EEAC60C38A}" name="産業中分類上位２０"/>
    <tableColumn id="10" xr3:uid="{606B49B2-11CE-47FA-8707-E737384EE4FE}" name="総数／事業所数" dataCellStyle="桁区切り"/>
    <tableColumn id="11" xr3:uid="{186F214A-6964-4414-8D14-DE80D26348C7}" name="総数／構成比" dataDxfId="271"/>
    <tableColumn id="12" xr3:uid="{83F8351C-1DB8-4D56-B5C6-B68EDCD285AF}" name="個人／事業所数" dataCellStyle="桁区切り"/>
    <tableColumn id="13" xr3:uid="{69E116FF-755A-4AF0-9A98-F29D956D1130}" name="個人／構成比" dataDxfId="270"/>
    <tableColumn id="14" xr3:uid="{BADF28A8-4A72-4B6C-8BD3-B4946FC435DE}" name="法人／事業所数" dataCellStyle="桁区切り"/>
    <tableColumn id="15" xr3:uid="{853F382D-3448-48D0-96C0-EAC61304066C}" name="法人／構成比" dataDxfId="269"/>
    <tableColumn id="16" xr3:uid="{A89FBD19-07D9-4460-86D1-E6E443EB645D}" name="法人以外の団体／事業所数" dataCellStyle="桁区切り"/>
  </tableColumns>
  <tableStyleInfo name="TableStyleMedium9" showFirstColumn="0" showLastColumn="0" showRowStripes="1" showColumnStripes="0"/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A1A21A53-BAED-47EC-AE2C-384119AD4CF4}" name="S_TABLE_22219" displayName="S_TABLE_22219" ref="B46:I68" totalsRowShown="0">
  <autoFilter ref="B46:I68" xr:uid="{A1A21A53-BAED-47EC-AE2C-384119AD4CF4}"/>
  <tableColumns count="8">
    <tableColumn id="9" xr3:uid="{2D4765E0-103E-4789-A9D6-D317D94E592F}" name="産業小分類上位２０"/>
    <tableColumn id="10" xr3:uid="{B9989F69-72A0-4A4F-B743-6BA5CAEB6991}" name="総数／事業所数" dataCellStyle="桁区切り"/>
    <tableColumn id="11" xr3:uid="{AD07854E-AA22-4620-9903-7157EB1D6C48}" name="総数／構成比" dataDxfId="268"/>
    <tableColumn id="12" xr3:uid="{548A8B58-C615-4E42-AF8F-4B7825EB7D44}" name="個人／事業所数" dataCellStyle="桁区切り"/>
    <tableColumn id="13" xr3:uid="{6021DE87-3A9A-4D6D-8EBC-DF36545E75A6}" name="個人／構成比" dataDxfId="267"/>
    <tableColumn id="14" xr3:uid="{670F28C7-01CC-4D77-BA37-0969FA3B9866}" name="法人／事業所数" dataCellStyle="桁区切り"/>
    <tableColumn id="15" xr3:uid="{64B99504-5DD1-43D3-97F6-F6C3D35F8ECE}" name="法人／構成比" dataDxfId="266"/>
    <tableColumn id="16" xr3:uid="{86807C1C-FF34-4066-9FEB-90E67638863E}" name="法人以外の団体／事業所数" dataCellStyle="桁区切り"/>
  </tableColumns>
  <tableStyleInfo name="TableStyleMedium9" showFirstColumn="0" showLastColumn="0" showRowStripes="1" showColumnStripes="0"/>
</table>
</file>

<file path=xl/tables/table8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8F904CE-2053-4135-AD50-1056D828BD0C}" name="LTBL_22220" displayName="LTBL_22220" ref="B4:I20" totalsRowCount="1">
  <autoFilter ref="B4:I19" xr:uid="{08F904CE-2053-4135-AD50-1056D828BD0C}"/>
  <tableColumns count="8">
    <tableColumn id="9" xr3:uid="{289608CA-45B4-4D37-9811-E9A8D533C2E8}" name="産業大分類" totalsRowLabel="合計" totalsRowDxfId="265"/>
    <tableColumn id="10" xr3:uid="{72C401AC-72D6-451F-ABF4-0459CB20B122}" name="総数／事業所数" totalsRowFunction="custom" totalsRowDxfId="264" dataCellStyle="桁区切り" totalsRowCellStyle="桁区切り">
      <totalsRowFormula>SUM(LTBL_22220[総数／事業所数])</totalsRowFormula>
    </tableColumn>
    <tableColumn id="11" xr3:uid="{A70976BE-5CEE-4607-A9E7-0E5E622606B9}" name="総数／構成比" dataDxfId="263"/>
    <tableColumn id="12" xr3:uid="{926F598C-B1C8-482D-97B6-BB2CB822A325}" name="個人／事業所数" totalsRowFunction="sum" totalsRowDxfId="262" dataCellStyle="桁区切り" totalsRowCellStyle="桁区切り"/>
    <tableColumn id="13" xr3:uid="{EA6CAAC5-CE73-4499-AF4D-262B8C43A8DF}" name="個人／構成比" dataDxfId="261"/>
    <tableColumn id="14" xr3:uid="{C7BD2BFF-01F7-4C88-B337-2FF0702A5909}" name="法人／事業所数" totalsRowFunction="sum" totalsRowDxfId="260" dataCellStyle="桁区切り" totalsRowCellStyle="桁区切り"/>
    <tableColumn id="15" xr3:uid="{4F32D3E2-9569-47A1-BAE8-928A50F0AA6E}" name="法人／構成比" dataDxfId="259"/>
    <tableColumn id="16" xr3:uid="{11C55329-C8C7-4556-8A9E-AE176E63500B}" name="法人以外の団体／事業所数" totalsRowFunction="sum" totalsRowDxfId="258" dataCellStyle="桁区切り" totalsRowCellStyle="桁区切り"/>
  </tableColumns>
  <tableStyleInfo name="TableStyleMedium9" showFirstColumn="0" showLastColumn="0" showRowStripes="1" showColumnStripes="0"/>
</table>
</file>

<file path=xl/tables/table8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761E6E60-7F3B-41C7-A0DE-01D5312451E0}" name="M_TABLE_22220" displayName="M_TABLE_22220" ref="B23:I44" totalsRowShown="0">
  <autoFilter ref="B23:I44" xr:uid="{761E6E60-7F3B-41C7-A0DE-01D5312451E0}"/>
  <tableColumns count="8">
    <tableColumn id="9" xr3:uid="{6559CA9E-547B-4BDB-80A2-9F54CF465A6C}" name="産業中分類上位２０"/>
    <tableColumn id="10" xr3:uid="{9D3A4BE0-AC57-4257-91FD-EB63AA5AB625}" name="総数／事業所数" dataCellStyle="桁区切り"/>
    <tableColumn id="11" xr3:uid="{56C63628-0280-4B3F-9E3B-6F8ED59BA404}" name="総数／構成比" dataDxfId="257"/>
    <tableColumn id="12" xr3:uid="{659DD2C8-4578-4556-910B-311C45BB9B35}" name="個人／事業所数" dataCellStyle="桁区切り"/>
    <tableColumn id="13" xr3:uid="{1155A27F-F422-486C-AA5C-1004401CC23F}" name="個人／構成比" dataDxfId="256"/>
    <tableColumn id="14" xr3:uid="{5AC3CBFD-0E4A-4D26-B029-60F9DCADFA81}" name="法人／事業所数" dataCellStyle="桁区切り"/>
    <tableColumn id="15" xr3:uid="{F7F3EC13-D6EE-424E-8299-A1A9C1285DD6}" name="法人／構成比" dataDxfId="255"/>
    <tableColumn id="16" xr3:uid="{F0517905-38FC-4F98-8028-08EA4F0DEF85}" name="法人以外の団体／事業所数" dataCellStyle="桁区切り"/>
  </tableColumns>
  <tableStyleInfo name="TableStyleMedium9" showFirstColumn="0" showLastColumn="0" showRowStripes="1" showColumnStripes="0"/>
</table>
</file>

<file path=xl/tables/table8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08677F2-66AC-4651-BA03-4A52DA12551E}" name="S_TABLE_22220" displayName="S_TABLE_22220" ref="B47:I68" totalsRowShown="0">
  <autoFilter ref="B47:I68" xr:uid="{908677F2-66AC-4651-BA03-4A52DA12551E}"/>
  <tableColumns count="8">
    <tableColumn id="9" xr3:uid="{0373FEFA-1216-4B94-8186-70A189D4B712}" name="産業小分類上位２０"/>
    <tableColumn id="10" xr3:uid="{33843C8A-B224-433E-B88B-DE73F54C8139}" name="総数／事業所数" dataCellStyle="桁区切り"/>
    <tableColumn id="11" xr3:uid="{9A09627B-0E2E-409D-A27F-E2A0366B3365}" name="総数／構成比" dataDxfId="254"/>
    <tableColumn id="12" xr3:uid="{AD7CF6DC-0CD4-4A7B-A82D-9B54EC6B390C}" name="個人／事業所数" dataCellStyle="桁区切り"/>
    <tableColumn id="13" xr3:uid="{1AEB25F6-64F2-4238-B35B-7B22334F5A8B}" name="個人／構成比" dataDxfId="253"/>
    <tableColumn id="14" xr3:uid="{99A91D4B-B388-47EE-ADCE-1985A092FE40}" name="法人／事業所数" dataCellStyle="桁区切り"/>
    <tableColumn id="15" xr3:uid="{9F5D7713-1999-4B82-8EC2-535FAD5DEB9B}" name="法人／構成比" dataDxfId="252"/>
    <tableColumn id="16" xr3:uid="{A94D6D85-4198-4E5E-8714-8F7FC2405F8D}" name="法人以外の団体／事業所数" dataCellStyle="桁区切り"/>
  </tableColumns>
  <tableStyleInfo name="TableStyleMedium9" showFirstColumn="0" showLastColumn="0" showRowStripes="1" showColumnStripes="0"/>
</table>
</file>

<file path=xl/tables/table8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9A87C385-E3F6-40C2-B7C5-350FB0BCA807}" name="LTBL_22221" displayName="LTBL_22221" ref="B4:I20" totalsRowCount="1">
  <autoFilter ref="B4:I19" xr:uid="{9A87C385-E3F6-40C2-B7C5-350FB0BCA807}"/>
  <tableColumns count="8">
    <tableColumn id="9" xr3:uid="{76DEAEEA-9C7E-4BEA-8874-381ED4D030EC}" name="産業大分類" totalsRowLabel="合計" totalsRowDxfId="251"/>
    <tableColumn id="10" xr3:uid="{B6365467-11AA-441B-B5E8-9761D24AAEB5}" name="総数／事業所数" totalsRowFunction="custom" totalsRowDxfId="250" dataCellStyle="桁区切り" totalsRowCellStyle="桁区切り">
      <totalsRowFormula>SUM(LTBL_22221[総数／事業所数])</totalsRowFormula>
    </tableColumn>
    <tableColumn id="11" xr3:uid="{B6F69665-E339-463B-B5E8-EF969E72EBAF}" name="総数／構成比" dataDxfId="249"/>
    <tableColumn id="12" xr3:uid="{755B6295-C8C3-471B-9AEA-3EA95AD70D97}" name="個人／事業所数" totalsRowFunction="sum" totalsRowDxfId="248" dataCellStyle="桁区切り" totalsRowCellStyle="桁区切り"/>
    <tableColumn id="13" xr3:uid="{CF382C18-4E62-4C57-8AC1-3FD166C1858E}" name="個人／構成比" dataDxfId="247"/>
    <tableColumn id="14" xr3:uid="{88921792-8DB7-4A80-80A2-684B3F8E7F25}" name="法人／事業所数" totalsRowFunction="sum" totalsRowDxfId="246" dataCellStyle="桁区切り" totalsRowCellStyle="桁区切り"/>
    <tableColumn id="15" xr3:uid="{916A242F-EBC7-447D-9029-B9380BA6A03D}" name="法人／構成比" dataDxfId="245"/>
    <tableColumn id="16" xr3:uid="{495A3FD7-BBC1-4F04-8B67-2B897F70EE17}" name="法人以外の団体／事業所数" totalsRowFunction="sum" totalsRowDxfId="244" dataCellStyle="桁区切り" totalsRowCellStyle="桁区切り"/>
  </tableColumns>
  <tableStyleInfo name="TableStyleMedium9" showFirstColumn="0" showLastColumn="0" showRowStripes="1" showColumnStripes="0"/>
</table>
</file>

<file path=xl/tables/table8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F582086F-4B51-4F07-9326-0C7C7B4CFF0B}" name="M_TABLE_22221" displayName="M_TABLE_22221" ref="B23:I43" totalsRowShown="0">
  <autoFilter ref="B23:I43" xr:uid="{F582086F-4B51-4F07-9326-0C7C7B4CFF0B}"/>
  <tableColumns count="8">
    <tableColumn id="9" xr3:uid="{08E1D0E1-2F2E-4AFC-A7B8-671671E28FE0}" name="産業中分類上位２０"/>
    <tableColumn id="10" xr3:uid="{879A1569-0CEE-4775-831B-04C234E2EFED}" name="総数／事業所数" dataCellStyle="桁区切り"/>
    <tableColumn id="11" xr3:uid="{C9160820-6AD1-4FB8-8D9A-6737A125CDF0}" name="総数／構成比" dataDxfId="243"/>
    <tableColumn id="12" xr3:uid="{1505570A-BF8C-47D3-AD70-6503C5B6E915}" name="個人／事業所数" dataCellStyle="桁区切り"/>
    <tableColumn id="13" xr3:uid="{FBBDB1CC-0DA6-45C9-B81F-565DD27AF27C}" name="個人／構成比" dataDxfId="242"/>
    <tableColumn id="14" xr3:uid="{D8F62571-DACE-488C-8AF9-4C5F7DAF2173}" name="法人／事業所数" dataCellStyle="桁区切り"/>
    <tableColumn id="15" xr3:uid="{3A043CD7-981A-4481-AA37-B9C5754BBB45}" name="法人／構成比" dataDxfId="241"/>
    <tableColumn id="16" xr3:uid="{4D6F56F7-6062-4979-A1F2-65B4BBC96B81}" name="法人以外の団体／事業所数" dataCellStyle="桁区切り"/>
  </tableColumns>
  <tableStyleInfo name="TableStyleMedium9" showFirstColumn="0" showLastColumn="0" showRowStripes="1" showColumnStripes="0"/>
</table>
</file>

<file path=xl/tables/table8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AF5508BD-C640-44D1-B69E-4B4A25E71173}" name="S_TABLE_22221" displayName="S_TABLE_22221" ref="B46:I66" totalsRowShown="0">
  <autoFilter ref="B46:I66" xr:uid="{AF5508BD-C640-44D1-B69E-4B4A25E71173}"/>
  <tableColumns count="8">
    <tableColumn id="9" xr3:uid="{0F0FDA57-0844-4B90-93FB-1E8EF9F21931}" name="産業小分類上位２０"/>
    <tableColumn id="10" xr3:uid="{F61B1D16-749B-4912-B36C-D7E5A93B4986}" name="総数／事業所数" dataCellStyle="桁区切り"/>
    <tableColumn id="11" xr3:uid="{9E2CA6A9-3919-4A6B-AAF7-18565C08AADE}" name="総数／構成比" dataDxfId="240"/>
    <tableColumn id="12" xr3:uid="{73C1A29F-3FA7-41BA-807B-7FD981ED8803}" name="個人／事業所数" dataCellStyle="桁区切り"/>
    <tableColumn id="13" xr3:uid="{D1D731AC-D67D-4D46-AA3F-7B3855CF4876}" name="個人／構成比" dataDxfId="239"/>
    <tableColumn id="14" xr3:uid="{F908729E-1B3C-427D-8792-820AFE4389AE}" name="法人／事業所数" dataCellStyle="桁区切り"/>
    <tableColumn id="15" xr3:uid="{F5CBD780-5DDF-449F-93D2-8C26A980880D}" name="法人／構成比" dataDxfId="238"/>
    <tableColumn id="16" xr3:uid="{B636D534-B97E-4EC4-8E13-19884267C57D}" name="法人以外の団体／事業所数" dataCellStyle="桁区切り"/>
  </tableColumns>
  <tableStyleInfo name="TableStyleMedium9" showFirstColumn="0" showLastColumn="0" showRowStripes="1" showColumnStripes="0"/>
</table>
</file>

<file path=xl/tables/table8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D35411FC-E466-44D8-97DB-F011A58C2116}" name="LTBL_22222" displayName="LTBL_22222" ref="B4:I20" totalsRowCount="1">
  <autoFilter ref="B4:I19" xr:uid="{D35411FC-E466-44D8-97DB-F011A58C2116}"/>
  <tableColumns count="8">
    <tableColumn id="9" xr3:uid="{50CD8866-36C2-4924-8384-B2B26C96C9D9}" name="産業大分類" totalsRowLabel="合計" totalsRowDxfId="237"/>
    <tableColumn id="10" xr3:uid="{80BA69CB-DD34-4918-96D3-10F0E0A47082}" name="総数／事業所数" totalsRowFunction="custom" totalsRowDxfId="236" dataCellStyle="桁区切り" totalsRowCellStyle="桁区切り">
      <totalsRowFormula>SUM(LTBL_22222[総数／事業所数])</totalsRowFormula>
    </tableColumn>
    <tableColumn id="11" xr3:uid="{38816309-AAA4-4A00-A44F-F9A4C683D620}" name="総数／構成比" dataDxfId="235"/>
    <tableColumn id="12" xr3:uid="{4D6F28C0-26FA-4DFA-90AE-5EE1E5DB68C7}" name="個人／事業所数" totalsRowFunction="sum" totalsRowDxfId="234" dataCellStyle="桁区切り" totalsRowCellStyle="桁区切り"/>
    <tableColumn id="13" xr3:uid="{0FA2C105-7089-4EC0-A78E-8A8E2BB34E7B}" name="個人／構成比" dataDxfId="233"/>
    <tableColumn id="14" xr3:uid="{D12398AC-ECBB-435C-8E01-EE03D4B906C1}" name="法人／事業所数" totalsRowFunction="sum" totalsRowDxfId="232" dataCellStyle="桁区切り" totalsRowCellStyle="桁区切り"/>
    <tableColumn id="15" xr3:uid="{4E0827F4-4AEB-43A5-88B5-4ECF988E963D}" name="法人／構成比" dataDxfId="231"/>
    <tableColumn id="16" xr3:uid="{0B4A5A65-02E8-4342-8CAB-0249585D2443}" name="法人以外の団体／事業所数" totalsRowFunction="sum" totalsRowDxfId="230" dataCellStyle="桁区切り" totalsRowCellStyle="桁区切り"/>
  </tableColumns>
  <tableStyleInfo name="TableStyleMedium9" showFirstColumn="0" showLastColumn="0" showRowStripes="1" showColumnStripes="0"/>
</table>
</file>

<file path=xl/tables/table8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BBC36FF5-4BFB-47EA-A0A2-EF5994D03BA1}" name="M_TABLE_22222" displayName="M_TABLE_22222" ref="B23:I43" totalsRowShown="0">
  <autoFilter ref="B23:I43" xr:uid="{BBC36FF5-4BFB-47EA-A0A2-EF5994D03BA1}"/>
  <tableColumns count="8">
    <tableColumn id="9" xr3:uid="{FD8A8BEF-998B-41F6-A958-989D4E459031}" name="産業中分類上位２０"/>
    <tableColumn id="10" xr3:uid="{6AA0F59E-4245-4008-AF29-E2C5DBF93BAB}" name="総数／事業所数" dataCellStyle="桁区切り"/>
    <tableColumn id="11" xr3:uid="{77843389-3DD4-4788-8373-5BD4AC581BB6}" name="総数／構成比" dataDxfId="229"/>
    <tableColumn id="12" xr3:uid="{FA3AEC59-32BF-4FBB-8C23-55CB332C6B6A}" name="個人／事業所数" dataCellStyle="桁区切り"/>
    <tableColumn id="13" xr3:uid="{BA1E877E-839A-47F9-B6F3-69E96D70CEC7}" name="個人／構成比" dataDxfId="228"/>
    <tableColumn id="14" xr3:uid="{870269BD-F0DC-4824-8C95-540E382C7BEE}" name="法人／事業所数" dataCellStyle="桁区切り"/>
    <tableColumn id="15" xr3:uid="{488BDDDB-A761-4BA1-839B-357843F27F21}" name="法人／構成比" dataDxfId="227"/>
    <tableColumn id="16" xr3:uid="{215BA8B9-204A-41A6-87AC-956A8E9117FE}" name="法人以外の団体／事業所数" dataCellStyle="桁区切り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5FDC34EE-1B6F-4EA6-985B-0F9627F89766}" name="S_TABLE_22101" displayName="S_TABLE_22101" ref="B46:I66" totalsRowShown="0">
  <autoFilter ref="B46:I66" xr:uid="{5FDC34EE-1B6F-4EA6-985B-0F9627F89766}"/>
  <tableColumns count="8">
    <tableColumn id="9" xr3:uid="{104DA23F-C589-4AF0-B4C7-B44A33D23CA7}" name="産業小分類上位２０"/>
    <tableColumn id="10" xr3:uid="{2FF2278B-CC96-4B67-948D-09D6086A2539}" name="総数／事業所数" dataCellStyle="桁区切り"/>
    <tableColumn id="11" xr3:uid="{7CA39DB2-8082-4852-947B-B421749FC579}" name="総数／構成比" dataDxfId="604"/>
    <tableColumn id="12" xr3:uid="{23B2CA41-5B2B-4B38-85F6-FDA5B2E540D5}" name="個人／事業所数" dataCellStyle="桁区切り"/>
    <tableColumn id="13" xr3:uid="{7EDBA5B3-3B32-419F-AD7A-A9B3C3CDCB18}" name="個人／構成比" dataDxfId="603"/>
    <tableColumn id="14" xr3:uid="{A228FFBB-2DCA-4EBC-B659-3FC33CBF3DC2}" name="法人／事業所数" dataCellStyle="桁区切り"/>
    <tableColumn id="15" xr3:uid="{7AB58A50-BD1B-4746-9658-07C102434F05}" name="法人／構成比" dataDxfId="602"/>
    <tableColumn id="16" xr3:uid="{1EBF634C-1A3D-4D40-A343-FDFAB80CA13E}" name="法人以外の団体／事業所数" dataCellStyle="桁区切り"/>
  </tableColumns>
  <tableStyleInfo name="TableStyleMedium9" showFirstColumn="0" showLastColumn="0" showRowStripes="1" showColumnStripes="0"/>
</table>
</file>

<file path=xl/tables/table9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1D40D69B-79E4-4440-A188-FC4812FD936D}" name="S_TABLE_22222" displayName="S_TABLE_22222" ref="B46:I68" totalsRowShown="0">
  <autoFilter ref="B46:I68" xr:uid="{1D40D69B-79E4-4440-A188-FC4812FD936D}"/>
  <tableColumns count="8">
    <tableColumn id="9" xr3:uid="{37A13547-699B-41D7-B2DC-D0F3376D380D}" name="産業小分類上位２０"/>
    <tableColumn id="10" xr3:uid="{788B6E5C-127C-4C8A-8FB9-27D7162BD89D}" name="総数／事業所数" dataCellStyle="桁区切り"/>
    <tableColumn id="11" xr3:uid="{6A8D58FC-DDCF-45DF-AA8E-1CE12792BFA0}" name="総数／構成比" dataDxfId="226"/>
    <tableColumn id="12" xr3:uid="{54700D42-A3FC-4285-90F1-A05DF1A82B67}" name="個人／事業所数" dataCellStyle="桁区切り"/>
    <tableColumn id="13" xr3:uid="{DF0DB471-D3D6-4BB5-B0F2-77736E3A357B}" name="個人／構成比" dataDxfId="225"/>
    <tableColumn id="14" xr3:uid="{010E2753-426E-4E98-AF6B-8D252276A7DC}" name="法人／事業所数" dataCellStyle="桁区切り"/>
    <tableColumn id="15" xr3:uid="{102680EC-F7EA-41B2-A0E0-80B8E1F9E98B}" name="法人／構成比" dataDxfId="224"/>
    <tableColumn id="16" xr3:uid="{81CCEDFE-EEA5-410F-8A24-3183491B34AD}" name="法人以外の団体／事業所数" dataCellStyle="桁区切り"/>
  </tableColumns>
  <tableStyleInfo name="TableStyleMedium9" showFirstColumn="0" showLastColumn="0" showRowStripes="1" showColumnStripes="0"/>
</table>
</file>

<file path=xl/tables/table9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FBD72B5A-CAB6-4056-AFA4-6D7333C4A6BE}" name="LTBL_22223" displayName="LTBL_22223" ref="B4:I20" totalsRowCount="1">
  <autoFilter ref="B4:I19" xr:uid="{FBD72B5A-CAB6-4056-AFA4-6D7333C4A6BE}"/>
  <tableColumns count="8">
    <tableColumn id="9" xr3:uid="{C4865268-A06D-45F8-81F5-F0CE8061B867}" name="産業大分類" totalsRowLabel="合計" totalsRowDxfId="223"/>
    <tableColumn id="10" xr3:uid="{B31B5196-A3B0-45D4-BCB4-316B73B595C5}" name="総数／事業所数" totalsRowFunction="custom" totalsRowDxfId="222" dataCellStyle="桁区切り" totalsRowCellStyle="桁区切り">
      <totalsRowFormula>SUM(LTBL_22223[総数／事業所数])</totalsRowFormula>
    </tableColumn>
    <tableColumn id="11" xr3:uid="{7C5409B2-10C8-4FFA-B033-CD802CC304E5}" name="総数／構成比" dataDxfId="221"/>
    <tableColumn id="12" xr3:uid="{079ED2AF-E3B7-4FB3-9107-0E973B1F5A2C}" name="個人／事業所数" totalsRowFunction="sum" totalsRowDxfId="220" dataCellStyle="桁区切り" totalsRowCellStyle="桁区切り"/>
    <tableColumn id="13" xr3:uid="{B59B01BD-776D-42AC-957E-3D47AB6A34A4}" name="個人／構成比" dataDxfId="219"/>
    <tableColumn id="14" xr3:uid="{0B1B84C4-0D5E-4B31-B6BC-2A27D0DC4A35}" name="法人／事業所数" totalsRowFunction="sum" totalsRowDxfId="218" dataCellStyle="桁区切り" totalsRowCellStyle="桁区切り"/>
    <tableColumn id="15" xr3:uid="{1AF9EB33-E8C7-458B-97E7-0E2977FD912C}" name="法人／構成比" dataDxfId="217"/>
    <tableColumn id="16" xr3:uid="{B06B5935-04BC-4AF5-B4AD-0152DB8DE08D}" name="法人以外の団体／事業所数" totalsRowFunction="sum" totalsRowDxfId="216" dataCellStyle="桁区切り" totalsRowCellStyle="桁区切り"/>
  </tableColumns>
  <tableStyleInfo name="TableStyleMedium9" showFirstColumn="0" showLastColumn="0" showRowStripes="1" showColumnStripes="0"/>
</table>
</file>

<file path=xl/tables/table9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26D66AD-E3EB-4209-8E23-C22F658BF4DB}" name="M_TABLE_22223" displayName="M_TABLE_22223" ref="B23:I43" totalsRowShown="0">
  <autoFilter ref="B23:I43" xr:uid="{E26D66AD-E3EB-4209-8E23-C22F658BF4DB}"/>
  <tableColumns count="8">
    <tableColumn id="9" xr3:uid="{86B728BC-A21E-40FA-8BAB-5293946A6F5B}" name="産業中分類上位２０"/>
    <tableColumn id="10" xr3:uid="{D23C2818-D33A-40E2-A430-EE0DF411CF6D}" name="総数／事業所数" dataCellStyle="桁区切り"/>
    <tableColumn id="11" xr3:uid="{54298284-B645-4EBA-9F18-E58652794DAD}" name="総数／構成比" dataDxfId="215"/>
    <tableColumn id="12" xr3:uid="{774D7F91-8A1D-4BF9-98F0-884BD4543FB9}" name="個人／事業所数" dataCellStyle="桁区切り"/>
    <tableColumn id="13" xr3:uid="{57EB9322-0487-41F3-AE19-98522E29A69B}" name="個人／構成比" dataDxfId="214"/>
    <tableColumn id="14" xr3:uid="{B32DA732-0425-44C2-8C58-D1A2B10599AC}" name="法人／事業所数" dataCellStyle="桁区切り"/>
    <tableColumn id="15" xr3:uid="{E92EF024-96C4-4F1B-B40D-B65F0ACD5912}" name="法人／構成比" dataDxfId="213"/>
    <tableColumn id="16" xr3:uid="{3962C0A6-B591-41A6-81AE-71D6B0E99D18}" name="法人以外の団体／事業所数" dataCellStyle="桁区切り"/>
  </tableColumns>
  <tableStyleInfo name="TableStyleMedium9" showFirstColumn="0" showLastColumn="0" showRowStripes="1" showColumnStripes="0"/>
</table>
</file>

<file path=xl/tables/table9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51B02BF2-F521-4743-B2C7-40010549762C}" name="S_TABLE_22223" displayName="S_TABLE_22223" ref="B46:I69" totalsRowShown="0">
  <autoFilter ref="B46:I69" xr:uid="{51B02BF2-F521-4743-B2C7-40010549762C}"/>
  <tableColumns count="8">
    <tableColumn id="9" xr3:uid="{3D759332-6D9A-4664-AF5A-74F1221F5862}" name="産業小分類上位２０"/>
    <tableColumn id="10" xr3:uid="{8AE86937-26BC-48CB-B67F-95A350016CD7}" name="総数／事業所数" dataCellStyle="桁区切り"/>
    <tableColumn id="11" xr3:uid="{D40498D4-2AE1-41D6-9617-CF7D3B2BB7FE}" name="総数／構成比" dataDxfId="212"/>
    <tableColumn id="12" xr3:uid="{58F3A0F6-E9C4-47B7-BD0E-FD5EC83F7D23}" name="個人／事業所数" dataCellStyle="桁区切り"/>
    <tableColumn id="13" xr3:uid="{7115758A-9310-41E8-82EC-2FF44F2D3C54}" name="個人／構成比" dataDxfId="211"/>
    <tableColumn id="14" xr3:uid="{EA85F211-7364-4035-81B9-0FFBD1B0C9CD}" name="法人／事業所数" dataCellStyle="桁区切り"/>
    <tableColumn id="15" xr3:uid="{6EE4E07B-B039-4222-BC52-72458EF4E5BE}" name="法人／構成比" dataDxfId="210"/>
    <tableColumn id="16" xr3:uid="{F6F1A20C-662C-440D-A400-2B1C51877509}" name="法人以外の団体／事業所数" dataCellStyle="桁区切り"/>
  </tableColumns>
  <tableStyleInfo name="TableStyleMedium9" showFirstColumn="0" showLastColumn="0" showRowStripes="1" showColumnStripes="0"/>
</table>
</file>

<file path=xl/tables/table9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809CAACF-348E-4AA2-A3A7-4EF01F6CC73C}" name="LTBL_22224" displayName="LTBL_22224" ref="B4:I20" totalsRowCount="1">
  <autoFilter ref="B4:I19" xr:uid="{809CAACF-348E-4AA2-A3A7-4EF01F6CC73C}"/>
  <tableColumns count="8">
    <tableColumn id="9" xr3:uid="{810610AF-91EE-4373-AA48-F921857FA662}" name="産業大分類" totalsRowLabel="合計" totalsRowDxfId="209"/>
    <tableColumn id="10" xr3:uid="{22AD519B-28A9-4709-A7DA-A3AD0DA6302F}" name="総数／事業所数" totalsRowFunction="custom" totalsRowDxfId="208" dataCellStyle="桁区切り" totalsRowCellStyle="桁区切り">
      <totalsRowFormula>SUM(LTBL_22224[総数／事業所数])</totalsRowFormula>
    </tableColumn>
    <tableColumn id="11" xr3:uid="{DF784A2F-1672-4AE6-BA95-EB72FAEF7C9C}" name="総数／構成比" dataDxfId="207"/>
    <tableColumn id="12" xr3:uid="{5EB3C275-FA47-4EAE-9F8B-05CC6730C884}" name="個人／事業所数" totalsRowFunction="sum" totalsRowDxfId="206" dataCellStyle="桁区切り" totalsRowCellStyle="桁区切り"/>
    <tableColumn id="13" xr3:uid="{90653FC2-64AF-4EB2-8ECA-8B30C4750C5A}" name="個人／構成比" dataDxfId="205"/>
    <tableColumn id="14" xr3:uid="{761AB09F-385C-4A32-B9C3-030F1AE9D539}" name="法人／事業所数" totalsRowFunction="sum" totalsRowDxfId="204" dataCellStyle="桁区切り" totalsRowCellStyle="桁区切り"/>
    <tableColumn id="15" xr3:uid="{BC007B36-7EC0-4B98-88C9-6B1DF6DD6664}" name="法人／構成比" dataDxfId="203"/>
    <tableColumn id="16" xr3:uid="{B49F0AA3-54F1-4B04-B56F-3B91046A10F8}" name="法人以外の団体／事業所数" totalsRowFunction="sum" totalsRowDxfId="202" dataCellStyle="桁区切り" totalsRowCellStyle="桁区切り"/>
  </tableColumns>
  <tableStyleInfo name="TableStyleMedium9" showFirstColumn="0" showLastColumn="0" showRowStripes="1" showColumnStripes="0"/>
</table>
</file>

<file path=xl/tables/table9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52E17D3D-7227-4DD3-A9C2-4F8D9DD0F0F0}" name="M_TABLE_22224" displayName="M_TABLE_22224" ref="B23:I44" totalsRowShown="0">
  <autoFilter ref="B23:I44" xr:uid="{52E17D3D-7227-4DD3-A9C2-4F8D9DD0F0F0}"/>
  <tableColumns count="8">
    <tableColumn id="9" xr3:uid="{3D1A11FE-0BD6-4D39-BD25-49708FEA6A5B}" name="産業中分類上位２０"/>
    <tableColumn id="10" xr3:uid="{32C26C6B-61BA-4A32-B416-BF2D4FFF9E74}" name="総数／事業所数" dataCellStyle="桁区切り"/>
    <tableColumn id="11" xr3:uid="{D6D18F71-DB77-4E1E-B937-4D0683F3BE4C}" name="総数／構成比" dataDxfId="201"/>
    <tableColumn id="12" xr3:uid="{89501556-8764-43AE-8ED8-297BABF43A66}" name="個人／事業所数" dataCellStyle="桁区切り"/>
    <tableColumn id="13" xr3:uid="{2C415B74-55DF-47E4-9636-1ED8F442A073}" name="個人／構成比" dataDxfId="200"/>
    <tableColumn id="14" xr3:uid="{0B8371E8-B0CB-4B92-8C4E-569A749084DB}" name="法人／事業所数" dataCellStyle="桁区切り"/>
    <tableColumn id="15" xr3:uid="{7CC02E8E-61FD-4CD3-8C03-522BE095B83D}" name="法人／構成比" dataDxfId="199"/>
    <tableColumn id="16" xr3:uid="{51E3502C-D549-473E-A3AE-14C653562245}" name="法人以外の団体／事業所数" dataCellStyle="桁区切り"/>
  </tableColumns>
  <tableStyleInfo name="TableStyleMedium9" showFirstColumn="0" showLastColumn="0" showRowStripes="1" showColumnStripes="0"/>
</table>
</file>

<file path=xl/tables/table9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AA847CB-D8D3-4A76-9CC6-E6E331CC572B}" name="S_TABLE_22224" displayName="S_TABLE_22224" ref="B47:I69" totalsRowShown="0">
  <autoFilter ref="B47:I69" xr:uid="{2AA847CB-D8D3-4A76-9CC6-E6E331CC572B}"/>
  <tableColumns count="8">
    <tableColumn id="9" xr3:uid="{485C938E-44E3-4A33-9A75-F5991A917230}" name="産業小分類上位２０"/>
    <tableColumn id="10" xr3:uid="{293DFA66-9022-431C-ABF8-A8FFCD3C84F3}" name="総数／事業所数" dataCellStyle="桁区切り"/>
    <tableColumn id="11" xr3:uid="{77011C1D-2115-440C-8416-B767A50965C3}" name="総数／構成比" dataDxfId="198"/>
    <tableColumn id="12" xr3:uid="{BC55EDD8-930F-41B0-9AB6-3DA015E78F33}" name="個人／事業所数" dataCellStyle="桁区切り"/>
    <tableColumn id="13" xr3:uid="{53A98090-6C6E-4FA4-99CC-CB4CDC09CD0B}" name="個人／構成比" dataDxfId="197"/>
    <tableColumn id="14" xr3:uid="{1CE7EFFC-229E-4724-8B89-C9D53C480B8A}" name="法人／事業所数" dataCellStyle="桁区切り"/>
    <tableColumn id="15" xr3:uid="{ED6D6DF7-F375-4D38-BE7D-56A939C2F2CC}" name="法人／構成比" dataDxfId="196"/>
    <tableColumn id="16" xr3:uid="{64B3254C-9B3E-4EEE-A728-5E786B495A39}" name="法人以外の団体／事業所数" dataCellStyle="桁区切り"/>
  </tableColumns>
  <tableStyleInfo name="TableStyleMedium9" showFirstColumn="0" showLastColumn="0" showRowStripes="1" showColumnStripes="0"/>
</table>
</file>

<file path=xl/tables/table9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CB35B2D-7D04-45D4-AF93-093B94944F83}" name="LTBL_22225" displayName="LTBL_22225" ref="B4:I20" totalsRowCount="1">
  <autoFilter ref="B4:I19" xr:uid="{0CB35B2D-7D04-45D4-AF93-093B94944F83}"/>
  <tableColumns count="8">
    <tableColumn id="9" xr3:uid="{9FD37E58-B514-4010-968B-2AC602050075}" name="産業大分類" totalsRowLabel="合計" totalsRowDxfId="195"/>
    <tableColumn id="10" xr3:uid="{B959F52C-F717-46FF-A9BE-25188F899FBB}" name="総数／事業所数" totalsRowFunction="custom" totalsRowDxfId="194" dataCellStyle="桁区切り" totalsRowCellStyle="桁区切り">
      <totalsRowFormula>SUM(LTBL_22225[総数／事業所数])</totalsRowFormula>
    </tableColumn>
    <tableColumn id="11" xr3:uid="{1EA6F329-697C-4173-A6FF-706799172CE0}" name="総数／構成比" dataDxfId="193"/>
    <tableColumn id="12" xr3:uid="{238B26B8-089B-437B-949E-B9F007D68126}" name="個人／事業所数" totalsRowFunction="sum" totalsRowDxfId="192" dataCellStyle="桁区切り" totalsRowCellStyle="桁区切り"/>
    <tableColumn id="13" xr3:uid="{5912A426-7911-49FE-81E1-AC4700B7B869}" name="個人／構成比" dataDxfId="191"/>
    <tableColumn id="14" xr3:uid="{1EF3B421-8179-40AE-98A2-1EFDEAAD0961}" name="法人／事業所数" totalsRowFunction="sum" totalsRowDxfId="190" dataCellStyle="桁区切り" totalsRowCellStyle="桁区切り"/>
    <tableColumn id="15" xr3:uid="{2FF5F611-9C29-462F-96E8-6AE49449B506}" name="法人／構成比" dataDxfId="189"/>
    <tableColumn id="16" xr3:uid="{DA29B008-B7C0-4D0B-9449-10129D78DE20}" name="法人以外の団体／事業所数" totalsRowFunction="sum" totalsRowDxfId="188" dataCellStyle="桁区切り" totalsRowCellStyle="桁区切り"/>
  </tableColumns>
  <tableStyleInfo name="TableStyleMedium9" showFirstColumn="0" showLastColumn="0" showRowStripes="1" showColumnStripes="0"/>
</table>
</file>

<file path=xl/tables/table9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3DCF642B-EEE9-46B3-A535-5A2C1A845076}" name="M_TABLE_22225" displayName="M_TABLE_22225" ref="B23:I43" totalsRowShown="0">
  <autoFilter ref="B23:I43" xr:uid="{3DCF642B-EEE9-46B3-A535-5A2C1A845076}"/>
  <tableColumns count="8">
    <tableColumn id="9" xr3:uid="{DA754E80-A5B5-48E7-A684-55DC1631A386}" name="産業中分類上位２０"/>
    <tableColumn id="10" xr3:uid="{721C98FA-FB54-43E6-AAA5-0120892D53A9}" name="総数／事業所数" dataCellStyle="桁区切り"/>
    <tableColumn id="11" xr3:uid="{0EB9FB08-7BBA-47CF-92E5-531DA692DAE8}" name="総数／構成比" dataDxfId="187"/>
    <tableColumn id="12" xr3:uid="{40A1AA90-1927-488D-87E2-BFDBE97E3131}" name="個人／事業所数" dataCellStyle="桁区切り"/>
    <tableColumn id="13" xr3:uid="{F0A4EC0A-C42F-4B2D-8B4B-A748A79F4F7C}" name="個人／構成比" dataDxfId="186"/>
    <tableColumn id="14" xr3:uid="{B153C32D-B220-4DD4-903F-6E9D8794D179}" name="法人／事業所数" dataCellStyle="桁区切り"/>
    <tableColumn id="15" xr3:uid="{10562B37-D98D-48B4-AB5A-02BC01226240}" name="法人／構成比" dataDxfId="185"/>
    <tableColumn id="16" xr3:uid="{068323AF-D149-4CDE-A47F-08DB8E98D46A}" name="法人以外の団体／事業所数" dataCellStyle="桁区切り"/>
  </tableColumns>
  <tableStyleInfo name="TableStyleMedium9" showFirstColumn="0" showLastColumn="0" showRowStripes="1" showColumnStripes="0"/>
</table>
</file>

<file path=xl/tables/table9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2B491936-B364-4CB1-8C04-B2485BA9A04E}" name="S_TABLE_22225" displayName="S_TABLE_22225" ref="B46:I66" totalsRowShown="0">
  <autoFilter ref="B46:I66" xr:uid="{2B491936-B364-4CB1-8C04-B2485BA9A04E}"/>
  <tableColumns count="8">
    <tableColumn id="9" xr3:uid="{D2385A74-6418-4F31-AFDF-F04C4B101E11}" name="産業小分類上位２０"/>
    <tableColumn id="10" xr3:uid="{C16FD0D2-F58E-4168-9279-D62254435A26}" name="総数／事業所数" dataCellStyle="桁区切り"/>
    <tableColumn id="11" xr3:uid="{F8C30722-7C8A-4BED-A8F7-10AD5CC5B717}" name="総数／構成比" dataDxfId="184"/>
    <tableColumn id="12" xr3:uid="{A9BB188A-5C71-4F09-BEED-8665A23CCE0C}" name="個人／事業所数" dataCellStyle="桁区切り"/>
    <tableColumn id="13" xr3:uid="{D3338C18-C439-4ECC-B21E-BA1240FF709C}" name="個人／構成比" dataDxfId="183"/>
    <tableColumn id="14" xr3:uid="{88A96290-CD94-4124-8375-D06EFAD37591}" name="法人／事業所数" dataCellStyle="桁区切り"/>
    <tableColumn id="15" xr3:uid="{C4F1E2D8-5841-4081-8068-00C0C7C48469}" name="法人／構成比" dataDxfId="182"/>
    <tableColumn id="16" xr3:uid="{A7CAA3F2-C2E4-44D9-A376-B85D7FFD4A4B}" name="法人以外の団体／事業所数" dataCellStyle="桁区切り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3.xml"/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11.bin"/><Relationship Id="rId4" Type="http://schemas.openxmlformats.org/officeDocument/2006/relationships/table" Target="../tables/table24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12.bin"/><Relationship Id="rId4" Type="http://schemas.openxmlformats.org/officeDocument/2006/relationships/table" Target="../tables/table27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9.xml"/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13.bin"/><Relationship Id="rId4" Type="http://schemas.openxmlformats.org/officeDocument/2006/relationships/table" Target="../tables/table30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2.xml"/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3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5.xml"/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15.bin"/><Relationship Id="rId4" Type="http://schemas.openxmlformats.org/officeDocument/2006/relationships/table" Target="../tables/table3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8.xml"/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16.bin"/><Relationship Id="rId4" Type="http://schemas.openxmlformats.org/officeDocument/2006/relationships/table" Target="../tables/table39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1.xml"/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17.bin"/><Relationship Id="rId4" Type="http://schemas.openxmlformats.org/officeDocument/2006/relationships/table" Target="../tables/table42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4.xml"/><Relationship Id="rId2" Type="http://schemas.openxmlformats.org/officeDocument/2006/relationships/table" Target="../tables/table43.xml"/><Relationship Id="rId1" Type="http://schemas.openxmlformats.org/officeDocument/2006/relationships/printerSettings" Target="../printerSettings/printerSettings18.bin"/><Relationship Id="rId4" Type="http://schemas.openxmlformats.org/officeDocument/2006/relationships/table" Target="../tables/table4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19.bin"/><Relationship Id="rId4" Type="http://schemas.openxmlformats.org/officeDocument/2006/relationships/table" Target="../tables/table4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20.bin"/><Relationship Id="rId4" Type="http://schemas.openxmlformats.org/officeDocument/2006/relationships/table" Target="../tables/table5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3.xml"/><Relationship Id="rId2" Type="http://schemas.openxmlformats.org/officeDocument/2006/relationships/table" Target="../tables/table52.xml"/><Relationship Id="rId1" Type="http://schemas.openxmlformats.org/officeDocument/2006/relationships/printerSettings" Target="../printerSettings/printerSettings21.bin"/><Relationship Id="rId4" Type="http://schemas.openxmlformats.org/officeDocument/2006/relationships/table" Target="../tables/table54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6.xml"/><Relationship Id="rId2" Type="http://schemas.openxmlformats.org/officeDocument/2006/relationships/table" Target="../tables/table55.xml"/><Relationship Id="rId1" Type="http://schemas.openxmlformats.org/officeDocument/2006/relationships/printerSettings" Target="../printerSettings/printerSettings22.bin"/><Relationship Id="rId4" Type="http://schemas.openxmlformats.org/officeDocument/2006/relationships/table" Target="../tables/table57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9.xml"/><Relationship Id="rId2" Type="http://schemas.openxmlformats.org/officeDocument/2006/relationships/table" Target="../tables/table58.xml"/><Relationship Id="rId1" Type="http://schemas.openxmlformats.org/officeDocument/2006/relationships/printerSettings" Target="../printerSettings/printerSettings23.bin"/><Relationship Id="rId4" Type="http://schemas.openxmlformats.org/officeDocument/2006/relationships/table" Target="../tables/table60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2.xml"/><Relationship Id="rId2" Type="http://schemas.openxmlformats.org/officeDocument/2006/relationships/table" Target="../tables/table61.xml"/><Relationship Id="rId1" Type="http://schemas.openxmlformats.org/officeDocument/2006/relationships/printerSettings" Target="../printerSettings/printerSettings24.bin"/><Relationship Id="rId4" Type="http://schemas.openxmlformats.org/officeDocument/2006/relationships/table" Target="../tables/table6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5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5.bin"/><Relationship Id="rId4" Type="http://schemas.openxmlformats.org/officeDocument/2006/relationships/table" Target="../tables/table6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8.xml"/><Relationship Id="rId2" Type="http://schemas.openxmlformats.org/officeDocument/2006/relationships/table" Target="../tables/table67.xml"/><Relationship Id="rId1" Type="http://schemas.openxmlformats.org/officeDocument/2006/relationships/printerSettings" Target="../printerSettings/printerSettings26.bin"/><Relationship Id="rId4" Type="http://schemas.openxmlformats.org/officeDocument/2006/relationships/table" Target="../tables/table69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1.xml"/><Relationship Id="rId2" Type="http://schemas.openxmlformats.org/officeDocument/2006/relationships/table" Target="../tables/table70.xml"/><Relationship Id="rId1" Type="http://schemas.openxmlformats.org/officeDocument/2006/relationships/printerSettings" Target="../printerSettings/printerSettings27.bin"/><Relationship Id="rId4" Type="http://schemas.openxmlformats.org/officeDocument/2006/relationships/table" Target="../tables/table72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4.xml"/><Relationship Id="rId2" Type="http://schemas.openxmlformats.org/officeDocument/2006/relationships/table" Target="../tables/table73.xml"/><Relationship Id="rId1" Type="http://schemas.openxmlformats.org/officeDocument/2006/relationships/printerSettings" Target="../printerSettings/printerSettings28.bin"/><Relationship Id="rId4" Type="http://schemas.openxmlformats.org/officeDocument/2006/relationships/table" Target="../tables/table7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7.xml"/><Relationship Id="rId2" Type="http://schemas.openxmlformats.org/officeDocument/2006/relationships/table" Target="../tables/table76.xml"/><Relationship Id="rId1" Type="http://schemas.openxmlformats.org/officeDocument/2006/relationships/printerSettings" Target="../printerSettings/printerSettings29.bin"/><Relationship Id="rId4" Type="http://schemas.openxmlformats.org/officeDocument/2006/relationships/table" Target="../tables/table7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0.xml"/><Relationship Id="rId2" Type="http://schemas.openxmlformats.org/officeDocument/2006/relationships/table" Target="../tables/table79.xml"/><Relationship Id="rId1" Type="http://schemas.openxmlformats.org/officeDocument/2006/relationships/printerSettings" Target="../printerSettings/printerSettings30.bin"/><Relationship Id="rId4" Type="http://schemas.openxmlformats.org/officeDocument/2006/relationships/table" Target="../tables/table8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3.xml"/><Relationship Id="rId2" Type="http://schemas.openxmlformats.org/officeDocument/2006/relationships/table" Target="../tables/table82.xml"/><Relationship Id="rId1" Type="http://schemas.openxmlformats.org/officeDocument/2006/relationships/printerSettings" Target="../printerSettings/printerSettings31.bin"/><Relationship Id="rId4" Type="http://schemas.openxmlformats.org/officeDocument/2006/relationships/table" Target="../tables/table84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6.xml"/><Relationship Id="rId2" Type="http://schemas.openxmlformats.org/officeDocument/2006/relationships/table" Target="../tables/table85.xml"/><Relationship Id="rId1" Type="http://schemas.openxmlformats.org/officeDocument/2006/relationships/printerSettings" Target="../printerSettings/printerSettings32.bin"/><Relationship Id="rId4" Type="http://schemas.openxmlformats.org/officeDocument/2006/relationships/table" Target="../tables/table87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9.xml"/><Relationship Id="rId2" Type="http://schemas.openxmlformats.org/officeDocument/2006/relationships/table" Target="../tables/table88.xml"/><Relationship Id="rId1" Type="http://schemas.openxmlformats.org/officeDocument/2006/relationships/printerSettings" Target="../printerSettings/printerSettings33.bin"/><Relationship Id="rId4" Type="http://schemas.openxmlformats.org/officeDocument/2006/relationships/table" Target="../tables/table90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2.xml"/><Relationship Id="rId2" Type="http://schemas.openxmlformats.org/officeDocument/2006/relationships/table" Target="../tables/table91.xml"/><Relationship Id="rId1" Type="http://schemas.openxmlformats.org/officeDocument/2006/relationships/printerSettings" Target="../printerSettings/printerSettings34.bin"/><Relationship Id="rId4" Type="http://schemas.openxmlformats.org/officeDocument/2006/relationships/table" Target="../tables/table9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5.xml"/><Relationship Id="rId2" Type="http://schemas.openxmlformats.org/officeDocument/2006/relationships/table" Target="../tables/table94.xml"/><Relationship Id="rId1" Type="http://schemas.openxmlformats.org/officeDocument/2006/relationships/printerSettings" Target="../printerSettings/printerSettings35.bin"/><Relationship Id="rId4" Type="http://schemas.openxmlformats.org/officeDocument/2006/relationships/table" Target="../tables/table9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8.xml"/><Relationship Id="rId2" Type="http://schemas.openxmlformats.org/officeDocument/2006/relationships/table" Target="../tables/table97.xml"/><Relationship Id="rId1" Type="http://schemas.openxmlformats.org/officeDocument/2006/relationships/printerSettings" Target="../printerSettings/printerSettings36.bin"/><Relationship Id="rId4" Type="http://schemas.openxmlformats.org/officeDocument/2006/relationships/table" Target="../tables/table99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1.xml"/><Relationship Id="rId2" Type="http://schemas.openxmlformats.org/officeDocument/2006/relationships/table" Target="../tables/table100.xml"/><Relationship Id="rId1" Type="http://schemas.openxmlformats.org/officeDocument/2006/relationships/printerSettings" Target="../printerSettings/printerSettings37.bin"/><Relationship Id="rId4" Type="http://schemas.openxmlformats.org/officeDocument/2006/relationships/table" Target="../tables/table102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4.xml"/><Relationship Id="rId2" Type="http://schemas.openxmlformats.org/officeDocument/2006/relationships/table" Target="../tables/table103.xml"/><Relationship Id="rId1" Type="http://schemas.openxmlformats.org/officeDocument/2006/relationships/printerSettings" Target="../printerSettings/printerSettings38.bin"/><Relationship Id="rId4" Type="http://schemas.openxmlformats.org/officeDocument/2006/relationships/table" Target="../tables/table10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7.xml"/><Relationship Id="rId2" Type="http://schemas.openxmlformats.org/officeDocument/2006/relationships/table" Target="../tables/table106.xml"/><Relationship Id="rId1" Type="http://schemas.openxmlformats.org/officeDocument/2006/relationships/printerSettings" Target="../printerSettings/printerSettings39.bin"/><Relationship Id="rId4" Type="http://schemas.openxmlformats.org/officeDocument/2006/relationships/table" Target="../tables/table108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0.xml"/><Relationship Id="rId2" Type="http://schemas.openxmlformats.org/officeDocument/2006/relationships/table" Target="../tables/table109.xml"/><Relationship Id="rId1" Type="http://schemas.openxmlformats.org/officeDocument/2006/relationships/printerSettings" Target="../printerSettings/printerSettings40.bin"/><Relationship Id="rId4" Type="http://schemas.openxmlformats.org/officeDocument/2006/relationships/table" Target="../tables/table11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3.xml"/><Relationship Id="rId2" Type="http://schemas.openxmlformats.org/officeDocument/2006/relationships/table" Target="../tables/table112.xml"/><Relationship Id="rId1" Type="http://schemas.openxmlformats.org/officeDocument/2006/relationships/printerSettings" Target="../printerSettings/printerSettings41.bin"/><Relationship Id="rId4" Type="http://schemas.openxmlformats.org/officeDocument/2006/relationships/table" Target="../tables/table114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6.xml"/><Relationship Id="rId2" Type="http://schemas.openxmlformats.org/officeDocument/2006/relationships/table" Target="../tables/table115.xml"/><Relationship Id="rId1" Type="http://schemas.openxmlformats.org/officeDocument/2006/relationships/printerSettings" Target="../printerSettings/printerSettings42.bin"/><Relationship Id="rId4" Type="http://schemas.openxmlformats.org/officeDocument/2006/relationships/table" Target="../tables/table117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9.xml"/><Relationship Id="rId2" Type="http://schemas.openxmlformats.org/officeDocument/2006/relationships/table" Target="../tables/table118.xml"/><Relationship Id="rId1" Type="http://schemas.openxmlformats.org/officeDocument/2006/relationships/printerSettings" Target="../printerSettings/printerSettings43.bin"/><Relationship Id="rId4" Type="http://schemas.openxmlformats.org/officeDocument/2006/relationships/table" Target="../tables/table120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2.xml"/><Relationship Id="rId2" Type="http://schemas.openxmlformats.org/officeDocument/2006/relationships/table" Target="../tables/table121.xml"/><Relationship Id="rId1" Type="http://schemas.openxmlformats.org/officeDocument/2006/relationships/printerSettings" Target="../printerSettings/printerSettings44.bin"/><Relationship Id="rId4" Type="http://schemas.openxmlformats.org/officeDocument/2006/relationships/table" Target="../tables/table123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5.xml"/><Relationship Id="rId2" Type="http://schemas.openxmlformats.org/officeDocument/2006/relationships/table" Target="../tables/table124.xml"/><Relationship Id="rId1" Type="http://schemas.openxmlformats.org/officeDocument/2006/relationships/printerSettings" Target="../printerSettings/printerSettings45.bin"/><Relationship Id="rId4" Type="http://schemas.openxmlformats.org/officeDocument/2006/relationships/table" Target="../tables/table12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8.xml"/><Relationship Id="rId2" Type="http://schemas.openxmlformats.org/officeDocument/2006/relationships/table" Target="../tables/table127.xml"/><Relationship Id="rId1" Type="http://schemas.openxmlformats.org/officeDocument/2006/relationships/printerSettings" Target="../printerSettings/printerSettings46.bin"/><Relationship Id="rId4" Type="http://schemas.openxmlformats.org/officeDocument/2006/relationships/table" Target="../tables/table129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1.xml"/><Relationship Id="rId2" Type="http://schemas.openxmlformats.org/officeDocument/2006/relationships/table" Target="../tables/table130.xml"/><Relationship Id="rId1" Type="http://schemas.openxmlformats.org/officeDocument/2006/relationships/printerSettings" Target="../printerSettings/printerSettings47.bin"/><Relationship Id="rId4" Type="http://schemas.openxmlformats.org/officeDocument/2006/relationships/table" Target="../tables/table132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4.xml"/><Relationship Id="rId2" Type="http://schemas.openxmlformats.org/officeDocument/2006/relationships/table" Target="../tables/table133.xml"/><Relationship Id="rId1" Type="http://schemas.openxmlformats.org/officeDocument/2006/relationships/printerSettings" Target="../printerSettings/printerSettings48.bin"/><Relationship Id="rId4" Type="http://schemas.openxmlformats.org/officeDocument/2006/relationships/table" Target="../tables/table13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3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7.xml"/><Relationship Id="rId2" Type="http://schemas.openxmlformats.org/officeDocument/2006/relationships/table" Target="../tables/table136.xml"/><Relationship Id="rId1" Type="http://schemas.openxmlformats.org/officeDocument/2006/relationships/printerSettings" Target="../printerSettings/printerSettings49.bin"/><Relationship Id="rId4" Type="http://schemas.openxmlformats.org/officeDocument/2006/relationships/table" Target="../tables/table138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2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8.bin"/><Relationship Id="rId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B3A47-AD56-41E7-B26D-405EBAF7C944}">
  <dimension ref="A1:B50"/>
  <sheetViews>
    <sheetView tabSelected="1" workbookViewId="0"/>
  </sheetViews>
  <sheetFormatPr defaultRowHeight="13.2" x14ac:dyDescent="0.2"/>
  <sheetData>
    <row r="1" spans="1:2" x14ac:dyDescent="0.2">
      <c r="A1" t="s">
        <v>286</v>
      </c>
    </row>
    <row r="2" spans="1:2" x14ac:dyDescent="0.2">
      <c r="B2" s="13" t="s">
        <v>190</v>
      </c>
    </row>
    <row r="3" spans="1:2" x14ac:dyDescent="0.2">
      <c r="B3" s="13" t="s">
        <v>115</v>
      </c>
    </row>
    <row r="4" spans="1:2" x14ac:dyDescent="0.2">
      <c r="B4" s="13" t="s">
        <v>188</v>
      </c>
    </row>
    <row r="5" spans="1:2" x14ac:dyDescent="0.2">
      <c r="B5" s="13" t="s">
        <v>240</v>
      </c>
    </row>
    <row r="6" spans="1:2" x14ac:dyDescent="0.2">
      <c r="B6" s="13" t="s">
        <v>241</v>
      </c>
    </row>
    <row r="7" spans="1:2" x14ac:dyDescent="0.2">
      <c r="B7" s="13" t="s">
        <v>242</v>
      </c>
    </row>
    <row r="8" spans="1:2" x14ac:dyDescent="0.2">
      <c r="B8" s="13" t="s">
        <v>243</v>
      </c>
    </row>
    <row r="9" spans="1:2" x14ac:dyDescent="0.2">
      <c r="B9" s="13" t="s">
        <v>244</v>
      </c>
    </row>
    <row r="10" spans="1:2" x14ac:dyDescent="0.2">
      <c r="B10" s="13" t="s">
        <v>245</v>
      </c>
    </row>
    <row r="11" spans="1:2" x14ac:dyDescent="0.2">
      <c r="B11" s="13" t="s">
        <v>246</v>
      </c>
    </row>
    <row r="12" spans="1:2" x14ac:dyDescent="0.2">
      <c r="B12" s="13" t="s">
        <v>247</v>
      </c>
    </row>
    <row r="13" spans="1:2" x14ac:dyDescent="0.2">
      <c r="B13" s="13" t="s">
        <v>248</v>
      </c>
    </row>
    <row r="14" spans="1:2" x14ac:dyDescent="0.2">
      <c r="B14" s="13" t="s">
        <v>249</v>
      </c>
    </row>
    <row r="15" spans="1:2" x14ac:dyDescent="0.2">
      <c r="B15" s="13" t="s">
        <v>250</v>
      </c>
    </row>
    <row r="16" spans="1:2" x14ac:dyDescent="0.2">
      <c r="B16" s="13" t="s">
        <v>251</v>
      </c>
    </row>
    <row r="17" spans="2:2" x14ac:dyDescent="0.2">
      <c r="B17" s="13" t="s">
        <v>252</v>
      </c>
    </row>
    <row r="18" spans="2:2" x14ac:dyDescent="0.2">
      <c r="B18" s="13" t="s">
        <v>253</v>
      </c>
    </row>
    <row r="19" spans="2:2" x14ac:dyDescent="0.2">
      <c r="B19" s="13" t="s">
        <v>254</v>
      </c>
    </row>
    <row r="20" spans="2:2" x14ac:dyDescent="0.2">
      <c r="B20" s="13" t="s">
        <v>255</v>
      </c>
    </row>
    <row r="21" spans="2:2" x14ac:dyDescent="0.2">
      <c r="B21" s="13" t="s">
        <v>256</v>
      </c>
    </row>
    <row r="22" spans="2:2" x14ac:dyDescent="0.2">
      <c r="B22" s="13" t="s">
        <v>257</v>
      </c>
    </row>
    <row r="23" spans="2:2" x14ac:dyDescent="0.2">
      <c r="B23" s="13" t="s">
        <v>258</v>
      </c>
    </row>
    <row r="24" spans="2:2" x14ac:dyDescent="0.2">
      <c r="B24" s="13" t="s">
        <v>259</v>
      </c>
    </row>
    <row r="25" spans="2:2" x14ac:dyDescent="0.2">
      <c r="B25" s="13" t="s">
        <v>260</v>
      </c>
    </row>
    <row r="26" spans="2:2" x14ac:dyDescent="0.2">
      <c r="B26" s="13" t="s">
        <v>261</v>
      </c>
    </row>
    <row r="27" spans="2:2" x14ac:dyDescent="0.2">
      <c r="B27" s="13" t="s">
        <v>262</v>
      </c>
    </row>
    <row r="28" spans="2:2" x14ac:dyDescent="0.2">
      <c r="B28" s="13" t="s">
        <v>263</v>
      </c>
    </row>
    <row r="29" spans="2:2" x14ac:dyDescent="0.2">
      <c r="B29" s="13" t="s">
        <v>264</v>
      </c>
    </row>
    <row r="30" spans="2:2" x14ac:dyDescent="0.2">
      <c r="B30" s="13" t="s">
        <v>265</v>
      </c>
    </row>
    <row r="31" spans="2:2" x14ac:dyDescent="0.2">
      <c r="B31" s="13" t="s">
        <v>266</v>
      </c>
    </row>
    <row r="32" spans="2:2" x14ac:dyDescent="0.2">
      <c r="B32" s="13" t="s">
        <v>267</v>
      </c>
    </row>
    <row r="33" spans="2:2" x14ac:dyDescent="0.2">
      <c r="B33" s="13" t="s">
        <v>268</v>
      </c>
    </row>
    <row r="34" spans="2:2" x14ac:dyDescent="0.2">
      <c r="B34" s="13" t="s">
        <v>269</v>
      </c>
    </row>
    <row r="35" spans="2:2" x14ac:dyDescent="0.2">
      <c r="B35" s="13" t="s">
        <v>270</v>
      </c>
    </row>
    <row r="36" spans="2:2" x14ac:dyDescent="0.2">
      <c r="B36" s="13" t="s">
        <v>271</v>
      </c>
    </row>
    <row r="37" spans="2:2" x14ac:dyDescent="0.2">
      <c r="B37" s="13" t="s">
        <v>272</v>
      </c>
    </row>
    <row r="38" spans="2:2" x14ac:dyDescent="0.2">
      <c r="B38" s="13" t="s">
        <v>273</v>
      </c>
    </row>
    <row r="39" spans="2:2" x14ac:dyDescent="0.2">
      <c r="B39" s="13" t="s">
        <v>274</v>
      </c>
    </row>
    <row r="40" spans="2:2" x14ac:dyDescent="0.2">
      <c r="B40" s="13" t="s">
        <v>275</v>
      </c>
    </row>
    <row r="41" spans="2:2" x14ac:dyDescent="0.2">
      <c r="B41" s="13" t="s">
        <v>276</v>
      </c>
    </row>
    <row r="42" spans="2:2" x14ac:dyDescent="0.2">
      <c r="B42" s="13" t="s">
        <v>277</v>
      </c>
    </row>
    <row r="43" spans="2:2" x14ac:dyDescent="0.2">
      <c r="B43" s="13" t="s">
        <v>278</v>
      </c>
    </row>
    <row r="44" spans="2:2" x14ac:dyDescent="0.2">
      <c r="B44" s="13" t="s">
        <v>279</v>
      </c>
    </row>
    <row r="45" spans="2:2" x14ac:dyDescent="0.2">
      <c r="B45" s="13" t="s">
        <v>280</v>
      </c>
    </row>
    <row r="46" spans="2:2" x14ac:dyDescent="0.2">
      <c r="B46" s="13" t="s">
        <v>281</v>
      </c>
    </row>
    <row r="47" spans="2:2" x14ac:dyDescent="0.2">
      <c r="B47" s="13" t="s">
        <v>282</v>
      </c>
    </row>
    <row r="48" spans="2:2" x14ac:dyDescent="0.2">
      <c r="B48" s="13" t="s">
        <v>283</v>
      </c>
    </row>
    <row r="49" spans="2:2" x14ac:dyDescent="0.2">
      <c r="B49" s="13" t="s">
        <v>284</v>
      </c>
    </row>
    <row r="50" spans="2:2" x14ac:dyDescent="0.2">
      <c r="B50" s="13" t="s">
        <v>285</v>
      </c>
    </row>
  </sheetData>
  <phoneticPr fontId="1"/>
  <hyperlinks>
    <hyperlink ref="B2" location="'産業大分類'!a1" display="産業大分類" xr:uid="{90778D4D-9524-4BAE-889F-FD4C66D7AAF7}"/>
    <hyperlink ref="B3" location="'産業中分類'!a1" display="産業中分類" xr:uid="{17CB6143-92DC-4BEC-847C-F3F7BAEC4D98}"/>
    <hyperlink ref="B4" location="'産業小分類'!a1" display="産業小分類" xr:uid="{A88AD6F9-475E-401F-B771-1E701A01B900}"/>
    <hyperlink ref="B5" location="'静岡県'!a1" display="静岡県" xr:uid="{F6C911EE-2C59-435B-AD90-CFD4637D1F97}"/>
    <hyperlink ref="B6" location="'静岡市'!a1" display="静岡市" xr:uid="{0532FECE-11FF-47F6-AC9E-1F64262B132B}"/>
    <hyperlink ref="B7" location="'静岡市葵区'!a1" display="静岡市葵区" xr:uid="{209A5CC8-763E-4978-B5F6-C9071F9542E1}"/>
    <hyperlink ref="B8" location="'静岡市駿河区'!a1" display="静岡市駿河区" xr:uid="{8653D7B2-8A7D-4A70-A0F0-8EE32938B235}"/>
    <hyperlink ref="B9" location="'静岡市清水区'!a1" display="静岡市清水区" xr:uid="{6F078C22-E86F-4848-AB4D-3DBEE74C3943}"/>
    <hyperlink ref="B10" location="'浜松市'!a1" display="浜松市" xr:uid="{3D617068-AEAA-4598-A982-BFAEEF741B3E}"/>
    <hyperlink ref="B11" location="'浜松市中区'!a1" display="浜松市中区" xr:uid="{46880CC2-BCEE-4A65-AED5-B50D02F16384}"/>
    <hyperlink ref="B12" location="'浜松市東区'!a1" display="浜松市東区" xr:uid="{405B37C3-DDB2-44E2-A431-35BBFA826061}"/>
    <hyperlink ref="B13" location="'浜松市西区'!a1" display="浜松市西区" xr:uid="{CC281AF3-753B-40AF-A5DB-B8A7D6829ACD}"/>
    <hyperlink ref="B14" location="'浜松市南区'!a1" display="浜松市南区" xr:uid="{4D706D72-B4A9-483D-A0D1-7D6D4C7EE994}"/>
    <hyperlink ref="B15" location="'浜松市北区'!a1" display="浜松市北区" xr:uid="{E7094B6F-13BD-4ED8-9306-72792CE45CAA}"/>
    <hyperlink ref="B16" location="'浜松市浜北区'!a1" display="浜松市浜北区" xr:uid="{719BE0C5-3A0B-4321-BCC9-06636A404AE4}"/>
    <hyperlink ref="B17" location="'浜松市天竜区'!a1" display="浜松市天竜区" xr:uid="{7EB2F121-2967-4EF0-A5A1-4502C2792CFC}"/>
    <hyperlink ref="B18" location="'沼津市'!a1" display="沼津市" xr:uid="{A9920552-A0B5-44DE-9588-944CA1C4CA22}"/>
    <hyperlink ref="B19" location="'熱海市'!a1" display="熱海市" xr:uid="{C5E0CFCE-CACE-4F55-A035-AE829A279470}"/>
    <hyperlink ref="B20" location="'三島市'!a1" display="三島市" xr:uid="{2FDC4A3B-F59C-4BCA-9117-01B6C6F657FE}"/>
    <hyperlink ref="B21" location="'富士宮市'!a1" display="富士宮市" xr:uid="{94475C3A-C6AB-4CA2-87D5-751DCE21D46E}"/>
    <hyperlink ref="B22" location="'伊東市'!a1" display="伊東市" xr:uid="{9866C3D5-223A-471B-A8EF-E20D5B061B25}"/>
    <hyperlink ref="B23" location="'島田市'!a1" display="島田市" xr:uid="{6DDFB0E1-5F1C-4D6A-AC77-720E7206AB6F}"/>
    <hyperlink ref="B24" location="'富士市'!a1" display="富士市" xr:uid="{70B27C3C-B093-484A-8AC7-2931FF441622}"/>
    <hyperlink ref="B25" location="'磐田市'!a1" display="磐田市" xr:uid="{C1655B5A-2630-4E85-9C30-3C8B4F9864D3}"/>
    <hyperlink ref="B26" location="'焼津市'!a1" display="焼津市" xr:uid="{C53211CC-F586-41F8-8F89-6BD11AEBCCC9}"/>
    <hyperlink ref="B27" location="'掛川市'!a1" display="掛川市" xr:uid="{BE6294C9-85E8-4F2C-A005-E4BA55DDE0F5}"/>
    <hyperlink ref="B28" location="'藤枝市'!a1" display="藤枝市" xr:uid="{5617F87F-9F16-4BDA-B229-686C443345F8}"/>
    <hyperlink ref="B29" location="'御殿場市'!a1" display="御殿場市" xr:uid="{2A232539-B3A5-4878-BD8A-71C2B8E70D75}"/>
    <hyperlink ref="B30" location="'袋井市'!a1" display="袋井市" xr:uid="{4B7B41CF-A029-4C25-88E3-418DC02DA13C}"/>
    <hyperlink ref="B31" location="'下田市'!a1" display="下田市" xr:uid="{6F0AD7E7-77F4-468E-9893-6082AD2E368C}"/>
    <hyperlink ref="B32" location="'裾野市'!a1" display="裾野市" xr:uid="{C8E835D2-94C9-4601-B93D-E2726B0CB45A}"/>
    <hyperlink ref="B33" location="'湖西市'!a1" display="湖西市" xr:uid="{48A7469F-F84E-484A-AA68-FB7899652449}"/>
    <hyperlink ref="B34" location="'伊豆市'!a1" display="伊豆市" xr:uid="{675D6EB9-64FF-4C05-8162-DB1AE8D56A57}"/>
    <hyperlink ref="B35" location="'御前崎市'!a1" display="御前崎市" xr:uid="{F6336283-86B0-4908-97A9-F386F5CF78CE}"/>
    <hyperlink ref="B36" location="'菊川市'!a1" display="菊川市" xr:uid="{C7982F1F-4B39-407A-93EC-0288E24D942C}"/>
    <hyperlink ref="B37" location="'伊豆の国市'!a1" display="伊豆の国市" xr:uid="{46F97289-98E3-4176-BEC0-F7AF100BD89B}"/>
    <hyperlink ref="B38" location="'牧之原市'!a1" display="牧之原市" xr:uid="{A7EEC7C7-F6C0-4352-969A-790F9BC70769}"/>
    <hyperlink ref="B39" location="'賀茂郡東伊豆町'!a1" display="賀茂郡東伊豆町" xr:uid="{01E9C281-A171-45F7-B190-7899FCD3F9CC}"/>
    <hyperlink ref="B40" location="'賀茂郡河津町'!a1" display="賀茂郡河津町" xr:uid="{2EE44255-0277-46BD-B500-E8B68F870ACE}"/>
    <hyperlink ref="B41" location="'賀茂郡南伊豆町'!a1" display="賀茂郡南伊豆町" xr:uid="{32CC293E-AFE7-4C46-A0A9-24672B47044E}"/>
    <hyperlink ref="B42" location="'賀茂郡松崎町'!a1" display="賀茂郡松崎町" xr:uid="{FF4398BE-E76E-4ADC-8B9D-443CCC9B2327}"/>
    <hyperlink ref="B43" location="'賀茂郡西伊豆町'!a1" display="賀茂郡西伊豆町" xr:uid="{C7F53042-55CB-4CCB-8A7C-6FE8159A1523}"/>
    <hyperlink ref="B44" location="'田方郡函南町'!a1" display="田方郡函南町" xr:uid="{E57715D5-2F08-48CF-9376-2B6BF1C5B87F}"/>
    <hyperlink ref="B45" location="'駿東郡清水町'!a1" display="駿東郡清水町" xr:uid="{0DBC1599-ED34-46C4-ABCB-22A8C7BCEBB0}"/>
    <hyperlink ref="B46" location="'駿東郡長泉町'!a1" display="駿東郡長泉町" xr:uid="{C204FE30-C764-4A3E-B51B-C8BF1BE0F3D3}"/>
    <hyperlink ref="B47" location="'駿東郡小山町'!a1" display="駿東郡小山町" xr:uid="{ED5C062A-1ABB-4F02-9F85-06E1C595DCCD}"/>
    <hyperlink ref="B48" location="'榛原郡吉田町'!a1" display="榛原郡吉田町" xr:uid="{39C6BD9A-D70C-436E-91EB-976B487C2CE2}"/>
    <hyperlink ref="B49" location="'榛原郡川根本町'!a1" display="榛原郡川根本町" xr:uid="{5FF83463-A85C-4A2F-A408-2A38BCDB1E16}"/>
    <hyperlink ref="B50" location="'周智郡森町'!a1" display="周智郡森町" xr:uid="{A2B8A417-3717-4E1F-9DBF-3DFE383BB8B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D8B08-1503-46FA-AC71-7594016821B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199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7</v>
      </c>
      <c r="D5" s="8">
        <v>0.04</v>
      </c>
      <c r="E5" s="12">
        <v>0</v>
      </c>
      <c r="F5" s="8">
        <v>0</v>
      </c>
      <c r="G5" s="12">
        <v>7</v>
      </c>
      <c r="H5" s="8">
        <v>7.0000000000000007E-2</v>
      </c>
      <c r="I5" s="12">
        <v>0</v>
      </c>
    </row>
    <row r="6" spans="2:9" ht="15" customHeight="1" x14ac:dyDescent="0.2">
      <c r="B6" t="s">
        <v>47</v>
      </c>
      <c r="C6" s="12">
        <v>2860</v>
      </c>
      <c r="D6" s="8">
        <v>14.37</v>
      </c>
      <c r="E6" s="12">
        <v>768</v>
      </c>
      <c r="F6" s="8">
        <v>8.36</v>
      </c>
      <c r="G6" s="12">
        <v>2091</v>
      </c>
      <c r="H6" s="8">
        <v>19.62</v>
      </c>
      <c r="I6" s="12">
        <v>1</v>
      </c>
    </row>
    <row r="7" spans="2:9" ht="15" customHeight="1" x14ac:dyDescent="0.2">
      <c r="B7" t="s">
        <v>48</v>
      </c>
      <c r="C7" s="12">
        <v>2501</v>
      </c>
      <c r="D7" s="8">
        <v>12.56</v>
      </c>
      <c r="E7" s="12">
        <v>755</v>
      </c>
      <c r="F7" s="8">
        <v>8.2200000000000006</v>
      </c>
      <c r="G7" s="12">
        <v>1738</v>
      </c>
      <c r="H7" s="8">
        <v>16.309999999999999</v>
      </c>
      <c r="I7" s="12">
        <v>8</v>
      </c>
    </row>
    <row r="8" spans="2:9" ht="15" customHeight="1" x14ac:dyDescent="0.2">
      <c r="B8" t="s">
        <v>49</v>
      </c>
      <c r="C8" s="12">
        <v>67</v>
      </c>
      <c r="D8" s="8">
        <v>0.34</v>
      </c>
      <c r="E8" s="12">
        <v>0</v>
      </c>
      <c r="F8" s="8">
        <v>0</v>
      </c>
      <c r="G8" s="12">
        <v>66</v>
      </c>
      <c r="H8" s="8">
        <v>0.62</v>
      </c>
      <c r="I8" s="12">
        <v>0</v>
      </c>
    </row>
    <row r="9" spans="2:9" ht="15" customHeight="1" x14ac:dyDescent="0.2">
      <c r="B9" t="s">
        <v>50</v>
      </c>
      <c r="C9" s="12">
        <v>210</v>
      </c>
      <c r="D9" s="8">
        <v>1.05</v>
      </c>
      <c r="E9" s="12">
        <v>13</v>
      </c>
      <c r="F9" s="8">
        <v>0.14000000000000001</v>
      </c>
      <c r="G9" s="12">
        <v>197</v>
      </c>
      <c r="H9" s="8">
        <v>1.85</v>
      </c>
      <c r="I9" s="12">
        <v>0</v>
      </c>
    </row>
    <row r="10" spans="2:9" ht="15" customHeight="1" x14ac:dyDescent="0.2">
      <c r="B10" t="s">
        <v>51</v>
      </c>
      <c r="C10" s="12">
        <v>178</v>
      </c>
      <c r="D10" s="8">
        <v>0.89</v>
      </c>
      <c r="E10" s="12">
        <v>32</v>
      </c>
      <c r="F10" s="8">
        <v>0.35</v>
      </c>
      <c r="G10" s="12">
        <v>143</v>
      </c>
      <c r="H10" s="8">
        <v>1.34</v>
      </c>
      <c r="I10" s="12">
        <v>3</v>
      </c>
    </row>
    <row r="11" spans="2:9" ht="15" customHeight="1" x14ac:dyDescent="0.2">
      <c r="B11" t="s">
        <v>52</v>
      </c>
      <c r="C11" s="12">
        <v>4382</v>
      </c>
      <c r="D11" s="8">
        <v>22.01</v>
      </c>
      <c r="E11" s="12">
        <v>1755</v>
      </c>
      <c r="F11" s="8">
        <v>19.11</v>
      </c>
      <c r="G11" s="12">
        <v>2623</v>
      </c>
      <c r="H11" s="8">
        <v>24.62</v>
      </c>
      <c r="I11" s="12">
        <v>4</v>
      </c>
    </row>
    <row r="12" spans="2:9" ht="15" customHeight="1" x14ac:dyDescent="0.2">
      <c r="B12" t="s">
        <v>53</v>
      </c>
      <c r="C12" s="12">
        <v>136</v>
      </c>
      <c r="D12" s="8">
        <v>0.68</v>
      </c>
      <c r="E12" s="12">
        <v>18</v>
      </c>
      <c r="F12" s="8">
        <v>0.2</v>
      </c>
      <c r="G12" s="12">
        <v>118</v>
      </c>
      <c r="H12" s="8">
        <v>1.1100000000000001</v>
      </c>
      <c r="I12" s="12">
        <v>0</v>
      </c>
    </row>
    <row r="13" spans="2:9" ht="15" customHeight="1" x14ac:dyDescent="0.2">
      <c r="B13" t="s">
        <v>54</v>
      </c>
      <c r="C13" s="12">
        <v>1933</v>
      </c>
      <c r="D13" s="8">
        <v>9.7100000000000009</v>
      </c>
      <c r="E13" s="12">
        <v>611</v>
      </c>
      <c r="F13" s="8">
        <v>6.65</v>
      </c>
      <c r="G13" s="12">
        <v>1321</v>
      </c>
      <c r="H13" s="8">
        <v>12.4</v>
      </c>
      <c r="I13" s="12">
        <v>1</v>
      </c>
    </row>
    <row r="14" spans="2:9" ht="15" customHeight="1" x14ac:dyDescent="0.2">
      <c r="B14" t="s">
        <v>55</v>
      </c>
      <c r="C14" s="12">
        <v>1207</v>
      </c>
      <c r="D14" s="8">
        <v>6.06</v>
      </c>
      <c r="E14" s="12">
        <v>634</v>
      </c>
      <c r="F14" s="8">
        <v>6.9</v>
      </c>
      <c r="G14" s="12">
        <v>567</v>
      </c>
      <c r="H14" s="8">
        <v>5.32</v>
      </c>
      <c r="I14" s="12">
        <v>0</v>
      </c>
    </row>
    <row r="15" spans="2:9" ht="15" customHeight="1" x14ac:dyDescent="0.2">
      <c r="B15" t="s">
        <v>56</v>
      </c>
      <c r="C15" s="12">
        <v>1913</v>
      </c>
      <c r="D15" s="8">
        <v>9.61</v>
      </c>
      <c r="E15" s="12">
        <v>1495</v>
      </c>
      <c r="F15" s="8">
        <v>16.27</v>
      </c>
      <c r="G15" s="12">
        <v>412</v>
      </c>
      <c r="H15" s="8">
        <v>3.87</v>
      </c>
      <c r="I15" s="12">
        <v>1</v>
      </c>
    </row>
    <row r="16" spans="2:9" ht="15" customHeight="1" x14ac:dyDescent="0.2">
      <c r="B16" t="s">
        <v>57</v>
      </c>
      <c r="C16" s="12">
        <v>2330</v>
      </c>
      <c r="D16" s="8">
        <v>11.7</v>
      </c>
      <c r="E16" s="12">
        <v>1831</v>
      </c>
      <c r="F16" s="8">
        <v>19.93</v>
      </c>
      <c r="G16" s="12">
        <v>495</v>
      </c>
      <c r="H16" s="8">
        <v>4.6500000000000004</v>
      </c>
      <c r="I16" s="12">
        <v>1</v>
      </c>
    </row>
    <row r="17" spans="2:9" ht="15" customHeight="1" x14ac:dyDescent="0.2">
      <c r="B17" t="s">
        <v>58</v>
      </c>
      <c r="C17" s="12">
        <v>734</v>
      </c>
      <c r="D17" s="8">
        <v>3.69</v>
      </c>
      <c r="E17" s="12">
        <v>545</v>
      </c>
      <c r="F17" s="8">
        <v>5.93</v>
      </c>
      <c r="G17" s="12">
        <v>173</v>
      </c>
      <c r="H17" s="8">
        <v>1.62</v>
      </c>
      <c r="I17" s="12">
        <v>3</v>
      </c>
    </row>
    <row r="18" spans="2:9" ht="15" customHeight="1" x14ac:dyDescent="0.2">
      <c r="B18" t="s">
        <v>59</v>
      </c>
      <c r="C18" s="12">
        <v>818</v>
      </c>
      <c r="D18" s="8">
        <v>4.1100000000000003</v>
      </c>
      <c r="E18" s="12">
        <v>515</v>
      </c>
      <c r="F18" s="8">
        <v>5.61</v>
      </c>
      <c r="G18" s="12">
        <v>295</v>
      </c>
      <c r="H18" s="8">
        <v>2.77</v>
      </c>
      <c r="I18" s="12">
        <v>0</v>
      </c>
    </row>
    <row r="19" spans="2:9" ht="15" customHeight="1" x14ac:dyDescent="0.2">
      <c r="B19" t="s">
        <v>60</v>
      </c>
      <c r="C19" s="12">
        <v>633</v>
      </c>
      <c r="D19" s="8">
        <v>3.18</v>
      </c>
      <c r="E19" s="12">
        <v>214</v>
      </c>
      <c r="F19" s="8">
        <v>2.33</v>
      </c>
      <c r="G19" s="12">
        <v>410</v>
      </c>
      <c r="H19" s="8">
        <v>3.85</v>
      </c>
      <c r="I19" s="12">
        <v>2</v>
      </c>
    </row>
    <row r="20" spans="2:9" ht="15" customHeight="1" x14ac:dyDescent="0.2">
      <c r="B20" s="9" t="s">
        <v>191</v>
      </c>
      <c r="C20" s="12">
        <f>SUM(LTBL_22130[総数／事業所数])</f>
        <v>19909</v>
      </c>
      <c r="E20" s="12">
        <f>SUBTOTAL(109,LTBL_22130[個人／事業所数])</f>
        <v>9186</v>
      </c>
      <c r="G20" s="12">
        <f>SUBTOTAL(109,LTBL_22130[法人／事業所数])</f>
        <v>10656</v>
      </c>
      <c r="I20" s="12">
        <f>SUBTOTAL(109,LTBL_22130[法人以外の団体／事業所数])</f>
        <v>24</v>
      </c>
    </row>
    <row r="21" spans="2:9" ht="15" customHeight="1" x14ac:dyDescent="0.2">
      <c r="E21" s="11">
        <f>LTBL_22130[[#Totals],[個人／事業所数]]/LTBL_22130[[#Totals],[総数／事業所数]]</f>
        <v>0.46139936712039781</v>
      </c>
      <c r="G21" s="11">
        <f>LTBL_22130[[#Totals],[法人／事業所数]]/LTBL_22130[[#Totals],[総数／事業所数]]</f>
        <v>0.53523532070922697</v>
      </c>
      <c r="I21" s="11">
        <f>LTBL_22130[[#Totals],[法人以外の団体／事業所数]]/LTBL_22130[[#Totals],[総数／事業所数]]</f>
        <v>1.205484956552313E-3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1970</v>
      </c>
      <c r="D24" s="8">
        <v>9.9</v>
      </c>
      <c r="E24" s="12">
        <v>1683</v>
      </c>
      <c r="F24" s="8">
        <v>18.32</v>
      </c>
      <c r="G24" s="12">
        <v>286</v>
      </c>
      <c r="H24" s="8">
        <v>2.68</v>
      </c>
      <c r="I24" s="12">
        <v>1</v>
      </c>
    </row>
    <row r="25" spans="2:9" ht="15" customHeight="1" x14ac:dyDescent="0.2">
      <c r="B25" t="s">
        <v>84</v>
      </c>
      <c r="C25" s="12">
        <v>1757</v>
      </c>
      <c r="D25" s="8">
        <v>8.83</v>
      </c>
      <c r="E25" s="12">
        <v>1437</v>
      </c>
      <c r="F25" s="8">
        <v>15.64</v>
      </c>
      <c r="G25" s="12">
        <v>319</v>
      </c>
      <c r="H25" s="8">
        <v>2.99</v>
      </c>
      <c r="I25" s="12">
        <v>1</v>
      </c>
    </row>
    <row r="26" spans="2:9" ht="15" customHeight="1" x14ac:dyDescent="0.2">
      <c r="B26" t="s">
        <v>81</v>
      </c>
      <c r="C26" s="12">
        <v>1590</v>
      </c>
      <c r="D26" s="8">
        <v>7.99</v>
      </c>
      <c r="E26" s="12">
        <v>558</v>
      </c>
      <c r="F26" s="8">
        <v>6.07</v>
      </c>
      <c r="G26" s="12">
        <v>1031</v>
      </c>
      <c r="H26" s="8">
        <v>9.68</v>
      </c>
      <c r="I26" s="12">
        <v>1</v>
      </c>
    </row>
    <row r="27" spans="2:9" ht="15" customHeight="1" x14ac:dyDescent="0.2">
      <c r="B27" t="s">
        <v>69</v>
      </c>
      <c r="C27" s="12">
        <v>1152</v>
      </c>
      <c r="D27" s="8">
        <v>5.79</v>
      </c>
      <c r="E27" s="12">
        <v>292</v>
      </c>
      <c r="F27" s="8">
        <v>3.18</v>
      </c>
      <c r="G27" s="12">
        <v>860</v>
      </c>
      <c r="H27" s="8">
        <v>8.07</v>
      </c>
      <c r="I27" s="12">
        <v>0</v>
      </c>
    </row>
    <row r="28" spans="2:9" ht="15" customHeight="1" x14ac:dyDescent="0.2">
      <c r="B28" t="s">
        <v>79</v>
      </c>
      <c r="C28" s="12">
        <v>1080</v>
      </c>
      <c r="D28" s="8">
        <v>5.42</v>
      </c>
      <c r="E28" s="12">
        <v>490</v>
      </c>
      <c r="F28" s="8">
        <v>5.33</v>
      </c>
      <c r="G28" s="12">
        <v>590</v>
      </c>
      <c r="H28" s="8">
        <v>5.54</v>
      </c>
      <c r="I28" s="12">
        <v>0</v>
      </c>
    </row>
    <row r="29" spans="2:9" ht="15" customHeight="1" x14ac:dyDescent="0.2">
      <c r="B29" t="s">
        <v>70</v>
      </c>
      <c r="C29" s="12">
        <v>973</v>
      </c>
      <c r="D29" s="8">
        <v>4.8899999999999997</v>
      </c>
      <c r="E29" s="12">
        <v>341</v>
      </c>
      <c r="F29" s="8">
        <v>3.71</v>
      </c>
      <c r="G29" s="12">
        <v>632</v>
      </c>
      <c r="H29" s="8">
        <v>5.93</v>
      </c>
      <c r="I29" s="12">
        <v>0</v>
      </c>
    </row>
    <row r="30" spans="2:9" ht="15" customHeight="1" x14ac:dyDescent="0.2">
      <c r="B30" t="s">
        <v>71</v>
      </c>
      <c r="C30" s="12">
        <v>735</v>
      </c>
      <c r="D30" s="8">
        <v>3.69</v>
      </c>
      <c r="E30" s="12">
        <v>135</v>
      </c>
      <c r="F30" s="8">
        <v>1.47</v>
      </c>
      <c r="G30" s="12">
        <v>599</v>
      </c>
      <c r="H30" s="8">
        <v>5.62</v>
      </c>
      <c r="I30" s="12">
        <v>1</v>
      </c>
    </row>
    <row r="31" spans="2:9" ht="15" customHeight="1" x14ac:dyDescent="0.2">
      <c r="B31" t="s">
        <v>86</v>
      </c>
      <c r="C31" s="12">
        <v>734</v>
      </c>
      <c r="D31" s="8">
        <v>3.69</v>
      </c>
      <c r="E31" s="12">
        <v>545</v>
      </c>
      <c r="F31" s="8">
        <v>5.93</v>
      </c>
      <c r="G31" s="12">
        <v>173</v>
      </c>
      <c r="H31" s="8">
        <v>1.62</v>
      </c>
      <c r="I31" s="12">
        <v>3</v>
      </c>
    </row>
    <row r="32" spans="2:9" ht="15" customHeight="1" x14ac:dyDescent="0.2">
      <c r="B32" t="s">
        <v>77</v>
      </c>
      <c r="C32" s="12">
        <v>716</v>
      </c>
      <c r="D32" s="8">
        <v>3.6</v>
      </c>
      <c r="E32" s="12">
        <v>476</v>
      </c>
      <c r="F32" s="8">
        <v>5.18</v>
      </c>
      <c r="G32" s="12">
        <v>237</v>
      </c>
      <c r="H32" s="8">
        <v>2.2200000000000002</v>
      </c>
      <c r="I32" s="12">
        <v>3</v>
      </c>
    </row>
    <row r="33" spans="2:9" ht="15" customHeight="1" x14ac:dyDescent="0.2">
      <c r="B33" t="s">
        <v>82</v>
      </c>
      <c r="C33" s="12">
        <v>703</v>
      </c>
      <c r="D33" s="8">
        <v>3.53</v>
      </c>
      <c r="E33" s="12">
        <v>441</v>
      </c>
      <c r="F33" s="8">
        <v>4.8</v>
      </c>
      <c r="G33" s="12">
        <v>262</v>
      </c>
      <c r="H33" s="8">
        <v>2.46</v>
      </c>
      <c r="I33" s="12">
        <v>0</v>
      </c>
    </row>
    <row r="34" spans="2:9" ht="15" customHeight="1" x14ac:dyDescent="0.2">
      <c r="B34" t="s">
        <v>78</v>
      </c>
      <c r="C34" s="12">
        <v>701</v>
      </c>
      <c r="D34" s="8">
        <v>3.52</v>
      </c>
      <c r="E34" s="12">
        <v>357</v>
      </c>
      <c r="F34" s="8">
        <v>3.89</v>
      </c>
      <c r="G34" s="12">
        <v>344</v>
      </c>
      <c r="H34" s="8">
        <v>3.23</v>
      </c>
      <c r="I34" s="12">
        <v>0</v>
      </c>
    </row>
    <row r="35" spans="2:9" ht="15" customHeight="1" x14ac:dyDescent="0.2">
      <c r="B35" t="s">
        <v>87</v>
      </c>
      <c r="C35" s="12">
        <v>615</v>
      </c>
      <c r="D35" s="8">
        <v>3.09</v>
      </c>
      <c r="E35" s="12">
        <v>510</v>
      </c>
      <c r="F35" s="8">
        <v>5.55</v>
      </c>
      <c r="G35" s="12">
        <v>104</v>
      </c>
      <c r="H35" s="8">
        <v>0.98</v>
      </c>
      <c r="I35" s="12">
        <v>0</v>
      </c>
    </row>
    <row r="36" spans="2:9" ht="15" customHeight="1" x14ac:dyDescent="0.2">
      <c r="B36" t="s">
        <v>76</v>
      </c>
      <c r="C36" s="12">
        <v>517</v>
      </c>
      <c r="D36" s="8">
        <v>2.6</v>
      </c>
      <c r="E36" s="12">
        <v>225</v>
      </c>
      <c r="F36" s="8">
        <v>2.4500000000000002</v>
      </c>
      <c r="G36" s="12">
        <v>292</v>
      </c>
      <c r="H36" s="8">
        <v>2.74</v>
      </c>
      <c r="I36" s="12">
        <v>0</v>
      </c>
    </row>
    <row r="37" spans="2:9" ht="15" customHeight="1" x14ac:dyDescent="0.2">
      <c r="B37" t="s">
        <v>83</v>
      </c>
      <c r="C37" s="12">
        <v>434</v>
      </c>
      <c r="D37" s="8">
        <v>2.1800000000000002</v>
      </c>
      <c r="E37" s="12">
        <v>190</v>
      </c>
      <c r="F37" s="8">
        <v>2.0699999999999998</v>
      </c>
      <c r="G37" s="12">
        <v>240</v>
      </c>
      <c r="H37" s="8">
        <v>2.25</v>
      </c>
      <c r="I37" s="12">
        <v>0</v>
      </c>
    </row>
    <row r="38" spans="2:9" ht="15" customHeight="1" x14ac:dyDescent="0.2">
      <c r="B38" t="s">
        <v>75</v>
      </c>
      <c r="C38" s="12">
        <v>378</v>
      </c>
      <c r="D38" s="8">
        <v>1.9</v>
      </c>
      <c r="E38" s="12">
        <v>25</v>
      </c>
      <c r="F38" s="8">
        <v>0.27</v>
      </c>
      <c r="G38" s="12">
        <v>353</v>
      </c>
      <c r="H38" s="8">
        <v>3.31</v>
      </c>
      <c r="I38" s="12">
        <v>0</v>
      </c>
    </row>
    <row r="39" spans="2:9" ht="15" customHeight="1" x14ac:dyDescent="0.2">
      <c r="B39" t="s">
        <v>73</v>
      </c>
      <c r="C39" s="12">
        <v>359</v>
      </c>
      <c r="D39" s="8">
        <v>1.8</v>
      </c>
      <c r="E39" s="12">
        <v>95</v>
      </c>
      <c r="F39" s="8">
        <v>1.03</v>
      </c>
      <c r="G39" s="12">
        <v>264</v>
      </c>
      <c r="H39" s="8">
        <v>2.48</v>
      </c>
      <c r="I39" s="12">
        <v>0</v>
      </c>
    </row>
    <row r="40" spans="2:9" ht="15" customHeight="1" x14ac:dyDescent="0.2">
      <c r="B40" t="s">
        <v>94</v>
      </c>
      <c r="C40" s="12">
        <v>303</v>
      </c>
      <c r="D40" s="8">
        <v>1.52</v>
      </c>
      <c r="E40" s="12">
        <v>77</v>
      </c>
      <c r="F40" s="8">
        <v>0.84</v>
      </c>
      <c r="G40" s="12">
        <v>226</v>
      </c>
      <c r="H40" s="8">
        <v>2.12</v>
      </c>
      <c r="I40" s="12">
        <v>0</v>
      </c>
    </row>
    <row r="41" spans="2:9" ht="15" customHeight="1" x14ac:dyDescent="0.2">
      <c r="B41" t="s">
        <v>72</v>
      </c>
      <c r="C41" s="12">
        <v>295</v>
      </c>
      <c r="D41" s="8">
        <v>1.48</v>
      </c>
      <c r="E41" s="12">
        <v>96</v>
      </c>
      <c r="F41" s="8">
        <v>1.05</v>
      </c>
      <c r="G41" s="12">
        <v>199</v>
      </c>
      <c r="H41" s="8">
        <v>1.87</v>
      </c>
      <c r="I41" s="12">
        <v>0</v>
      </c>
    </row>
    <row r="42" spans="2:9" ht="15" customHeight="1" x14ac:dyDescent="0.2">
      <c r="B42" t="s">
        <v>89</v>
      </c>
      <c r="C42" s="12">
        <v>294</v>
      </c>
      <c r="D42" s="8">
        <v>1.48</v>
      </c>
      <c r="E42" s="12">
        <v>54</v>
      </c>
      <c r="F42" s="8">
        <v>0.59</v>
      </c>
      <c r="G42" s="12">
        <v>239</v>
      </c>
      <c r="H42" s="8">
        <v>2.2400000000000002</v>
      </c>
      <c r="I42" s="12">
        <v>1</v>
      </c>
    </row>
    <row r="43" spans="2:9" ht="15" customHeight="1" x14ac:dyDescent="0.2">
      <c r="B43" t="s">
        <v>74</v>
      </c>
      <c r="C43" s="12">
        <v>277</v>
      </c>
      <c r="D43" s="8">
        <v>1.39</v>
      </c>
      <c r="E43" s="12">
        <v>43</v>
      </c>
      <c r="F43" s="8">
        <v>0.47</v>
      </c>
      <c r="G43" s="12">
        <v>234</v>
      </c>
      <c r="H43" s="8">
        <v>2.2000000000000002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1022</v>
      </c>
      <c r="D47" s="8">
        <v>5.13</v>
      </c>
      <c r="E47" s="12">
        <v>918</v>
      </c>
      <c r="F47" s="8">
        <v>9.99</v>
      </c>
      <c r="G47" s="12">
        <v>103</v>
      </c>
      <c r="H47" s="8">
        <v>0.97</v>
      </c>
      <c r="I47" s="12">
        <v>1</v>
      </c>
    </row>
    <row r="48" spans="2:9" ht="15" customHeight="1" x14ac:dyDescent="0.2">
      <c r="B48" t="s">
        <v>126</v>
      </c>
      <c r="C48" s="12">
        <v>913</v>
      </c>
      <c r="D48" s="8">
        <v>4.59</v>
      </c>
      <c r="E48" s="12">
        <v>431</v>
      </c>
      <c r="F48" s="8">
        <v>4.6900000000000004</v>
      </c>
      <c r="G48" s="12">
        <v>482</v>
      </c>
      <c r="H48" s="8">
        <v>4.5199999999999996</v>
      </c>
      <c r="I48" s="12">
        <v>0</v>
      </c>
    </row>
    <row r="49" spans="2:9" ht="15" customHeight="1" x14ac:dyDescent="0.2">
      <c r="B49" t="s">
        <v>131</v>
      </c>
      <c r="C49" s="12">
        <v>547</v>
      </c>
      <c r="D49" s="8">
        <v>2.75</v>
      </c>
      <c r="E49" s="12">
        <v>506</v>
      </c>
      <c r="F49" s="8">
        <v>5.51</v>
      </c>
      <c r="G49" s="12">
        <v>41</v>
      </c>
      <c r="H49" s="8">
        <v>0.38</v>
      </c>
      <c r="I49" s="12">
        <v>0</v>
      </c>
    </row>
    <row r="50" spans="2:9" ht="15" customHeight="1" x14ac:dyDescent="0.2">
      <c r="B50" t="s">
        <v>133</v>
      </c>
      <c r="C50" s="12">
        <v>479</v>
      </c>
      <c r="D50" s="8">
        <v>2.41</v>
      </c>
      <c r="E50" s="12">
        <v>388</v>
      </c>
      <c r="F50" s="8">
        <v>4.22</v>
      </c>
      <c r="G50" s="12">
        <v>91</v>
      </c>
      <c r="H50" s="8">
        <v>0.85</v>
      </c>
      <c r="I50" s="12">
        <v>0</v>
      </c>
    </row>
    <row r="51" spans="2:9" ht="15" customHeight="1" x14ac:dyDescent="0.2">
      <c r="B51" t="s">
        <v>128</v>
      </c>
      <c r="C51" s="12">
        <v>477</v>
      </c>
      <c r="D51" s="8">
        <v>2.4</v>
      </c>
      <c r="E51" s="12">
        <v>367</v>
      </c>
      <c r="F51" s="8">
        <v>4</v>
      </c>
      <c r="G51" s="12">
        <v>109</v>
      </c>
      <c r="H51" s="8">
        <v>1.02</v>
      </c>
      <c r="I51" s="12">
        <v>1</v>
      </c>
    </row>
    <row r="52" spans="2:9" ht="15" customHeight="1" x14ac:dyDescent="0.2">
      <c r="B52" t="s">
        <v>134</v>
      </c>
      <c r="C52" s="12">
        <v>447</v>
      </c>
      <c r="D52" s="8">
        <v>2.25</v>
      </c>
      <c r="E52" s="12">
        <v>371</v>
      </c>
      <c r="F52" s="8">
        <v>4.04</v>
      </c>
      <c r="G52" s="12">
        <v>76</v>
      </c>
      <c r="H52" s="8">
        <v>0.71</v>
      </c>
      <c r="I52" s="12">
        <v>0</v>
      </c>
    </row>
    <row r="53" spans="2:9" ht="15" customHeight="1" x14ac:dyDescent="0.2">
      <c r="B53" t="s">
        <v>122</v>
      </c>
      <c r="C53" s="12">
        <v>436</v>
      </c>
      <c r="D53" s="8">
        <v>2.19</v>
      </c>
      <c r="E53" s="12">
        <v>217</v>
      </c>
      <c r="F53" s="8">
        <v>2.36</v>
      </c>
      <c r="G53" s="12">
        <v>219</v>
      </c>
      <c r="H53" s="8">
        <v>2.06</v>
      </c>
      <c r="I53" s="12">
        <v>0</v>
      </c>
    </row>
    <row r="54" spans="2:9" ht="15" customHeight="1" x14ac:dyDescent="0.2">
      <c r="B54" t="s">
        <v>125</v>
      </c>
      <c r="C54" s="12">
        <v>397</v>
      </c>
      <c r="D54" s="8">
        <v>1.99</v>
      </c>
      <c r="E54" s="12">
        <v>47</v>
      </c>
      <c r="F54" s="8">
        <v>0.51</v>
      </c>
      <c r="G54" s="12">
        <v>350</v>
      </c>
      <c r="H54" s="8">
        <v>3.28</v>
      </c>
      <c r="I54" s="12">
        <v>0</v>
      </c>
    </row>
    <row r="55" spans="2:9" ht="15" customHeight="1" x14ac:dyDescent="0.2">
      <c r="B55" t="s">
        <v>130</v>
      </c>
      <c r="C55" s="12">
        <v>382</v>
      </c>
      <c r="D55" s="8">
        <v>1.92</v>
      </c>
      <c r="E55" s="12">
        <v>326</v>
      </c>
      <c r="F55" s="8">
        <v>3.55</v>
      </c>
      <c r="G55" s="12">
        <v>56</v>
      </c>
      <c r="H55" s="8">
        <v>0.53</v>
      </c>
      <c r="I55" s="12">
        <v>0</v>
      </c>
    </row>
    <row r="56" spans="2:9" ht="15" customHeight="1" x14ac:dyDescent="0.2">
      <c r="B56" t="s">
        <v>118</v>
      </c>
      <c r="C56" s="12">
        <v>356</v>
      </c>
      <c r="D56" s="8">
        <v>1.79</v>
      </c>
      <c r="E56" s="12">
        <v>153</v>
      </c>
      <c r="F56" s="8">
        <v>1.67</v>
      </c>
      <c r="G56" s="12">
        <v>203</v>
      </c>
      <c r="H56" s="8">
        <v>1.91</v>
      </c>
      <c r="I56" s="12">
        <v>0</v>
      </c>
    </row>
    <row r="57" spans="2:9" ht="15" customHeight="1" x14ac:dyDescent="0.2">
      <c r="B57" t="s">
        <v>129</v>
      </c>
      <c r="C57" s="12">
        <v>354</v>
      </c>
      <c r="D57" s="8">
        <v>1.78</v>
      </c>
      <c r="E57" s="12">
        <v>303</v>
      </c>
      <c r="F57" s="8">
        <v>3.3</v>
      </c>
      <c r="G57" s="12">
        <v>51</v>
      </c>
      <c r="H57" s="8">
        <v>0.48</v>
      </c>
      <c r="I57" s="12">
        <v>0</v>
      </c>
    </row>
    <row r="58" spans="2:9" ht="15" customHeight="1" x14ac:dyDescent="0.2">
      <c r="B58" t="s">
        <v>119</v>
      </c>
      <c r="C58" s="12">
        <v>331</v>
      </c>
      <c r="D58" s="8">
        <v>1.66</v>
      </c>
      <c r="E58" s="12">
        <v>71</v>
      </c>
      <c r="F58" s="8">
        <v>0.77</v>
      </c>
      <c r="G58" s="12">
        <v>260</v>
      </c>
      <c r="H58" s="8">
        <v>2.44</v>
      </c>
      <c r="I58" s="12">
        <v>0</v>
      </c>
    </row>
    <row r="59" spans="2:9" ht="15" customHeight="1" x14ac:dyDescent="0.2">
      <c r="B59" t="s">
        <v>124</v>
      </c>
      <c r="C59" s="12">
        <v>308</v>
      </c>
      <c r="D59" s="8">
        <v>1.55</v>
      </c>
      <c r="E59" s="12">
        <v>151</v>
      </c>
      <c r="F59" s="8">
        <v>1.64</v>
      </c>
      <c r="G59" s="12">
        <v>157</v>
      </c>
      <c r="H59" s="8">
        <v>1.47</v>
      </c>
      <c r="I59" s="12">
        <v>0</v>
      </c>
    </row>
    <row r="60" spans="2:9" ht="15" customHeight="1" x14ac:dyDescent="0.2">
      <c r="B60" t="s">
        <v>120</v>
      </c>
      <c r="C60" s="12">
        <v>283</v>
      </c>
      <c r="D60" s="8">
        <v>1.42</v>
      </c>
      <c r="E60" s="12">
        <v>53</v>
      </c>
      <c r="F60" s="8">
        <v>0.57999999999999996</v>
      </c>
      <c r="G60" s="12">
        <v>229</v>
      </c>
      <c r="H60" s="8">
        <v>2.15</v>
      </c>
      <c r="I60" s="12">
        <v>1</v>
      </c>
    </row>
    <row r="61" spans="2:9" ht="15" customHeight="1" x14ac:dyDescent="0.2">
      <c r="B61" t="s">
        <v>116</v>
      </c>
      <c r="C61" s="12">
        <v>282</v>
      </c>
      <c r="D61" s="8">
        <v>1.42</v>
      </c>
      <c r="E61" s="12">
        <v>42</v>
      </c>
      <c r="F61" s="8">
        <v>0.46</v>
      </c>
      <c r="G61" s="12">
        <v>240</v>
      </c>
      <c r="H61" s="8">
        <v>2.25</v>
      </c>
      <c r="I61" s="12">
        <v>0</v>
      </c>
    </row>
    <row r="62" spans="2:9" ht="15" customHeight="1" x14ac:dyDescent="0.2">
      <c r="B62" t="s">
        <v>117</v>
      </c>
      <c r="C62" s="12">
        <v>280</v>
      </c>
      <c r="D62" s="8">
        <v>1.41</v>
      </c>
      <c r="E62" s="12">
        <v>52</v>
      </c>
      <c r="F62" s="8">
        <v>0.56999999999999995</v>
      </c>
      <c r="G62" s="12">
        <v>228</v>
      </c>
      <c r="H62" s="8">
        <v>2.14</v>
      </c>
      <c r="I62" s="12">
        <v>0</v>
      </c>
    </row>
    <row r="63" spans="2:9" ht="15" customHeight="1" x14ac:dyDescent="0.2">
      <c r="B63" t="s">
        <v>121</v>
      </c>
      <c r="C63" s="12">
        <v>280</v>
      </c>
      <c r="D63" s="8">
        <v>1.41</v>
      </c>
      <c r="E63" s="12">
        <v>171</v>
      </c>
      <c r="F63" s="8">
        <v>1.86</v>
      </c>
      <c r="G63" s="12">
        <v>107</v>
      </c>
      <c r="H63" s="8">
        <v>1</v>
      </c>
      <c r="I63" s="12">
        <v>2</v>
      </c>
    </row>
    <row r="64" spans="2:9" ht="15" customHeight="1" x14ac:dyDescent="0.2">
      <c r="B64" t="s">
        <v>145</v>
      </c>
      <c r="C64" s="12">
        <v>272</v>
      </c>
      <c r="D64" s="8">
        <v>1.37</v>
      </c>
      <c r="E64" s="12">
        <v>70</v>
      </c>
      <c r="F64" s="8">
        <v>0.76</v>
      </c>
      <c r="G64" s="12">
        <v>202</v>
      </c>
      <c r="H64" s="8">
        <v>1.9</v>
      </c>
      <c r="I64" s="12">
        <v>0</v>
      </c>
    </row>
    <row r="65" spans="2:9" ht="15" customHeight="1" x14ac:dyDescent="0.2">
      <c r="B65" t="s">
        <v>135</v>
      </c>
      <c r="C65" s="12">
        <v>248</v>
      </c>
      <c r="D65" s="8">
        <v>1.25</v>
      </c>
      <c r="E65" s="12">
        <v>146</v>
      </c>
      <c r="F65" s="8">
        <v>1.59</v>
      </c>
      <c r="G65" s="12">
        <v>102</v>
      </c>
      <c r="H65" s="8">
        <v>0.96</v>
      </c>
      <c r="I65" s="12">
        <v>0</v>
      </c>
    </row>
    <row r="66" spans="2:9" ht="15" customHeight="1" x14ac:dyDescent="0.2">
      <c r="B66" t="s">
        <v>123</v>
      </c>
      <c r="C66" s="12">
        <v>247</v>
      </c>
      <c r="D66" s="8">
        <v>1.24</v>
      </c>
      <c r="E66" s="12">
        <v>98</v>
      </c>
      <c r="F66" s="8">
        <v>1.07</v>
      </c>
      <c r="G66" s="12">
        <v>149</v>
      </c>
      <c r="H66" s="8">
        <v>1.4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25C05-D662-46B3-A0F6-BB966926BC20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200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677</v>
      </c>
      <c r="D6" s="8">
        <v>9.48</v>
      </c>
      <c r="E6" s="12">
        <v>121</v>
      </c>
      <c r="F6" s="8">
        <v>3.8</v>
      </c>
      <c r="G6" s="12">
        <v>556</v>
      </c>
      <c r="H6" s="8">
        <v>14.09</v>
      </c>
      <c r="I6" s="12">
        <v>0</v>
      </c>
    </row>
    <row r="7" spans="2:9" ht="15" customHeight="1" x14ac:dyDescent="0.2">
      <c r="B7" t="s">
        <v>48</v>
      </c>
      <c r="C7" s="12">
        <v>545</v>
      </c>
      <c r="D7" s="8">
        <v>7.63</v>
      </c>
      <c r="E7" s="12">
        <v>133</v>
      </c>
      <c r="F7" s="8">
        <v>4.18</v>
      </c>
      <c r="G7" s="12">
        <v>412</v>
      </c>
      <c r="H7" s="8">
        <v>10.44</v>
      </c>
      <c r="I7" s="12">
        <v>0</v>
      </c>
    </row>
    <row r="8" spans="2:9" ht="15" customHeight="1" x14ac:dyDescent="0.2">
      <c r="B8" t="s">
        <v>49</v>
      </c>
      <c r="C8" s="12">
        <v>16</v>
      </c>
      <c r="D8" s="8">
        <v>0.22</v>
      </c>
      <c r="E8" s="12">
        <v>0</v>
      </c>
      <c r="F8" s="8">
        <v>0</v>
      </c>
      <c r="G8" s="12">
        <v>16</v>
      </c>
      <c r="H8" s="8">
        <v>0.41</v>
      </c>
      <c r="I8" s="12">
        <v>0</v>
      </c>
    </row>
    <row r="9" spans="2:9" ht="15" customHeight="1" x14ac:dyDescent="0.2">
      <c r="B9" t="s">
        <v>50</v>
      </c>
      <c r="C9" s="12">
        <v>108</v>
      </c>
      <c r="D9" s="8">
        <v>1.51</v>
      </c>
      <c r="E9" s="12">
        <v>6</v>
      </c>
      <c r="F9" s="8">
        <v>0.19</v>
      </c>
      <c r="G9" s="12">
        <v>102</v>
      </c>
      <c r="H9" s="8">
        <v>2.58</v>
      </c>
      <c r="I9" s="12">
        <v>0</v>
      </c>
    </row>
    <row r="10" spans="2:9" ht="15" customHeight="1" x14ac:dyDescent="0.2">
      <c r="B10" t="s">
        <v>51</v>
      </c>
      <c r="C10" s="12">
        <v>40</v>
      </c>
      <c r="D10" s="8">
        <v>0.56000000000000005</v>
      </c>
      <c r="E10" s="12">
        <v>8</v>
      </c>
      <c r="F10" s="8">
        <v>0.25</v>
      </c>
      <c r="G10" s="12">
        <v>32</v>
      </c>
      <c r="H10" s="8">
        <v>0.81</v>
      </c>
      <c r="I10" s="12">
        <v>0</v>
      </c>
    </row>
    <row r="11" spans="2:9" ht="15" customHeight="1" x14ac:dyDescent="0.2">
      <c r="B11" t="s">
        <v>52</v>
      </c>
      <c r="C11" s="12">
        <v>1568</v>
      </c>
      <c r="D11" s="8">
        <v>21.96</v>
      </c>
      <c r="E11" s="12">
        <v>564</v>
      </c>
      <c r="F11" s="8">
        <v>17.73</v>
      </c>
      <c r="G11" s="12">
        <v>1003</v>
      </c>
      <c r="H11" s="8">
        <v>25.41</v>
      </c>
      <c r="I11" s="12">
        <v>1</v>
      </c>
    </row>
    <row r="12" spans="2:9" ht="15" customHeight="1" x14ac:dyDescent="0.2">
      <c r="B12" t="s">
        <v>53</v>
      </c>
      <c r="C12" s="12">
        <v>66</v>
      </c>
      <c r="D12" s="8">
        <v>0.92</v>
      </c>
      <c r="E12" s="12">
        <v>5</v>
      </c>
      <c r="F12" s="8">
        <v>0.16</v>
      </c>
      <c r="G12" s="12">
        <v>61</v>
      </c>
      <c r="H12" s="8">
        <v>1.55</v>
      </c>
      <c r="I12" s="12">
        <v>0</v>
      </c>
    </row>
    <row r="13" spans="2:9" ht="15" customHeight="1" x14ac:dyDescent="0.2">
      <c r="B13" t="s">
        <v>54</v>
      </c>
      <c r="C13" s="12">
        <v>906</v>
      </c>
      <c r="D13" s="8">
        <v>12.69</v>
      </c>
      <c r="E13" s="12">
        <v>236</v>
      </c>
      <c r="F13" s="8">
        <v>7.42</v>
      </c>
      <c r="G13" s="12">
        <v>670</v>
      </c>
      <c r="H13" s="8">
        <v>16.97</v>
      </c>
      <c r="I13" s="12">
        <v>0</v>
      </c>
    </row>
    <row r="14" spans="2:9" ht="15" customHeight="1" x14ac:dyDescent="0.2">
      <c r="B14" t="s">
        <v>55</v>
      </c>
      <c r="C14" s="12">
        <v>566</v>
      </c>
      <c r="D14" s="8">
        <v>7.93</v>
      </c>
      <c r="E14" s="12">
        <v>294</v>
      </c>
      <c r="F14" s="8">
        <v>9.24</v>
      </c>
      <c r="G14" s="12">
        <v>270</v>
      </c>
      <c r="H14" s="8">
        <v>6.84</v>
      </c>
      <c r="I14" s="12">
        <v>0</v>
      </c>
    </row>
    <row r="15" spans="2:9" ht="15" customHeight="1" x14ac:dyDescent="0.2">
      <c r="B15" t="s">
        <v>56</v>
      </c>
      <c r="C15" s="12">
        <v>1025</v>
      </c>
      <c r="D15" s="8">
        <v>14.36</v>
      </c>
      <c r="E15" s="12">
        <v>789</v>
      </c>
      <c r="F15" s="8">
        <v>24.8</v>
      </c>
      <c r="G15" s="12">
        <v>236</v>
      </c>
      <c r="H15" s="8">
        <v>5.98</v>
      </c>
      <c r="I15" s="12">
        <v>0</v>
      </c>
    </row>
    <row r="16" spans="2:9" ht="15" customHeight="1" x14ac:dyDescent="0.2">
      <c r="B16" t="s">
        <v>57</v>
      </c>
      <c r="C16" s="12">
        <v>869</v>
      </c>
      <c r="D16" s="8">
        <v>12.17</v>
      </c>
      <c r="E16" s="12">
        <v>638</v>
      </c>
      <c r="F16" s="8">
        <v>20.059999999999999</v>
      </c>
      <c r="G16" s="12">
        <v>230</v>
      </c>
      <c r="H16" s="8">
        <v>5.83</v>
      </c>
      <c r="I16" s="12">
        <v>1</v>
      </c>
    </row>
    <row r="17" spans="2:9" ht="15" customHeight="1" x14ac:dyDescent="0.2">
      <c r="B17" t="s">
        <v>58</v>
      </c>
      <c r="C17" s="12">
        <v>257</v>
      </c>
      <c r="D17" s="8">
        <v>3.6</v>
      </c>
      <c r="E17" s="12">
        <v>167</v>
      </c>
      <c r="F17" s="8">
        <v>5.25</v>
      </c>
      <c r="G17" s="12">
        <v>89</v>
      </c>
      <c r="H17" s="8">
        <v>2.25</v>
      </c>
      <c r="I17" s="12">
        <v>0</v>
      </c>
    </row>
    <row r="18" spans="2:9" ht="15" customHeight="1" x14ac:dyDescent="0.2">
      <c r="B18" t="s">
        <v>59</v>
      </c>
      <c r="C18" s="12">
        <v>289</v>
      </c>
      <c r="D18" s="8">
        <v>4.05</v>
      </c>
      <c r="E18" s="12">
        <v>182</v>
      </c>
      <c r="F18" s="8">
        <v>5.72</v>
      </c>
      <c r="G18" s="12">
        <v>101</v>
      </c>
      <c r="H18" s="8">
        <v>2.56</v>
      </c>
      <c r="I18" s="12">
        <v>0</v>
      </c>
    </row>
    <row r="19" spans="2:9" ht="15" customHeight="1" x14ac:dyDescent="0.2">
      <c r="B19" t="s">
        <v>60</v>
      </c>
      <c r="C19" s="12">
        <v>208</v>
      </c>
      <c r="D19" s="8">
        <v>2.91</v>
      </c>
      <c r="E19" s="12">
        <v>38</v>
      </c>
      <c r="F19" s="8">
        <v>1.19</v>
      </c>
      <c r="G19" s="12">
        <v>169</v>
      </c>
      <c r="H19" s="8">
        <v>4.28</v>
      </c>
      <c r="I19" s="12">
        <v>1</v>
      </c>
    </row>
    <row r="20" spans="2:9" ht="15" customHeight="1" x14ac:dyDescent="0.2">
      <c r="B20" s="9" t="s">
        <v>191</v>
      </c>
      <c r="C20" s="12">
        <f>SUM(LTBL_22131[総数／事業所数])</f>
        <v>7140</v>
      </c>
      <c r="E20" s="12">
        <f>SUBTOTAL(109,LTBL_22131[個人／事業所数])</f>
        <v>3181</v>
      </c>
      <c r="G20" s="12">
        <f>SUBTOTAL(109,LTBL_22131[法人／事業所数])</f>
        <v>3947</v>
      </c>
      <c r="I20" s="12">
        <f>SUBTOTAL(109,LTBL_22131[法人以外の団体／事業所数])</f>
        <v>3</v>
      </c>
    </row>
    <row r="21" spans="2:9" ht="15" customHeight="1" x14ac:dyDescent="0.2">
      <c r="E21" s="11">
        <f>LTBL_22131[[#Totals],[個人／事業所数]]/LTBL_22131[[#Totals],[総数／事業所数]]</f>
        <v>0.44551820728291319</v>
      </c>
      <c r="G21" s="11">
        <f>LTBL_22131[[#Totals],[法人／事業所数]]/LTBL_22131[[#Totals],[総数／事業所数]]</f>
        <v>0.55280112044817931</v>
      </c>
      <c r="I21" s="11">
        <f>LTBL_22131[[#Totals],[法人以外の団体／事業所数]]/LTBL_22131[[#Totals],[総数／事業所数]]</f>
        <v>4.2016806722689078E-4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979</v>
      </c>
      <c r="D24" s="8">
        <v>13.71</v>
      </c>
      <c r="E24" s="12">
        <v>775</v>
      </c>
      <c r="F24" s="8">
        <v>24.36</v>
      </c>
      <c r="G24" s="12">
        <v>204</v>
      </c>
      <c r="H24" s="8">
        <v>5.17</v>
      </c>
      <c r="I24" s="12">
        <v>0</v>
      </c>
    </row>
    <row r="25" spans="2:9" ht="15" customHeight="1" x14ac:dyDescent="0.2">
      <c r="B25" t="s">
        <v>81</v>
      </c>
      <c r="C25" s="12">
        <v>735</v>
      </c>
      <c r="D25" s="8">
        <v>10.29</v>
      </c>
      <c r="E25" s="12">
        <v>212</v>
      </c>
      <c r="F25" s="8">
        <v>6.66</v>
      </c>
      <c r="G25" s="12">
        <v>523</v>
      </c>
      <c r="H25" s="8">
        <v>13.25</v>
      </c>
      <c r="I25" s="12">
        <v>0</v>
      </c>
    </row>
    <row r="26" spans="2:9" ht="15" customHeight="1" x14ac:dyDescent="0.2">
      <c r="B26" t="s">
        <v>85</v>
      </c>
      <c r="C26" s="12">
        <v>720</v>
      </c>
      <c r="D26" s="8">
        <v>10.08</v>
      </c>
      <c r="E26" s="12">
        <v>581</v>
      </c>
      <c r="F26" s="8">
        <v>18.260000000000002</v>
      </c>
      <c r="G26" s="12">
        <v>138</v>
      </c>
      <c r="H26" s="8">
        <v>3.5</v>
      </c>
      <c r="I26" s="12">
        <v>1</v>
      </c>
    </row>
    <row r="27" spans="2:9" ht="15" customHeight="1" x14ac:dyDescent="0.2">
      <c r="B27" t="s">
        <v>79</v>
      </c>
      <c r="C27" s="12">
        <v>400</v>
      </c>
      <c r="D27" s="8">
        <v>5.6</v>
      </c>
      <c r="E27" s="12">
        <v>185</v>
      </c>
      <c r="F27" s="8">
        <v>5.82</v>
      </c>
      <c r="G27" s="12">
        <v>215</v>
      </c>
      <c r="H27" s="8">
        <v>5.45</v>
      </c>
      <c r="I27" s="12">
        <v>0</v>
      </c>
    </row>
    <row r="28" spans="2:9" ht="15" customHeight="1" x14ac:dyDescent="0.2">
      <c r="B28" t="s">
        <v>82</v>
      </c>
      <c r="C28" s="12">
        <v>365</v>
      </c>
      <c r="D28" s="8">
        <v>5.1100000000000003</v>
      </c>
      <c r="E28" s="12">
        <v>223</v>
      </c>
      <c r="F28" s="8">
        <v>7.01</v>
      </c>
      <c r="G28" s="12">
        <v>142</v>
      </c>
      <c r="H28" s="8">
        <v>3.6</v>
      </c>
      <c r="I28" s="12">
        <v>0</v>
      </c>
    </row>
    <row r="29" spans="2:9" ht="15" customHeight="1" x14ac:dyDescent="0.2">
      <c r="B29" t="s">
        <v>69</v>
      </c>
      <c r="C29" s="12">
        <v>276</v>
      </c>
      <c r="D29" s="8">
        <v>3.87</v>
      </c>
      <c r="E29" s="12">
        <v>48</v>
      </c>
      <c r="F29" s="8">
        <v>1.51</v>
      </c>
      <c r="G29" s="12">
        <v>228</v>
      </c>
      <c r="H29" s="8">
        <v>5.78</v>
      </c>
      <c r="I29" s="12">
        <v>0</v>
      </c>
    </row>
    <row r="30" spans="2:9" ht="15" customHeight="1" x14ac:dyDescent="0.2">
      <c r="B30" t="s">
        <v>86</v>
      </c>
      <c r="C30" s="12">
        <v>257</v>
      </c>
      <c r="D30" s="8">
        <v>3.6</v>
      </c>
      <c r="E30" s="12">
        <v>167</v>
      </c>
      <c r="F30" s="8">
        <v>5.25</v>
      </c>
      <c r="G30" s="12">
        <v>89</v>
      </c>
      <c r="H30" s="8">
        <v>2.25</v>
      </c>
      <c r="I30" s="12">
        <v>0</v>
      </c>
    </row>
    <row r="31" spans="2:9" ht="15" customHeight="1" x14ac:dyDescent="0.2">
      <c r="B31" t="s">
        <v>77</v>
      </c>
      <c r="C31" s="12">
        <v>246</v>
      </c>
      <c r="D31" s="8">
        <v>3.45</v>
      </c>
      <c r="E31" s="12">
        <v>155</v>
      </c>
      <c r="F31" s="8">
        <v>4.87</v>
      </c>
      <c r="G31" s="12">
        <v>90</v>
      </c>
      <c r="H31" s="8">
        <v>2.2799999999999998</v>
      </c>
      <c r="I31" s="12">
        <v>1</v>
      </c>
    </row>
    <row r="32" spans="2:9" ht="15" customHeight="1" x14ac:dyDescent="0.2">
      <c r="B32" t="s">
        <v>76</v>
      </c>
      <c r="C32" s="12">
        <v>233</v>
      </c>
      <c r="D32" s="8">
        <v>3.26</v>
      </c>
      <c r="E32" s="12">
        <v>94</v>
      </c>
      <c r="F32" s="8">
        <v>2.96</v>
      </c>
      <c r="G32" s="12">
        <v>139</v>
      </c>
      <c r="H32" s="8">
        <v>3.52</v>
      </c>
      <c r="I32" s="12">
        <v>0</v>
      </c>
    </row>
    <row r="33" spans="2:9" ht="15" customHeight="1" x14ac:dyDescent="0.2">
      <c r="B33" t="s">
        <v>87</v>
      </c>
      <c r="C33" s="12">
        <v>224</v>
      </c>
      <c r="D33" s="8">
        <v>3.14</v>
      </c>
      <c r="E33" s="12">
        <v>182</v>
      </c>
      <c r="F33" s="8">
        <v>5.72</v>
      </c>
      <c r="G33" s="12">
        <v>42</v>
      </c>
      <c r="H33" s="8">
        <v>1.06</v>
      </c>
      <c r="I33" s="12">
        <v>0</v>
      </c>
    </row>
    <row r="34" spans="2:9" ht="15" customHeight="1" x14ac:dyDescent="0.2">
      <c r="B34" t="s">
        <v>70</v>
      </c>
      <c r="C34" s="12">
        <v>209</v>
      </c>
      <c r="D34" s="8">
        <v>2.93</v>
      </c>
      <c r="E34" s="12">
        <v>57</v>
      </c>
      <c r="F34" s="8">
        <v>1.79</v>
      </c>
      <c r="G34" s="12">
        <v>152</v>
      </c>
      <c r="H34" s="8">
        <v>3.85</v>
      </c>
      <c r="I34" s="12">
        <v>0</v>
      </c>
    </row>
    <row r="35" spans="2:9" ht="15" customHeight="1" x14ac:dyDescent="0.2">
      <c r="B35" t="s">
        <v>71</v>
      </c>
      <c r="C35" s="12">
        <v>192</v>
      </c>
      <c r="D35" s="8">
        <v>2.69</v>
      </c>
      <c r="E35" s="12">
        <v>16</v>
      </c>
      <c r="F35" s="8">
        <v>0.5</v>
      </c>
      <c r="G35" s="12">
        <v>176</v>
      </c>
      <c r="H35" s="8">
        <v>4.46</v>
      </c>
      <c r="I35" s="12">
        <v>0</v>
      </c>
    </row>
    <row r="36" spans="2:9" ht="15" customHeight="1" x14ac:dyDescent="0.2">
      <c r="B36" t="s">
        <v>83</v>
      </c>
      <c r="C36" s="12">
        <v>173</v>
      </c>
      <c r="D36" s="8">
        <v>2.42</v>
      </c>
      <c r="E36" s="12">
        <v>71</v>
      </c>
      <c r="F36" s="8">
        <v>2.23</v>
      </c>
      <c r="G36" s="12">
        <v>100</v>
      </c>
      <c r="H36" s="8">
        <v>2.5299999999999998</v>
      </c>
      <c r="I36" s="12">
        <v>0</v>
      </c>
    </row>
    <row r="37" spans="2:9" ht="15" customHeight="1" x14ac:dyDescent="0.2">
      <c r="B37" t="s">
        <v>75</v>
      </c>
      <c r="C37" s="12">
        <v>164</v>
      </c>
      <c r="D37" s="8">
        <v>2.2999999999999998</v>
      </c>
      <c r="E37" s="12">
        <v>6</v>
      </c>
      <c r="F37" s="8">
        <v>0.19</v>
      </c>
      <c r="G37" s="12">
        <v>158</v>
      </c>
      <c r="H37" s="8">
        <v>4</v>
      </c>
      <c r="I37" s="12">
        <v>0</v>
      </c>
    </row>
    <row r="38" spans="2:9" ht="15" customHeight="1" x14ac:dyDescent="0.2">
      <c r="B38" t="s">
        <v>78</v>
      </c>
      <c r="C38" s="12">
        <v>164</v>
      </c>
      <c r="D38" s="8">
        <v>2.2999999999999998</v>
      </c>
      <c r="E38" s="12">
        <v>67</v>
      </c>
      <c r="F38" s="8">
        <v>2.11</v>
      </c>
      <c r="G38" s="12">
        <v>97</v>
      </c>
      <c r="H38" s="8">
        <v>2.46</v>
      </c>
      <c r="I38" s="12">
        <v>0</v>
      </c>
    </row>
    <row r="39" spans="2:9" ht="15" customHeight="1" x14ac:dyDescent="0.2">
      <c r="B39" t="s">
        <v>80</v>
      </c>
      <c r="C39" s="12">
        <v>140</v>
      </c>
      <c r="D39" s="8">
        <v>1.96</v>
      </c>
      <c r="E39" s="12">
        <v>20</v>
      </c>
      <c r="F39" s="8">
        <v>0.63</v>
      </c>
      <c r="G39" s="12">
        <v>120</v>
      </c>
      <c r="H39" s="8">
        <v>3.04</v>
      </c>
      <c r="I39" s="12">
        <v>0</v>
      </c>
    </row>
    <row r="40" spans="2:9" ht="15" customHeight="1" x14ac:dyDescent="0.2">
      <c r="B40" t="s">
        <v>89</v>
      </c>
      <c r="C40" s="12">
        <v>126</v>
      </c>
      <c r="D40" s="8">
        <v>1.76</v>
      </c>
      <c r="E40" s="12">
        <v>20</v>
      </c>
      <c r="F40" s="8">
        <v>0.63</v>
      </c>
      <c r="G40" s="12">
        <v>106</v>
      </c>
      <c r="H40" s="8">
        <v>2.69</v>
      </c>
      <c r="I40" s="12">
        <v>0</v>
      </c>
    </row>
    <row r="41" spans="2:9" ht="15" customHeight="1" x14ac:dyDescent="0.2">
      <c r="B41" t="s">
        <v>95</v>
      </c>
      <c r="C41" s="12">
        <v>102</v>
      </c>
      <c r="D41" s="8">
        <v>1.43</v>
      </c>
      <c r="E41" s="12">
        <v>39</v>
      </c>
      <c r="F41" s="8">
        <v>1.23</v>
      </c>
      <c r="G41" s="12">
        <v>63</v>
      </c>
      <c r="H41" s="8">
        <v>1.6</v>
      </c>
      <c r="I41" s="12">
        <v>0</v>
      </c>
    </row>
    <row r="42" spans="2:9" ht="15" customHeight="1" x14ac:dyDescent="0.2">
      <c r="B42" t="s">
        <v>74</v>
      </c>
      <c r="C42" s="12">
        <v>87</v>
      </c>
      <c r="D42" s="8">
        <v>1.22</v>
      </c>
      <c r="E42" s="12">
        <v>11</v>
      </c>
      <c r="F42" s="8">
        <v>0.35</v>
      </c>
      <c r="G42" s="12">
        <v>76</v>
      </c>
      <c r="H42" s="8">
        <v>1.93</v>
      </c>
      <c r="I42" s="12">
        <v>0</v>
      </c>
    </row>
    <row r="43" spans="2:9" ht="15" customHeight="1" x14ac:dyDescent="0.2">
      <c r="B43" t="s">
        <v>73</v>
      </c>
      <c r="C43" s="12">
        <v>86</v>
      </c>
      <c r="D43" s="8">
        <v>1.2</v>
      </c>
      <c r="E43" s="12">
        <v>26</v>
      </c>
      <c r="F43" s="8">
        <v>0.82</v>
      </c>
      <c r="G43" s="12">
        <v>60</v>
      </c>
      <c r="H43" s="8">
        <v>1.52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383</v>
      </c>
      <c r="D47" s="8">
        <v>5.36</v>
      </c>
      <c r="E47" s="12">
        <v>324</v>
      </c>
      <c r="F47" s="8">
        <v>10.19</v>
      </c>
      <c r="G47" s="12">
        <v>58</v>
      </c>
      <c r="H47" s="8">
        <v>1.47</v>
      </c>
      <c r="I47" s="12">
        <v>1</v>
      </c>
    </row>
    <row r="48" spans="2:9" ht="15" customHeight="1" x14ac:dyDescent="0.2">
      <c r="B48" t="s">
        <v>126</v>
      </c>
      <c r="C48" s="12">
        <v>351</v>
      </c>
      <c r="D48" s="8">
        <v>4.92</v>
      </c>
      <c r="E48" s="12">
        <v>133</v>
      </c>
      <c r="F48" s="8">
        <v>4.18</v>
      </c>
      <c r="G48" s="12">
        <v>218</v>
      </c>
      <c r="H48" s="8">
        <v>5.52</v>
      </c>
      <c r="I48" s="12">
        <v>0</v>
      </c>
    </row>
    <row r="49" spans="2:9" ht="15" customHeight="1" x14ac:dyDescent="0.2">
      <c r="B49" t="s">
        <v>130</v>
      </c>
      <c r="C49" s="12">
        <v>283</v>
      </c>
      <c r="D49" s="8">
        <v>3.96</v>
      </c>
      <c r="E49" s="12">
        <v>235</v>
      </c>
      <c r="F49" s="8">
        <v>7.39</v>
      </c>
      <c r="G49" s="12">
        <v>48</v>
      </c>
      <c r="H49" s="8">
        <v>1.22</v>
      </c>
      <c r="I49" s="12">
        <v>0</v>
      </c>
    </row>
    <row r="50" spans="2:9" ht="15" customHeight="1" x14ac:dyDescent="0.2">
      <c r="B50" t="s">
        <v>128</v>
      </c>
      <c r="C50" s="12">
        <v>235</v>
      </c>
      <c r="D50" s="8">
        <v>3.29</v>
      </c>
      <c r="E50" s="12">
        <v>180</v>
      </c>
      <c r="F50" s="8">
        <v>5.66</v>
      </c>
      <c r="G50" s="12">
        <v>55</v>
      </c>
      <c r="H50" s="8">
        <v>1.39</v>
      </c>
      <c r="I50" s="12">
        <v>0</v>
      </c>
    </row>
    <row r="51" spans="2:9" ht="15" customHeight="1" x14ac:dyDescent="0.2">
      <c r="B51" t="s">
        <v>125</v>
      </c>
      <c r="C51" s="12">
        <v>213</v>
      </c>
      <c r="D51" s="8">
        <v>2.98</v>
      </c>
      <c r="E51" s="12">
        <v>29</v>
      </c>
      <c r="F51" s="8">
        <v>0.91</v>
      </c>
      <c r="G51" s="12">
        <v>184</v>
      </c>
      <c r="H51" s="8">
        <v>4.66</v>
      </c>
      <c r="I51" s="12">
        <v>0</v>
      </c>
    </row>
    <row r="52" spans="2:9" ht="15" customHeight="1" x14ac:dyDescent="0.2">
      <c r="B52" t="s">
        <v>129</v>
      </c>
      <c r="C52" s="12">
        <v>209</v>
      </c>
      <c r="D52" s="8">
        <v>2.93</v>
      </c>
      <c r="E52" s="12">
        <v>169</v>
      </c>
      <c r="F52" s="8">
        <v>5.31</v>
      </c>
      <c r="G52" s="12">
        <v>40</v>
      </c>
      <c r="H52" s="8">
        <v>1.01</v>
      </c>
      <c r="I52" s="12">
        <v>0</v>
      </c>
    </row>
    <row r="53" spans="2:9" ht="15" customHeight="1" x14ac:dyDescent="0.2">
      <c r="B53" t="s">
        <v>131</v>
      </c>
      <c r="C53" s="12">
        <v>175</v>
      </c>
      <c r="D53" s="8">
        <v>2.4500000000000002</v>
      </c>
      <c r="E53" s="12">
        <v>158</v>
      </c>
      <c r="F53" s="8">
        <v>4.97</v>
      </c>
      <c r="G53" s="12">
        <v>17</v>
      </c>
      <c r="H53" s="8">
        <v>0.43</v>
      </c>
      <c r="I53" s="12">
        <v>0</v>
      </c>
    </row>
    <row r="54" spans="2:9" ht="15" customHeight="1" x14ac:dyDescent="0.2">
      <c r="B54" t="s">
        <v>133</v>
      </c>
      <c r="C54" s="12">
        <v>173</v>
      </c>
      <c r="D54" s="8">
        <v>2.42</v>
      </c>
      <c r="E54" s="12">
        <v>128</v>
      </c>
      <c r="F54" s="8">
        <v>4.0199999999999996</v>
      </c>
      <c r="G54" s="12">
        <v>45</v>
      </c>
      <c r="H54" s="8">
        <v>1.1399999999999999</v>
      </c>
      <c r="I54" s="12">
        <v>0</v>
      </c>
    </row>
    <row r="55" spans="2:9" ht="15" customHeight="1" x14ac:dyDescent="0.2">
      <c r="B55" t="s">
        <v>134</v>
      </c>
      <c r="C55" s="12">
        <v>163</v>
      </c>
      <c r="D55" s="8">
        <v>2.2799999999999998</v>
      </c>
      <c r="E55" s="12">
        <v>133</v>
      </c>
      <c r="F55" s="8">
        <v>4.18</v>
      </c>
      <c r="G55" s="12">
        <v>30</v>
      </c>
      <c r="H55" s="8">
        <v>0.76</v>
      </c>
      <c r="I55" s="12">
        <v>0</v>
      </c>
    </row>
    <row r="56" spans="2:9" ht="15" customHeight="1" x14ac:dyDescent="0.2">
      <c r="B56" t="s">
        <v>124</v>
      </c>
      <c r="C56" s="12">
        <v>141</v>
      </c>
      <c r="D56" s="8">
        <v>1.97</v>
      </c>
      <c r="E56" s="12">
        <v>73</v>
      </c>
      <c r="F56" s="8">
        <v>2.29</v>
      </c>
      <c r="G56" s="12">
        <v>68</v>
      </c>
      <c r="H56" s="8">
        <v>1.72</v>
      </c>
      <c r="I56" s="12">
        <v>0</v>
      </c>
    </row>
    <row r="57" spans="2:9" ht="15" customHeight="1" x14ac:dyDescent="0.2">
      <c r="B57" t="s">
        <v>138</v>
      </c>
      <c r="C57" s="12">
        <v>111</v>
      </c>
      <c r="D57" s="8">
        <v>1.55</v>
      </c>
      <c r="E57" s="12">
        <v>18</v>
      </c>
      <c r="F57" s="8">
        <v>0.56999999999999995</v>
      </c>
      <c r="G57" s="12">
        <v>93</v>
      </c>
      <c r="H57" s="8">
        <v>2.36</v>
      </c>
      <c r="I57" s="12">
        <v>0</v>
      </c>
    </row>
    <row r="58" spans="2:9" ht="15" customHeight="1" x14ac:dyDescent="0.2">
      <c r="B58" t="s">
        <v>121</v>
      </c>
      <c r="C58" s="12">
        <v>109</v>
      </c>
      <c r="D58" s="8">
        <v>1.53</v>
      </c>
      <c r="E58" s="12">
        <v>66</v>
      </c>
      <c r="F58" s="8">
        <v>2.0699999999999998</v>
      </c>
      <c r="G58" s="12">
        <v>42</v>
      </c>
      <c r="H58" s="8">
        <v>1.06</v>
      </c>
      <c r="I58" s="12">
        <v>1</v>
      </c>
    </row>
    <row r="59" spans="2:9" ht="15" customHeight="1" x14ac:dyDescent="0.2">
      <c r="B59" t="s">
        <v>127</v>
      </c>
      <c r="C59" s="12">
        <v>96</v>
      </c>
      <c r="D59" s="8">
        <v>1.34</v>
      </c>
      <c r="E59" s="12">
        <v>41</v>
      </c>
      <c r="F59" s="8">
        <v>1.29</v>
      </c>
      <c r="G59" s="12">
        <v>53</v>
      </c>
      <c r="H59" s="8">
        <v>1.34</v>
      </c>
      <c r="I59" s="12">
        <v>0</v>
      </c>
    </row>
    <row r="60" spans="2:9" ht="15" customHeight="1" x14ac:dyDescent="0.2">
      <c r="B60" t="s">
        <v>146</v>
      </c>
      <c r="C60" s="12">
        <v>89</v>
      </c>
      <c r="D60" s="8">
        <v>1.25</v>
      </c>
      <c r="E60" s="12">
        <v>47</v>
      </c>
      <c r="F60" s="8">
        <v>1.48</v>
      </c>
      <c r="G60" s="12">
        <v>42</v>
      </c>
      <c r="H60" s="8">
        <v>1.06</v>
      </c>
      <c r="I60" s="12">
        <v>0</v>
      </c>
    </row>
    <row r="61" spans="2:9" ht="15" customHeight="1" x14ac:dyDescent="0.2">
      <c r="B61" t="s">
        <v>140</v>
      </c>
      <c r="C61" s="12">
        <v>88</v>
      </c>
      <c r="D61" s="8">
        <v>1.23</v>
      </c>
      <c r="E61" s="12">
        <v>54</v>
      </c>
      <c r="F61" s="8">
        <v>1.7</v>
      </c>
      <c r="G61" s="12">
        <v>34</v>
      </c>
      <c r="H61" s="8">
        <v>0.86</v>
      </c>
      <c r="I61" s="12">
        <v>0</v>
      </c>
    </row>
    <row r="62" spans="2:9" ht="15" customHeight="1" x14ac:dyDescent="0.2">
      <c r="B62" t="s">
        <v>123</v>
      </c>
      <c r="C62" s="12">
        <v>87</v>
      </c>
      <c r="D62" s="8">
        <v>1.22</v>
      </c>
      <c r="E62" s="12">
        <v>36</v>
      </c>
      <c r="F62" s="8">
        <v>1.1299999999999999</v>
      </c>
      <c r="G62" s="12">
        <v>51</v>
      </c>
      <c r="H62" s="8">
        <v>1.29</v>
      </c>
      <c r="I62" s="12">
        <v>0</v>
      </c>
    </row>
    <row r="63" spans="2:9" ht="15" customHeight="1" x14ac:dyDescent="0.2">
      <c r="B63" t="s">
        <v>142</v>
      </c>
      <c r="C63" s="12">
        <v>86</v>
      </c>
      <c r="D63" s="8">
        <v>1.2</v>
      </c>
      <c r="E63" s="12">
        <v>6</v>
      </c>
      <c r="F63" s="8">
        <v>0.19</v>
      </c>
      <c r="G63" s="12">
        <v>80</v>
      </c>
      <c r="H63" s="8">
        <v>2.0299999999999998</v>
      </c>
      <c r="I63" s="12">
        <v>0</v>
      </c>
    </row>
    <row r="64" spans="2:9" ht="15" customHeight="1" x14ac:dyDescent="0.2">
      <c r="B64" t="s">
        <v>148</v>
      </c>
      <c r="C64" s="12">
        <v>86</v>
      </c>
      <c r="D64" s="8">
        <v>1.2</v>
      </c>
      <c r="E64" s="12">
        <v>74</v>
      </c>
      <c r="F64" s="8">
        <v>2.33</v>
      </c>
      <c r="G64" s="12">
        <v>12</v>
      </c>
      <c r="H64" s="8">
        <v>0.3</v>
      </c>
      <c r="I64" s="12">
        <v>0</v>
      </c>
    </row>
    <row r="65" spans="2:9" ht="15" customHeight="1" x14ac:dyDescent="0.2">
      <c r="B65" t="s">
        <v>147</v>
      </c>
      <c r="C65" s="12">
        <v>82</v>
      </c>
      <c r="D65" s="8">
        <v>1.1499999999999999</v>
      </c>
      <c r="E65" s="12">
        <v>3</v>
      </c>
      <c r="F65" s="8">
        <v>0.09</v>
      </c>
      <c r="G65" s="12">
        <v>79</v>
      </c>
      <c r="H65" s="8">
        <v>2</v>
      </c>
      <c r="I65" s="12">
        <v>0</v>
      </c>
    </row>
    <row r="66" spans="2:9" ht="15" customHeight="1" x14ac:dyDescent="0.2">
      <c r="B66" t="s">
        <v>137</v>
      </c>
      <c r="C66" s="12">
        <v>81</v>
      </c>
      <c r="D66" s="8">
        <v>1.1299999999999999</v>
      </c>
      <c r="E66" s="12">
        <v>33</v>
      </c>
      <c r="F66" s="8">
        <v>1.04</v>
      </c>
      <c r="G66" s="12">
        <v>48</v>
      </c>
      <c r="H66" s="8">
        <v>1.22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58377-E7C8-4ED5-B3DA-0DE51400CD6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201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2</v>
      </c>
      <c r="D5" s="8">
        <v>0.06</v>
      </c>
      <c r="E5" s="12">
        <v>0</v>
      </c>
      <c r="F5" s="8">
        <v>0</v>
      </c>
      <c r="G5" s="12">
        <v>2</v>
      </c>
      <c r="H5" s="8">
        <v>0.1</v>
      </c>
      <c r="I5" s="12">
        <v>0</v>
      </c>
    </row>
    <row r="6" spans="2:9" ht="15" customHeight="1" x14ac:dyDescent="0.2">
      <c r="B6" t="s">
        <v>47</v>
      </c>
      <c r="C6" s="12">
        <v>519</v>
      </c>
      <c r="D6" s="8">
        <v>15.51</v>
      </c>
      <c r="E6" s="12">
        <v>109</v>
      </c>
      <c r="F6" s="8">
        <v>7.88</v>
      </c>
      <c r="G6" s="12">
        <v>410</v>
      </c>
      <c r="H6" s="8">
        <v>20.9</v>
      </c>
      <c r="I6" s="12">
        <v>0</v>
      </c>
    </row>
    <row r="7" spans="2:9" ht="15" customHeight="1" x14ac:dyDescent="0.2">
      <c r="B7" t="s">
        <v>48</v>
      </c>
      <c r="C7" s="12">
        <v>557</v>
      </c>
      <c r="D7" s="8">
        <v>16.649999999999999</v>
      </c>
      <c r="E7" s="12">
        <v>164</v>
      </c>
      <c r="F7" s="8">
        <v>11.86</v>
      </c>
      <c r="G7" s="12">
        <v>393</v>
      </c>
      <c r="H7" s="8">
        <v>20.03</v>
      </c>
      <c r="I7" s="12">
        <v>0</v>
      </c>
    </row>
    <row r="8" spans="2:9" ht="15" customHeight="1" x14ac:dyDescent="0.2">
      <c r="B8" t="s">
        <v>49</v>
      </c>
      <c r="C8" s="12">
        <v>7</v>
      </c>
      <c r="D8" s="8">
        <v>0.21</v>
      </c>
      <c r="E8" s="12">
        <v>0</v>
      </c>
      <c r="F8" s="8">
        <v>0</v>
      </c>
      <c r="G8" s="12">
        <v>6</v>
      </c>
      <c r="H8" s="8">
        <v>0.31</v>
      </c>
      <c r="I8" s="12">
        <v>0</v>
      </c>
    </row>
    <row r="9" spans="2:9" ht="15" customHeight="1" x14ac:dyDescent="0.2">
      <c r="B9" t="s">
        <v>50</v>
      </c>
      <c r="C9" s="12">
        <v>29</v>
      </c>
      <c r="D9" s="8">
        <v>0.87</v>
      </c>
      <c r="E9" s="12">
        <v>3</v>
      </c>
      <c r="F9" s="8">
        <v>0.22</v>
      </c>
      <c r="G9" s="12">
        <v>26</v>
      </c>
      <c r="H9" s="8">
        <v>1.33</v>
      </c>
      <c r="I9" s="12">
        <v>0</v>
      </c>
    </row>
    <row r="10" spans="2:9" ht="15" customHeight="1" x14ac:dyDescent="0.2">
      <c r="B10" t="s">
        <v>51</v>
      </c>
      <c r="C10" s="12">
        <v>47</v>
      </c>
      <c r="D10" s="8">
        <v>1.4</v>
      </c>
      <c r="E10" s="12">
        <v>6</v>
      </c>
      <c r="F10" s="8">
        <v>0.43</v>
      </c>
      <c r="G10" s="12">
        <v>41</v>
      </c>
      <c r="H10" s="8">
        <v>2.09</v>
      </c>
      <c r="I10" s="12">
        <v>0</v>
      </c>
    </row>
    <row r="11" spans="2:9" ht="15" customHeight="1" x14ac:dyDescent="0.2">
      <c r="B11" t="s">
        <v>52</v>
      </c>
      <c r="C11" s="12">
        <v>751</v>
      </c>
      <c r="D11" s="8">
        <v>22.44</v>
      </c>
      <c r="E11" s="12">
        <v>243</v>
      </c>
      <c r="F11" s="8">
        <v>17.57</v>
      </c>
      <c r="G11" s="12">
        <v>508</v>
      </c>
      <c r="H11" s="8">
        <v>25.89</v>
      </c>
      <c r="I11" s="12">
        <v>0</v>
      </c>
    </row>
    <row r="12" spans="2:9" ht="15" customHeight="1" x14ac:dyDescent="0.2">
      <c r="B12" t="s">
        <v>53</v>
      </c>
      <c r="C12" s="12">
        <v>18</v>
      </c>
      <c r="D12" s="8">
        <v>0.54</v>
      </c>
      <c r="E12" s="12">
        <v>3</v>
      </c>
      <c r="F12" s="8">
        <v>0.22</v>
      </c>
      <c r="G12" s="12">
        <v>15</v>
      </c>
      <c r="H12" s="8">
        <v>0.76</v>
      </c>
      <c r="I12" s="12">
        <v>0</v>
      </c>
    </row>
    <row r="13" spans="2:9" ht="15" customHeight="1" x14ac:dyDescent="0.2">
      <c r="B13" t="s">
        <v>54</v>
      </c>
      <c r="C13" s="12">
        <v>295</v>
      </c>
      <c r="D13" s="8">
        <v>8.82</v>
      </c>
      <c r="E13" s="12">
        <v>81</v>
      </c>
      <c r="F13" s="8">
        <v>5.86</v>
      </c>
      <c r="G13" s="12">
        <v>214</v>
      </c>
      <c r="H13" s="8">
        <v>10.91</v>
      </c>
      <c r="I13" s="12">
        <v>0</v>
      </c>
    </row>
    <row r="14" spans="2:9" ht="15" customHeight="1" x14ac:dyDescent="0.2">
      <c r="B14" t="s">
        <v>55</v>
      </c>
      <c r="C14" s="12">
        <v>191</v>
      </c>
      <c r="D14" s="8">
        <v>5.71</v>
      </c>
      <c r="E14" s="12">
        <v>95</v>
      </c>
      <c r="F14" s="8">
        <v>6.87</v>
      </c>
      <c r="G14" s="12">
        <v>96</v>
      </c>
      <c r="H14" s="8">
        <v>4.8899999999999997</v>
      </c>
      <c r="I14" s="12">
        <v>0</v>
      </c>
    </row>
    <row r="15" spans="2:9" ht="15" customHeight="1" x14ac:dyDescent="0.2">
      <c r="B15" t="s">
        <v>56</v>
      </c>
      <c r="C15" s="12">
        <v>219</v>
      </c>
      <c r="D15" s="8">
        <v>6.55</v>
      </c>
      <c r="E15" s="12">
        <v>179</v>
      </c>
      <c r="F15" s="8">
        <v>12.94</v>
      </c>
      <c r="G15" s="12">
        <v>40</v>
      </c>
      <c r="H15" s="8">
        <v>2.04</v>
      </c>
      <c r="I15" s="12">
        <v>0</v>
      </c>
    </row>
    <row r="16" spans="2:9" ht="15" customHeight="1" x14ac:dyDescent="0.2">
      <c r="B16" t="s">
        <v>57</v>
      </c>
      <c r="C16" s="12">
        <v>355</v>
      </c>
      <c r="D16" s="8">
        <v>10.61</v>
      </c>
      <c r="E16" s="12">
        <v>285</v>
      </c>
      <c r="F16" s="8">
        <v>20.61</v>
      </c>
      <c r="G16" s="12">
        <v>70</v>
      </c>
      <c r="H16" s="8">
        <v>3.57</v>
      </c>
      <c r="I16" s="12">
        <v>0</v>
      </c>
    </row>
    <row r="17" spans="2:9" ht="15" customHeight="1" x14ac:dyDescent="0.2">
      <c r="B17" t="s">
        <v>58</v>
      </c>
      <c r="C17" s="12">
        <v>101</v>
      </c>
      <c r="D17" s="8">
        <v>3.02</v>
      </c>
      <c r="E17" s="12">
        <v>82</v>
      </c>
      <c r="F17" s="8">
        <v>5.93</v>
      </c>
      <c r="G17" s="12">
        <v>19</v>
      </c>
      <c r="H17" s="8">
        <v>0.97</v>
      </c>
      <c r="I17" s="12">
        <v>0</v>
      </c>
    </row>
    <row r="18" spans="2:9" ht="15" customHeight="1" x14ac:dyDescent="0.2">
      <c r="B18" t="s">
        <v>59</v>
      </c>
      <c r="C18" s="12">
        <v>109</v>
      </c>
      <c r="D18" s="8">
        <v>3.26</v>
      </c>
      <c r="E18" s="12">
        <v>67</v>
      </c>
      <c r="F18" s="8">
        <v>4.84</v>
      </c>
      <c r="G18" s="12">
        <v>42</v>
      </c>
      <c r="H18" s="8">
        <v>2.14</v>
      </c>
      <c r="I18" s="12">
        <v>0</v>
      </c>
    </row>
    <row r="19" spans="2:9" ht="15" customHeight="1" x14ac:dyDescent="0.2">
      <c r="B19" t="s">
        <v>60</v>
      </c>
      <c r="C19" s="12">
        <v>146</v>
      </c>
      <c r="D19" s="8">
        <v>4.3600000000000003</v>
      </c>
      <c r="E19" s="12">
        <v>66</v>
      </c>
      <c r="F19" s="8">
        <v>4.7699999999999996</v>
      </c>
      <c r="G19" s="12">
        <v>80</v>
      </c>
      <c r="H19" s="8">
        <v>4.08</v>
      </c>
      <c r="I19" s="12">
        <v>0</v>
      </c>
    </row>
    <row r="20" spans="2:9" ht="15" customHeight="1" x14ac:dyDescent="0.2">
      <c r="B20" s="9" t="s">
        <v>191</v>
      </c>
      <c r="C20" s="12">
        <f>SUM(LTBL_22132[総数／事業所数])</f>
        <v>3346</v>
      </c>
      <c r="E20" s="12">
        <f>SUBTOTAL(109,LTBL_22132[個人／事業所数])</f>
        <v>1383</v>
      </c>
      <c r="G20" s="12">
        <f>SUBTOTAL(109,LTBL_22132[法人／事業所数])</f>
        <v>1962</v>
      </c>
      <c r="I20" s="12">
        <f>SUBTOTAL(109,LTBL_22132[法人以外の団体／事業所数])</f>
        <v>0</v>
      </c>
    </row>
    <row r="21" spans="2:9" ht="15" customHeight="1" x14ac:dyDescent="0.2">
      <c r="E21" s="11">
        <f>LTBL_22132[[#Totals],[個人／事業所数]]/LTBL_22132[[#Totals],[総数／事業所数]]</f>
        <v>0.413329348475792</v>
      </c>
      <c r="G21" s="11">
        <f>LTBL_22132[[#Totals],[法人／事業所数]]/LTBL_22132[[#Totals],[総数／事業所数]]</f>
        <v>0.58637178720860728</v>
      </c>
      <c r="I21" s="11">
        <f>LTBL_22132[[#Totals],[法人以外の団体／事業所数]]/LTBL_22132[[#Totals],[総数／事業所数]]</f>
        <v>0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312</v>
      </c>
      <c r="D24" s="8">
        <v>9.32</v>
      </c>
      <c r="E24" s="12">
        <v>269</v>
      </c>
      <c r="F24" s="8">
        <v>19.45</v>
      </c>
      <c r="G24" s="12">
        <v>43</v>
      </c>
      <c r="H24" s="8">
        <v>2.19</v>
      </c>
      <c r="I24" s="12">
        <v>0</v>
      </c>
    </row>
    <row r="25" spans="2:9" ht="15" customHeight="1" x14ac:dyDescent="0.2">
      <c r="B25" t="s">
        <v>81</v>
      </c>
      <c r="C25" s="12">
        <v>234</v>
      </c>
      <c r="D25" s="8">
        <v>6.99</v>
      </c>
      <c r="E25" s="12">
        <v>72</v>
      </c>
      <c r="F25" s="8">
        <v>5.21</v>
      </c>
      <c r="G25" s="12">
        <v>162</v>
      </c>
      <c r="H25" s="8">
        <v>8.26</v>
      </c>
      <c r="I25" s="12">
        <v>0</v>
      </c>
    </row>
    <row r="26" spans="2:9" ht="15" customHeight="1" x14ac:dyDescent="0.2">
      <c r="B26" t="s">
        <v>84</v>
      </c>
      <c r="C26" s="12">
        <v>208</v>
      </c>
      <c r="D26" s="8">
        <v>6.22</v>
      </c>
      <c r="E26" s="12">
        <v>177</v>
      </c>
      <c r="F26" s="8">
        <v>12.8</v>
      </c>
      <c r="G26" s="12">
        <v>31</v>
      </c>
      <c r="H26" s="8">
        <v>1.58</v>
      </c>
      <c r="I26" s="12">
        <v>0</v>
      </c>
    </row>
    <row r="27" spans="2:9" ht="15" customHeight="1" x14ac:dyDescent="0.2">
      <c r="B27" t="s">
        <v>69</v>
      </c>
      <c r="C27" s="12">
        <v>199</v>
      </c>
      <c r="D27" s="8">
        <v>5.95</v>
      </c>
      <c r="E27" s="12">
        <v>44</v>
      </c>
      <c r="F27" s="8">
        <v>3.18</v>
      </c>
      <c r="G27" s="12">
        <v>155</v>
      </c>
      <c r="H27" s="8">
        <v>7.9</v>
      </c>
      <c r="I27" s="12">
        <v>0</v>
      </c>
    </row>
    <row r="28" spans="2:9" ht="15" customHeight="1" x14ac:dyDescent="0.2">
      <c r="B28" t="s">
        <v>70</v>
      </c>
      <c r="C28" s="12">
        <v>192</v>
      </c>
      <c r="D28" s="8">
        <v>5.74</v>
      </c>
      <c r="E28" s="12">
        <v>49</v>
      </c>
      <c r="F28" s="8">
        <v>3.54</v>
      </c>
      <c r="G28" s="12">
        <v>143</v>
      </c>
      <c r="H28" s="8">
        <v>7.29</v>
      </c>
      <c r="I28" s="12">
        <v>0</v>
      </c>
    </row>
    <row r="29" spans="2:9" ht="15" customHeight="1" x14ac:dyDescent="0.2">
      <c r="B29" t="s">
        <v>78</v>
      </c>
      <c r="C29" s="12">
        <v>161</v>
      </c>
      <c r="D29" s="8">
        <v>4.8099999999999996</v>
      </c>
      <c r="E29" s="12">
        <v>81</v>
      </c>
      <c r="F29" s="8">
        <v>5.86</v>
      </c>
      <c r="G29" s="12">
        <v>80</v>
      </c>
      <c r="H29" s="8">
        <v>4.08</v>
      </c>
      <c r="I29" s="12">
        <v>0</v>
      </c>
    </row>
    <row r="30" spans="2:9" ht="15" customHeight="1" x14ac:dyDescent="0.2">
      <c r="B30" t="s">
        <v>79</v>
      </c>
      <c r="C30" s="12">
        <v>151</v>
      </c>
      <c r="D30" s="8">
        <v>4.51</v>
      </c>
      <c r="E30" s="12">
        <v>51</v>
      </c>
      <c r="F30" s="8">
        <v>3.69</v>
      </c>
      <c r="G30" s="12">
        <v>100</v>
      </c>
      <c r="H30" s="8">
        <v>5.0999999999999996</v>
      </c>
      <c r="I30" s="12">
        <v>0</v>
      </c>
    </row>
    <row r="31" spans="2:9" ht="15" customHeight="1" x14ac:dyDescent="0.2">
      <c r="B31" t="s">
        <v>71</v>
      </c>
      <c r="C31" s="12">
        <v>128</v>
      </c>
      <c r="D31" s="8">
        <v>3.83</v>
      </c>
      <c r="E31" s="12">
        <v>16</v>
      </c>
      <c r="F31" s="8">
        <v>1.1599999999999999</v>
      </c>
      <c r="G31" s="12">
        <v>112</v>
      </c>
      <c r="H31" s="8">
        <v>5.71</v>
      </c>
      <c r="I31" s="12">
        <v>0</v>
      </c>
    </row>
    <row r="32" spans="2:9" ht="15" customHeight="1" x14ac:dyDescent="0.2">
      <c r="B32" t="s">
        <v>82</v>
      </c>
      <c r="C32" s="12">
        <v>105</v>
      </c>
      <c r="D32" s="8">
        <v>3.14</v>
      </c>
      <c r="E32" s="12">
        <v>63</v>
      </c>
      <c r="F32" s="8">
        <v>4.5599999999999996</v>
      </c>
      <c r="G32" s="12">
        <v>42</v>
      </c>
      <c r="H32" s="8">
        <v>2.14</v>
      </c>
      <c r="I32" s="12">
        <v>0</v>
      </c>
    </row>
    <row r="33" spans="2:9" ht="15" customHeight="1" x14ac:dyDescent="0.2">
      <c r="B33" t="s">
        <v>86</v>
      </c>
      <c r="C33" s="12">
        <v>101</v>
      </c>
      <c r="D33" s="8">
        <v>3.02</v>
      </c>
      <c r="E33" s="12">
        <v>82</v>
      </c>
      <c r="F33" s="8">
        <v>5.93</v>
      </c>
      <c r="G33" s="12">
        <v>19</v>
      </c>
      <c r="H33" s="8">
        <v>0.97</v>
      </c>
      <c r="I33" s="12">
        <v>0</v>
      </c>
    </row>
    <row r="34" spans="2:9" ht="15" customHeight="1" x14ac:dyDescent="0.2">
      <c r="B34" t="s">
        <v>75</v>
      </c>
      <c r="C34" s="12">
        <v>96</v>
      </c>
      <c r="D34" s="8">
        <v>2.87</v>
      </c>
      <c r="E34" s="12">
        <v>6</v>
      </c>
      <c r="F34" s="8">
        <v>0.43</v>
      </c>
      <c r="G34" s="12">
        <v>90</v>
      </c>
      <c r="H34" s="8">
        <v>4.59</v>
      </c>
      <c r="I34" s="12">
        <v>0</v>
      </c>
    </row>
    <row r="35" spans="2:9" ht="15" customHeight="1" x14ac:dyDescent="0.2">
      <c r="B35" t="s">
        <v>87</v>
      </c>
      <c r="C35" s="12">
        <v>87</v>
      </c>
      <c r="D35" s="8">
        <v>2.6</v>
      </c>
      <c r="E35" s="12">
        <v>66</v>
      </c>
      <c r="F35" s="8">
        <v>4.7699999999999996</v>
      </c>
      <c r="G35" s="12">
        <v>21</v>
      </c>
      <c r="H35" s="8">
        <v>1.07</v>
      </c>
      <c r="I35" s="12">
        <v>0</v>
      </c>
    </row>
    <row r="36" spans="2:9" ht="15" customHeight="1" x14ac:dyDescent="0.2">
      <c r="B36" t="s">
        <v>88</v>
      </c>
      <c r="C36" s="12">
        <v>87</v>
      </c>
      <c r="D36" s="8">
        <v>2.6</v>
      </c>
      <c r="E36" s="12">
        <v>54</v>
      </c>
      <c r="F36" s="8">
        <v>3.9</v>
      </c>
      <c r="G36" s="12">
        <v>33</v>
      </c>
      <c r="H36" s="8">
        <v>1.68</v>
      </c>
      <c r="I36" s="12">
        <v>0</v>
      </c>
    </row>
    <row r="37" spans="2:9" ht="15" customHeight="1" x14ac:dyDescent="0.2">
      <c r="B37" t="s">
        <v>96</v>
      </c>
      <c r="C37" s="12">
        <v>81</v>
      </c>
      <c r="D37" s="8">
        <v>2.42</v>
      </c>
      <c r="E37" s="12">
        <v>39</v>
      </c>
      <c r="F37" s="8">
        <v>2.82</v>
      </c>
      <c r="G37" s="12">
        <v>42</v>
      </c>
      <c r="H37" s="8">
        <v>2.14</v>
      </c>
      <c r="I37" s="12">
        <v>0</v>
      </c>
    </row>
    <row r="38" spans="2:9" ht="15" customHeight="1" x14ac:dyDescent="0.2">
      <c r="B38" t="s">
        <v>77</v>
      </c>
      <c r="C38" s="12">
        <v>81</v>
      </c>
      <c r="D38" s="8">
        <v>2.42</v>
      </c>
      <c r="E38" s="12">
        <v>54</v>
      </c>
      <c r="F38" s="8">
        <v>3.9</v>
      </c>
      <c r="G38" s="12">
        <v>27</v>
      </c>
      <c r="H38" s="8">
        <v>1.38</v>
      </c>
      <c r="I38" s="12">
        <v>0</v>
      </c>
    </row>
    <row r="39" spans="2:9" ht="15" customHeight="1" x14ac:dyDescent="0.2">
      <c r="B39" t="s">
        <v>72</v>
      </c>
      <c r="C39" s="12">
        <v>78</v>
      </c>
      <c r="D39" s="8">
        <v>2.33</v>
      </c>
      <c r="E39" s="12">
        <v>23</v>
      </c>
      <c r="F39" s="8">
        <v>1.66</v>
      </c>
      <c r="G39" s="12">
        <v>55</v>
      </c>
      <c r="H39" s="8">
        <v>2.8</v>
      </c>
      <c r="I39" s="12">
        <v>0</v>
      </c>
    </row>
    <row r="40" spans="2:9" ht="15" customHeight="1" x14ac:dyDescent="0.2">
      <c r="B40" t="s">
        <v>73</v>
      </c>
      <c r="C40" s="12">
        <v>78</v>
      </c>
      <c r="D40" s="8">
        <v>2.33</v>
      </c>
      <c r="E40" s="12">
        <v>21</v>
      </c>
      <c r="F40" s="8">
        <v>1.52</v>
      </c>
      <c r="G40" s="12">
        <v>57</v>
      </c>
      <c r="H40" s="8">
        <v>2.91</v>
      </c>
      <c r="I40" s="12">
        <v>0</v>
      </c>
    </row>
    <row r="41" spans="2:9" ht="15" customHeight="1" x14ac:dyDescent="0.2">
      <c r="B41" t="s">
        <v>83</v>
      </c>
      <c r="C41" s="12">
        <v>76</v>
      </c>
      <c r="D41" s="8">
        <v>2.27</v>
      </c>
      <c r="E41" s="12">
        <v>31</v>
      </c>
      <c r="F41" s="8">
        <v>2.2400000000000002</v>
      </c>
      <c r="G41" s="12">
        <v>45</v>
      </c>
      <c r="H41" s="8">
        <v>2.29</v>
      </c>
      <c r="I41" s="12">
        <v>0</v>
      </c>
    </row>
    <row r="42" spans="2:9" ht="15" customHeight="1" x14ac:dyDescent="0.2">
      <c r="B42" t="s">
        <v>76</v>
      </c>
      <c r="C42" s="12">
        <v>74</v>
      </c>
      <c r="D42" s="8">
        <v>2.21</v>
      </c>
      <c r="E42" s="12">
        <v>22</v>
      </c>
      <c r="F42" s="8">
        <v>1.59</v>
      </c>
      <c r="G42" s="12">
        <v>52</v>
      </c>
      <c r="H42" s="8">
        <v>2.65</v>
      </c>
      <c r="I42" s="12">
        <v>0</v>
      </c>
    </row>
    <row r="43" spans="2:9" ht="15" customHeight="1" x14ac:dyDescent="0.2">
      <c r="B43" t="s">
        <v>74</v>
      </c>
      <c r="C43" s="12">
        <v>66</v>
      </c>
      <c r="D43" s="8">
        <v>1.97</v>
      </c>
      <c r="E43" s="12">
        <v>8</v>
      </c>
      <c r="F43" s="8">
        <v>0.57999999999999996</v>
      </c>
      <c r="G43" s="12">
        <v>58</v>
      </c>
      <c r="H43" s="8">
        <v>2.96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151</v>
      </c>
      <c r="D47" s="8">
        <v>4.51</v>
      </c>
      <c r="E47" s="12">
        <v>141</v>
      </c>
      <c r="F47" s="8">
        <v>10.199999999999999</v>
      </c>
      <c r="G47" s="12">
        <v>10</v>
      </c>
      <c r="H47" s="8">
        <v>0.51</v>
      </c>
      <c r="I47" s="12">
        <v>0</v>
      </c>
    </row>
    <row r="48" spans="2:9" ht="15" customHeight="1" x14ac:dyDescent="0.2">
      <c r="B48" t="s">
        <v>126</v>
      </c>
      <c r="C48" s="12">
        <v>139</v>
      </c>
      <c r="D48" s="8">
        <v>4.1500000000000004</v>
      </c>
      <c r="E48" s="12">
        <v>65</v>
      </c>
      <c r="F48" s="8">
        <v>4.7</v>
      </c>
      <c r="G48" s="12">
        <v>74</v>
      </c>
      <c r="H48" s="8">
        <v>3.77</v>
      </c>
      <c r="I48" s="12">
        <v>0</v>
      </c>
    </row>
    <row r="49" spans="2:9" ht="15" customHeight="1" x14ac:dyDescent="0.2">
      <c r="B49" t="s">
        <v>122</v>
      </c>
      <c r="C49" s="12">
        <v>123</v>
      </c>
      <c r="D49" s="8">
        <v>3.68</v>
      </c>
      <c r="E49" s="12">
        <v>60</v>
      </c>
      <c r="F49" s="8">
        <v>4.34</v>
      </c>
      <c r="G49" s="12">
        <v>63</v>
      </c>
      <c r="H49" s="8">
        <v>3.21</v>
      </c>
      <c r="I49" s="12">
        <v>0</v>
      </c>
    </row>
    <row r="50" spans="2:9" ht="15" customHeight="1" x14ac:dyDescent="0.2">
      <c r="B50" t="s">
        <v>131</v>
      </c>
      <c r="C50" s="12">
        <v>96</v>
      </c>
      <c r="D50" s="8">
        <v>2.87</v>
      </c>
      <c r="E50" s="12">
        <v>88</v>
      </c>
      <c r="F50" s="8">
        <v>6.36</v>
      </c>
      <c r="G50" s="12">
        <v>8</v>
      </c>
      <c r="H50" s="8">
        <v>0.41</v>
      </c>
      <c r="I50" s="12">
        <v>0</v>
      </c>
    </row>
    <row r="51" spans="2:9" ht="15" customHeight="1" x14ac:dyDescent="0.2">
      <c r="B51" t="s">
        <v>135</v>
      </c>
      <c r="C51" s="12">
        <v>87</v>
      </c>
      <c r="D51" s="8">
        <v>2.6</v>
      </c>
      <c r="E51" s="12">
        <v>54</v>
      </c>
      <c r="F51" s="8">
        <v>3.9</v>
      </c>
      <c r="G51" s="12">
        <v>33</v>
      </c>
      <c r="H51" s="8">
        <v>1.68</v>
      </c>
      <c r="I51" s="12">
        <v>0</v>
      </c>
    </row>
    <row r="52" spans="2:9" ht="15" customHeight="1" x14ac:dyDescent="0.2">
      <c r="B52" t="s">
        <v>128</v>
      </c>
      <c r="C52" s="12">
        <v>79</v>
      </c>
      <c r="D52" s="8">
        <v>2.36</v>
      </c>
      <c r="E52" s="12">
        <v>63</v>
      </c>
      <c r="F52" s="8">
        <v>4.5599999999999996</v>
      </c>
      <c r="G52" s="12">
        <v>16</v>
      </c>
      <c r="H52" s="8">
        <v>0.82</v>
      </c>
      <c r="I52" s="12">
        <v>0</v>
      </c>
    </row>
    <row r="53" spans="2:9" ht="15" customHeight="1" x14ac:dyDescent="0.2">
      <c r="B53" t="s">
        <v>133</v>
      </c>
      <c r="C53" s="12">
        <v>73</v>
      </c>
      <c r="D53" s="8">
        <v>2.1800000000000002</v>
      </c>
      <c r="E53" s="12">
        <v>61</v>
      </c>
      <c r="F53" s="8">
        <v>4.41</v>
      </c>
      <c r="G53" s="12">
        <v>12</v>
      </c>
      <c r="H53" s="8">
        <v>0.61</v>
      </c>
      <c r="I53" s="12">
        <v>0</v>
      </c>
    </row>
    <row r="54" spans="2:9" ht="15" customHeight="1" x14ac:dyDescent="0.2">
      <c r="B54" t="s">
        <v>125</v>
      </c>
      <c r="C54" s="12">
        <v>71</v>
      </c>
      <c r="D54" s="8">
        <v>2.12</v>
      </c>
      <c r="E54" s="12">
        <v>6</v>
      </c>
      <c r="F54" s="8">
        <v>0.43</v>
      </c>
      <c r="G54" s="12">
        <v>65</v>
      </c>
      <c r="H54" s="8">
        <v>3.31</v>
      </c>
      <c r="I54" s="12">
        <v>0</v>
      </c>
    </row>
    <row r="55" spans="2:9" ht="15" customHeight="1" x14ac:dyDescent="0.2">
      <c r="B55" t="s">
        <v>134</v>
      </c>
      <c r="C55" s="12">
        <v>60</v>
      </c>
      <c r="D55" s="8">
        <v>1.79</v>
      </c>
      <c r="E55" s="12">
        <v>46</v>
      </c>
      <c r="F55" s="8">
        <v>3.33</v>
      </c>
      <c r="G55" s="12">
        <v>14</v>
      </c>
      <c r="H55" s="8">
        <v>0.71</v>
      </c>
      <c r="I55" s="12">
        <v>0</v>
      </c>
    </row>
    <row r="56" spans="2:9" ht="15" customHeight="1" x14ac:dyDescent="0.2">
      <c r="B56" t="s">
        <v>116</v>
      </c>
      <c r="C56" s="12">
        <v>54</v>
      </c>
      <c r="D56" s="8">
        <v>1.61</v>
      </c>
      <c r="E56" s="12">
        <v>8</v>
      </c>
      <c r="F56" s="8">
        <v>0.57999999999999996</v>
      </c>
      <c r="G56" s="12">
        <v>46</v>
      </c>
      <c r="H56" s="8">
        <v>2.34</v>
      </c>
      <c r="I56" s="12">
        <v>0</v>
      </c>
    </row>
    <row r="57" spans="2:9" ht="15" customHeight="1" x14ac:dyDescent="0.2">
      <c r="B57" t="s">
        <v>145</v>
      </c>
      <c r="C57" s="12">
        <v>53</v>
      </c>
      <c r="D57" s="8">
        <v>1.58</v>
      </c>
      <c r="E57" s="12">
        <v>10</v>
      </c>
      <c r="F57" s="8">
        <v>0.72</v>
      </c>
      <c r="G57" s="12">
        <v>43</v>
      </c>
      <c r="H57" s="8">
        <v>2.19</v>
      </c>
      <c r="I57" s="12">
        <v>0</v>
      </c>
    </row>
    <row r="58" spans="2:9" ht="15" customHeight="1" x14ac:dyDescent="0.2">
      <c r="B58" t="s">
        <v>118</v>
      </c>
      <c r="C58" s="12">
        <v>51</v>
      </c>
      <c r="D58" s="8">
        <v>1.52</v>
      </c>
      <c r="E58" s="12">
        <v>20</v>
      </c>
      <c r="F58" s="8">
        <v>1.45</v>
      </c>
      <c r="G58" s="12">
        <v>31</v>
      </c>
      <c r="H58" s="8">
        <v>1.58</v>
      </c>
      <c r="I58" s="12">
        <v>0</v>
      </c>
    </row>
    <row r="59" spans="2:9" ht="15" customHeight="1" x14ac:dyDescent="0.2">
      <c r="B59" t="s">
        <v>119</v>
      </c>
      <c r="C59" s="12">
        <v>50</v>
      </c>
      <c r="D59" s="8">
        <v>1.49</v>
      </c>
      <c r="E59" s="12">
        <v>7</v>
      </c>
      <c r="F59" s="8">
        <v>0.51</v>
      </c>
      <c r="G59" s="12">
        <v>43</v>
      </c>
      <c r="H59" s="8">
        <v>2.19</v>
      </c>
      <c r="I59" s="12">
        <v>0</v>
      </c>
    </row>
    <row r="60" spans="2:9" ht="15" customHeight="1" x14ac:dyDescent="0.2">
      <c r="B60" t="s">
        <v>120</v>
      </c>
      <c r="C60" s="12">
        <v>48</v>
      </c>
      <c r="D60" s="8">
        <v>1.43</v>
      </c>
      <c r="E60" s="12">
        <v>6</v>
      </c>
      <c r="F60" s="8">
        <v>0.43</v>
      </c>
      <c r="G60" s="12">
        <v>42</v>
      </c>
      <c r="H60" s="8">
        <v>2.14</v>
      </c>
      <c r="I60" s="12">
        <v>0</v>
      </c>
    </row>
    <row r="61" spans="2:9" ht="15" customHeight="1" x14ac:dyDescent="0.2">
      <c r="B61" t="s">
        <v>149</v>
      </c>
      <c r="C61" s="12">
        <v>46</v>
      </c>
      <c r="D61" s="8">
        <v>1.37</v>
      </c>
      <c r="E61" s="12">
        <v>12</v>
      </c>
      <c r="F61" s="8">
        <v>0.87</v>
      </c>
      <c r="G61" s="12">
        <v>34</v>
      </c>
      <c r="H61" s="8">
        <v>1.73</v>
      </c>
      <c r="I61" s="12">
        <v>0</v>
      </c>
    </row>
    <row r="62" spans="2:9" ht="15" customHeight="1" x14ac:dyDescent="0.2">
      <c r="B62" t="s">
        <v>142</v>
      </c>
      <c r="C62" s="12">
        <v>46</v>
      </c>
      <c r="D62" s="8">
        <v>1.37</v>
      </c>
      <c r="E62" s="12">
        <v>5</v>
      </c>
      <c r="F62" s="8">
        <v>0.36</v>
      </c>
      <c r="G62" s="12">
        <v>41</v>
      </c>
      <c r="H62" s="8">
        <v>2.09</v>
      </c>
      <c r="I62" s="12">
        <v>0</v>
      </c>
    </row>
    <row r="63" spans="2:9" ht="15" customHeight="1" x14ac:dyDescent="0.2">
      <c r="B63" t="s">
        <v>150</v>
      </c>
      <c r="C63" s="12">
        <v>45</v>
      </c>
      <c r="D63" s="8">
        <v>1.34</v>
      </c>
      <c r="E63" s="12">
        <v>7</v>
      </c>
      <c r="F63" s="8">
        <v>0.51</v>
      </c>
      <c r="G63" s="12">
        <v>38</v>
      </c>
      <c r="H63" s="8">
        <v>1.94</v>
      </c>
      <c r="I63" s="12">
        <v>0</v>
      </c>
    </row>
    <row r="64" spans="2:9" ht="15" customHeight="1" x14ac:dyDescent="0.2">
      <c r="B64" t="s">
        <v>123</v>
      </c>
      <c r="C64" s="12">
        <v>45</v>
      </c>
      <c r="D64" s="8">
        <v>1.34</v>
      </c>
      <c r="E64" s="12">
        <v>15</v>
      </c>
      <c r="F64" s="8">
        <v>1.08</v>
      </c>
      <c r="G64" s="12">
        <v>30</v>
      </c>
      <c r="H64" s="8">
        <v>1.53</v>
      </c>
      <c r="I64" s="12">
        <v>0</v>
      </c>
    </row>
    <row r="65" spans="2:9" ht="15" customHeight="1" x14ac:dyDescent="0.2">
      <c r="B65" t="s">
        <v>127</v>
      </c>
      <c r="C65" s="12">
        <v>42</v>
      </c>
      <c r="D65" s="8">
        <v>1.26</v>
      </c>
      <c r="E65" s="12">
        <v>17</v>
      </c>
      <c r="F65" s="8">
        <v>1.23</v>
      </c>
      <c r="G65" s="12">
        <v>25</v>
      </c>
      <c r="H65" s="8">
        <v>1.27</v>
      </c>
      <c r="I65" s="12">
        <v>0</v>
      </c>
    </row>
    <row r="66" spans="2:9" ht="15" customHeight="1" x14ac:dyDescent="0.2">
      <c r="B66" t="s">
        <v>117</v>
      </c>
      <c r="C66" s="12">
        <v>40</v>
      </c>
      <c r="D66" s="8">
        <v>1.2</v>
      </c>
      <c r="E66" s="12">
        <v>4</v>
      </c>
      <c r="F66" s="8">
        <v>0.28999999999999998</v>
      </c>
      <c r="G66" s="12">
        <v>36</v>
      </c>
      <c r="H66" s="8">
        <v>1.83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D8319-4F36-4EA7-A34F-53FAF94A911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202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2</v>
      </c>
      <c r="D5" s="8">
        <v>0.09</v>
      </c>
      <c r="E5" s="12">
        <v>0</v>
      </c>
      <c r="F5" s="8">
        <v>0</v>
      </c>
      <c r="G5" s="12">
        <v>2</v>
      </c>
      <c r="H5" s="8">
        <v>0.18</v>
      </c>
      <c r="I5" s="12">
        <v>0</v>
      </c>
    </row>
    <row r="6" spans="2:9" ht="15" customHeight="1" x14ac:dyDescent="0.2">
      <c r="B6" t="s">
        <v>47</v>
      </c>
      <c r="C6" s="12">
        <v>375</v>
      </c>
      <c r="D6" s="8">
        <v>17.34</v>
      </c>
      <c r="E6" s="12">
        <v>113</v>
      </c>
      <c r="F6" s="8">
        <v>10.63</v>
      </c>
      <c r="G6" s="12">
        <v>262</v>
      </c>
      <c r="H6" s="8">
        <v>23.91</v>
      </c>
      <c r="I6" s="12">
        <v>0</v>
      </c>
    </row>
    <row r="7" spans="2:9" ht="15" customHeight="1" x14ac:dyDescent="0.2">
      <c r="B7" t="s">
        <v>48</v>
      </c>
      <c r="C7" s="12">
        <v>265</v>
      </c>
      <c r="D7" s="8">
        <v>12.25</v>
      </c>
      <c r="E7" s="12">
        <v>95</v>
      </c>
      <c r="F7" s="8">
        <v>8.94</v>
      </c>
      <c r="G7" s="12">
        <v>170</v>
      </c>
      <c r="H7" s="8">
        <v>15.51</v>
      </c>
      <c r="I7" s="12">
        <v>0</v>
      </c>
    </row>
    <row r="8" spans="2:9" ht="15" customHeight="1" x14ac:dyDescent="0.2">
      <c r="B8" t="s">
        <v>49</v>
      </c>
      <c r="C8" s="12">
        <v>6</v>
      </c>
      <c r="D8" s="8">
        <v>0.28000000000000003</v>
      </c>
      <c r="E8" s="12">
        <v>0</v>
      </c>
      <c r="F8" s="8">
        <v>0</v>
      </c>
      <c r="G8" s="12">
        <v>6</v>
      </c>
      <c r="H8" s="8">
        <v>0.55000000000000004</v>
      </c>
      <c r="I8" s="12">
        <v>0</v>
      </c>
    </row>
    <row r="9" spans="2:9" ht="15" customHeight="1" x14ac:dyDescent="0.2">
      <c r="B9" t="s">
        <v>50</v>
      </c>
      <c r="C9" s="12">
        <v>19</v>
      </c>
      <c r="D9" s="8">
        <v>0.88</v>
      </c>
      <c r="E9" s="12">
        <v>0</v>
      </c>
      <c r="F9" s="8">
        <v>0</v>
      </c>
      <c r="G9" s="12">
        <v>19</v>
      </c>
      <c r="H9" s="8">
        <v>1.73</v>
      </c>
      <c r="I9" s="12">
        <v>0</v>
      </c>
    </row>
    <row r="10" spans="2:9" ht="15" customHeight="1" x14ac:dyDescent="0.2">
      <c r="B10" t="s">
        <v>51</v>
      </c>
      <c r="C10" s="12">
        <v>20</v>
      </c>
      <c r="D10" s="8">
        <v>0.92</v>
      </c>
      <c r="E10" s="12">
        <v>6</v>
      </c>
      <c r="F10" s="8">
        <v>0.56000000000000005</v>
      </c>
      <c r="G10" s="12">
        <v>14</v>
      </c>
      <c r="H10" s="8">
        <v>1.28</v>
      </c>
      <c r="I10" s="12">
        <v>0</v>
      </c>
    </row>
    <row r="11" spans="2:9" ht="15" customHeight="1" x14ac:dyDescent="0.2">
      <c r="B11" t="s">
        <v>52</v>
      </c>
      <c r="C11" s="12">
        <v>495</v>
      </c>
      <c r="D11" s="8">
        <v>22.88</v>
      </c>
      <c r="E11" s="12">
        <v>223</v>
      </c>
      <c r="F11" s="8">
        <v>20.98</v>
      </c>
      <c r="G11" s="12">
        <v>272</v>
      </c>
      <c r="H11" s="8">
        <v>24.82</v>
      </c>
      <c r="I11" s="12">
        <v>0</v>
      </c>
    </row>
    <row r="12" spans="2:9" ht="15" customHeight="1" x14ac:dyDescent="0.2">
      <c r="B12" t="s">
        <v>53</v>
      </c>
      <c r="C12" s="12">
        <v>10</v>
      </c>
      <c r="D12" s="8">
        <v>0.46</v>
      </c>
      <c r="E12" s="12">
        <v>1</v>
      </c>
      <c r="F12" s="8">
        <v>0.09</v>
      </c>
      <c r="G12" s="12">
        <v>9</v>
      </c>
      <c r="H12" s="8">
        <v>0.82</v>
      </c>
      <c r="I12" s="12">
        <v>0</v>
      </c>
    </row>
    <row r="13" spans="2:9" ht="15" customHeight="1" x14ac:dyDescent="0.2">
      <c r="B13" t="s">
        <v>54</v>
      </c>
      <c r="C13" s="12">
        <v>184</v>
      </c>
      <c r="D13" s="8">
        <v>8.51</v>
      </c>
      <c r="E13" s="12">
        <v>65</v>
      </c>
      <c r="F13" s="8">
        <v>6.11</v>
      </c>
      <c r="G13" s="12">
        <v>118</v>
      </c>
      <c r="H13" s="8">
        <v>10.77</v>
      </c>
      <c r="I13" s="12">
        <v>1</v>
      </c>
    </row>
    <row r="14" spans="2:9" ht="15" customHeight="1" x14ac:dyDescent="0.2">
      <c r="B14" t="s">
        <v>55</v>
      </c>
      <c r="C14" s="12">
        <v>110</v>
      </c>
      <c r="D14" s="8">
        <v>5.09</v>
      </c>
      <c r="E14" s="12">
        <v>59</v>
      </c>
      <c r="F14" s="8">
        <v>5.55</v>
      </c>
      <c r="G14" s="12">
        <v>51</v>
      </c>
      <c r="H14" s="8">
        <v>4.6500000000000004</v>
      </c>
      <c r="I14" s="12">
        <v>0</v>
      </c>
    </row>
    <row r="15" spans="2:9" ht="15" customHeight="1" x14ac:dyDescent="0.2">
      <c r="B15" t="s">
        <v>56</v>
      </c>
      <c r="C15" s="12">
        <v>151</v>
      </c>
      <c r="D15" s="8">
        <v>6.98</v>
      </c>
      <c r="E15" s="12">
        <v>117</v>
      </c>
      <c r="F15" s="8">
        <v>11.01</v>
      </c>
      <c r="G15" s="12">
        <v>33</v>
      </c>
      <c r="H15" s="8">
        <v>3.01</v>
      </c>
      <c r="I15" s="12">
        <v>0</v>
      </c>
    </row>
    <row r="16" spans="2:9" ht="15" customHeight="1" x14ac:dyDescent="0.2">
      <c r="B16" t="s">
        <v>57</v>
      </c>
      <c r="C16" s="12">
        <v>271</v>
      </c>
      <c r="D16" s="8">
        <v>12.53</v>
      </c>
      <c r="E16" s="12">
        <v>212</v>
      </c>
      <c r="F16" s="8">
        <v>19.940000000000001</v>
      </c>
      <c r="G16" s="12">
        <v>59</v>
      </c>
      <c r="H16" s="8">
        <v>5.38</v>
      </c>
      <c r="I16" s="12">
        <v>0</v>
      </c>
    </row>
    <row r="17" spans="2:9" ht="15" customHeight="1" x14ac:dyDescent="0.2">
      <c r="B17" t="s">
        <v>58</v>
      </c>
      <c r="C17" s="12">
        <v>91</v>
      </c>
      <c r="D17" s="8">
        <v>4.21</v>
      </c>
      <c r="E17" s="12">
        <v>77</v>
      </c>
      <c r="F17" s="8">
        <v>7.24</v>
      </c>
      <c r="G17" s="12">
        <v>12</v>
      </c>
      <c r="H17" s="8">
        <v>1.0900000000000001</v>
      </c>
      <c r="I17" s="12">
        <v>1</v>
      </c>
    </row>
    <row r="18" spans="2:9" ht="15" customHeight="1" x14ac:dyDescent="0.2">
      <c r="B18" t="s">
        <v>59</v>
      </c>
      <c r="C18" s="12">
        <v>109</v>
      </c>
      <c r="D18" s="8">
        <v>5.04</v>
      </c>
      <c r="E18" s="12">
        <v>72</v>
      </c>
      <c r="F18" s="8">
        <v>6.77</v>
      </c>
      <c r="G18" s="12">
        <v>37</v>
      </c>
      <c r="H18" s="8">
        <v>3.38</v>
      </c>
      <c r="I18" s="12">
        <v>0</v>
      </c>
    </row>
    <row r="19" spans="2:9" ht="15" customHeight="1" x14ac:dyDescent="0.2">
      <c r="B19" t="s">
        <v>60</v>
      </c>
      <c r="C19" s="12">
        <v>55</v>
      </c>
      <c r="D19" s="8">
        <v>2.54</v>
      </c>
      <c r="E19" s="12">
        <v>23</v>
      </c>
      <c r="F19" s="8">
        <v>2.16</v>
      </c>
      <c r="G19" s="12">
        <v>32</v>
      </c>
      <c r="H19" s="8">
        <v>2.92</v>
      </c>
      <c r="I19" s="12">
        <v>0</v>
      </c>
    </row>
    <row r="20" spans="2:9" ht="15" customHeight="1" x14ac:dyDescent="0.2">
      <c r="B20" s="9" t="s">
        <v>191</v>
      </c>
      <c r="C20" s="12">
        <f>SUM(LTBL_22133[総数／事業所数])</f>
        <v>2163</v>
      </c>
      <c r="E20" s="12">
        <f>SUBTOTAL(109,LTBL_22133[個人／事業所数])</f>
        <v>1063</v>
      </c>
      <c r="G20" s="12">
        <f>SUBTOTAL(109,LTBL_22133[法人／事業所数])</f>
        <v>1096</v>
      </c>
      <c r="I20" s="12">
        <f>SUBTOTAL(109,LTBL_22133[法人以外の団体／事業所数])</f>
        <v>2</v>
      </c>
    </row>
    <row r="21" spans="2:9" ht="15" customHeight="1" x14ac:dyDescent="0.2">
      <c r="E21" s="11">
        <f>LTBL_22133[[#Totals],[個人／事業所数]]/LTBL_22133[[#Totals],[総数／事業所数]]</f>
        <v>0.49144706426259827</v>
      </c>
      <c r="G21" s="11">
        <f>LTBL_22133[[#Totals],[法人／事業所数]]/LTBL_22133[[#Totals],[総数／事業所数]]</f>
        <v>0.50670365233472026</v>
      </c>
      <c r="I21" s="11">
        <f>LTBL_22133[[#Totals],[法人以外の団体／事業所数]]/LTBL_22133[[#Totals],[総数／事業所数]]</f>
        <v>9.2464170134073042E-4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222</v>
      </c>
      <c r="D24" s="8">
        <v>10.26</v>
      </c>
      <c r="E24" s="12">
        <v>189</v>
      </c>
      <c r="F24" s="8">
        <v>17.78</v>
      </c>
      <c r="G24" s="12">
        <v>33</v>
      </c>
      <c r="H24" s="8">
        <v>3.01</v>
      </c>
      <c r="I24" s="12">
        <v>0</v>
      </c>
    </row>
    <row r="25" spans="2:9" ht="15" customHeight="1" x14ac:dyDescent="0.2">
      <c r="B25" t="s">
        <v>81</v>
      </c>
      <c r="C25" s="12">
        <v>162</v>
      </c>
      <c r="D25" s="8">
        <v>7.49</v>
      </c>
      <c r="E25" s="12">
        <v>62</v>
      </c>
      <c r="F25" s="8">
        <v>5.83</v>
      </c>
      <c r="G25" s="12">
        <v>99</v>
      </c>
      <c r="H25" s="8">
        <v>9.0299999999999994</v>
      </c>
      <c r="I25" s="12">
        <v>1</v>
      </c>
    </row>
    <row r="26" spans="2:9" ht="15" customHeight="1" x14ac:dyDescent="0.2">
      <c r="B26" t="s">
        <v>69</v>
      </c>
      <c r="C26" s="12">
        <v>143</v>
      </c>
      <c r="D26" s="8">
        <v>6.61</v>
      </c>
      <c r="E26" s="12">
        <v>36</v>
      </c>
      <c r="F26" s="8">
        <v>3.39</v>
      </c>
      <c r="G26" s="12">
        <v>107</v>
      </c>
      <c r="H26" s="8">
        <v>9.76</v>
      </c>
      <c r="I26" s="12">
        <v>0</v>
      </c>
    </row>
    <row r="27" spans="2:9" ht="15" customHeight="1" x14ac:dyDescent="0.2">
      <c r="B27" t="s">
        <v>70</v>
      </c>
      <c r="C27" s="12">
        <v>142</v>
      </c>
      <c r="D27" s="8">
        <v>6.56</v>
      </c>
      <c r="E27" s="12">
        <v>59</v>
      </c>
      <c r="F27" s="8">
        <v>5.55</v>
      </c>
      <c r="G27" s="12">
        <v>83</v>
      </c>
      <c r="H27" s="8">
        <v>7.57</v>
      </c>
      <c r="I27" s="12">
        <v>0</v>
      </c>
    </row>
    <row r="28" spans="2:9" ht="15" customHeight="1" x14ac:dyDescent="0.2">
      <c r="B28" t="s">
        <v>84</v>
      </c>
      <c r="C28" s="12">
        <v>126</v>
      </c>
      <c r="D28" s="8">
        <v>5.83</v>
      </c>
      <c r="E28" s="12">
        <v>107</v>
      </c>
      <c r="F28" s="8">
        <v>10.07</v>
      </c>
      <c r="G28" s="12">
        <v>19</v>
      </c>
      <c r="H28" s="8">
        <v>1.73</v>
      </c>
      <c r="I28" s="12">
        <v>0</v>
      </c>
    </row>
    <row r="29" spans="2:9" ht="15" customHeight="1" x14ac:dyDescent="0.2">
      <c r="B29" t="s">
        <v>77</v>
      </c>
      <c r="C29" s="12">
        <v>114</v>
      </c>
      <c r="D29" s="8">
        <v>5.27</v>
      </c>
      <c r="E29" s="12">
        <v>87</v>
      </c>
      <c r="F29" s="8">
        <v>8.18</v>
      </c>
      <c r="G29" s="12">
        <v>27</v>
      </c>
      <c r="H29" s="8">
        <v>2.46</v>
      </c>
      <c r="I29" s="12">
        <v>0</v>
      </c>
    </row>
    <row r="30" spans="2:9" ht="15" customHeight="1" x14ac:dyDescent="0.2">
      <c r="B30" t="s">
        <v>79</v>
      </c>
      <c r="C30" s="12">
        <v>101</v>
      </c>
      <c r="D30" s="8">
        <v>4.67</v>
      </c>
      <c r="E30" s="12">
        <v>41</v>
      </c>
      <c r="F30" s="8">
        <v>3.86</v>
      </c>
      <c r="G30" s="12">
        <v>60</v>
      </c>
      <c r="H30" s="8">
        <v>5.47</v>
      </c>
      <c r="I30" s="12">
        <v>0</v>
      </c>
    </row>
    <row r="31" spans="2:9" ht="15" customHeight="1" x14ac:dyDescent="0.2">
      <c r="B31" t="s">
        <v>86</v>
      </c>
      <c r="C31" s="12">
        <v>91</v>
      </c>
      <c r="D31" s="8">
        <v>4.21</v>
      </c>
      <c r="E31" s="12">
        <v>77</v>
      </c>
      <c r="F31" s="8">
        <v>7.24</v>
      </c>
      <c r="G31" s="12">
        <v>12</v>
      </c>
      <c r="H31" s="8">
        <v>1.0900000000000001</v>
      </c>
      <c r="I31" s="12">
        <v>1</v>
      </c>
    </row>
    <row r="32" spans="2:9" ht="15" customHeight="1" x14ac:dyDescent="0.2">
      <c r="B32" t="s">
        <v>71</v>
      </c>
      <c r="C32" s="12">
        <v>90</v>
      </c>
      <c r="D32" s="8">
        <v>4.16</v>
      </c>
      <c r="E32" s="12">
        <v>18</v>
      </c>
      <c r="F32" s="8">
        <v>1.69</v>
      </c>
      <c r="G32" s="12">
        <v>72</v>
      </c>
      <c r="H32" s="8">
        <v>6.57</v>
      </c>
      <c r="I32" s="12">
        <v>0</v>
      </c>
    </row>
    <row r="33" spans="2:9" ht="15" customHeight="1" x14ac:dyDescent="0.2">
      <c r="B33" t="s">
        <v>78</v>
      </c>
      <c r="C33" s="12">
        <v>87</v>
      </c>
      <c r="D33" s="8">
        <v>4.0199999999999996</v>
      </c>
      <c r="E33" s="12">
        <v>36</v>
      </c>
      <c r="F33" s="8">
        <v>3.39</v>
      </c>
      <c r="G33" s="12">
        <v>51</v>
      </c>
      <c r="H33" s="8">
        <v>4.6500000000000004</v>
      </c>
      <c r="I33" s="12">
        <v>0</v>
      </c>
    </row>
    <row r="34" spans="2:9" ht="15" customHeight="1" x14ac:dyDescent="0.2">
      <c r="B34" t="s">
        <v>87</v>
      </c>
      <c r="C34" s="12">
        <v>87</v>
      </c>
      <c r="D34" s="8">
        <v>4.0199999999999996</v>
      </c>
      <c r="E34" s="12">
        <v>72</v>
      </c>
      <c r="F34" s="8">
        <v>6.77</v>
      </c>
      <c r="G34" s="12">
        <v>15</v>
      </c>
      <c r="H34" s="8">
        <v>1.37</v>
      </c>
      <c r="I34" s="12">
        <v>0</v>
      </c>
    </row>
    <row r="35" spans="2:9" ht="15" customHeight="1" x14ac:dyDescent="0.2">
      <c r="B35" t="s">
        <v>76</v>
      </c>
      <c r="C35" s="12">
        <v>65</v>
      </c>
      <c r="D35" s="8">
        <v>3.01</v>
      </c>
      <c r="E35" s="12">
        <v>25</v>
      </c>
      <c r="F35" s="8">
        <v>2.35</v>
      </c>
      <c r="G35" s="12">
        <v>40</v>
      </c>
      <c r="H35" s="8">
        <v>3.65</v>
      </c>
      <c r="I35" s="12">
        <v>0</v>
      </c>
    </row>
    <row r="36" spans="2:9" ht="15" customHeight="1" x14ac:dyDescent="0.2">
      <c r="B36" t="s">
        <v>82</v>
      </c>
      <c r="C36" s="12">
        <v>59</v>
      </c>
      <c r="D36" s="8">
        <v>2.73</v>
      </c>
      <c r="E36" s="12">
        <v>37</v>
      </c>
      <c r="F36" s="8">
        <v>3.48</v>
      </c>
      <c r="G36" s="12">
        <v>22</v>
      </c>
      <c r="H36" s="8">
        <v>2.0099999999999998</v>
      </c>
      <c r="I36" s="12">
        <v>0</v>
      </c>
    </row>
    <row r="37" spans="2:9" ht="15" customHeight="1" x14ac:dyDescent="0.2">
      <c r="B37" t="s">
        <v>94</v>
      </c>
      <c r="C37" s="12">
        <v>45</v>
      </c>
      <c r="D37" s="8">
        <v>2.08</v>
      </c>
      <c r="E37" s="12">
        <v>17</v>
      </c>
      <c r="F37" s="8">
        <v>1.6</v>
      </c>
      <c r="G37" s="12">
        <v>28</v>
      </c>
      <c r="H37" s="8">
        <v>2.5499999999999998</v>
      </c>
      <c r="I37" s="12">
        <v>0</v>
      </c>
    </row>
    <row r="38" spans="2:9" ht="15" customHeight="1" x14ac:dyDescent="0.2">
      <c r="B38" t="s">
        <v>73</v>
      </c>
      <c r="C38" s="12">
        <v>43</v>
      </c>
      <c r="D38" s="8">
        <v>1.99</v>
      </c>
      <c r="E38" s="12">
        <v>9</v>
      </c>
      <c r="F38" s="8">
        <v>0.85</v>
      </c>
      <c r="G38" s="12">
        <v>34</v>
      </c>
      <c r="H38" s="8">
        <v>3.1</v>
      </c>
      <c r="I38" s="12">
        <v>0</v>
      </c>
    </row>
    <row r="39" spans="2:9" ht="15" customHeight="1" x14ac:dyDescent="0.2">
      <c r="B39" t="s">
        <v>83</v>
      </c>
      <c r="C39" s="12">
        <v>42</v>
      </c>
      <c r="D39" s="8">
        <v>1.94</v>
      </c>
      <c r="E39" s="12">
        <v>22</v>
      </c>
      <c r="F39" s="8">
        <v>2.0699999999999998</v>
      </c>
      <c r="G39" s="12">
        <v>20</v>
      </c>
      <c r="H39" s="8">
        <v>1.82</v>
      </c>
      <c r="I39" s="12">
        <v>0</v>
      </c>
    </row>
    <row r="40" spans="2:9" ht="15" customHeight="1" x14ac:dyDescent="0.2">
      <c r="B40" t="s">
        <v>75</v>
      </c>
      <c r="C40" s="12">
        <v>34</v>
      </c>
      <c r="D40" s="8">
        <v>1.57</v>
      </c>
      <c r="E40" s="12">
        <v>7</v>
      </c>
      <c r="F40" s="8">
        <v>0.66</v>
      </c>
      <c r="G40" s="12">
        <v>27</v>
      </c>
      <c r="H40" s="8">
        <v>2.46</v>
      </c>
      <c r="I40" s="12">
        <v>0</v>
      </c>
    </row>
    <row r="41" spans="2:9" ht="15" customHeight="1" x14ac:dyDescent="0.2">
      <c r="B41" t="s">
        <v>93</v>
      </c>
      <c r="C41" s="12">
        <v>33</v>
      </c>
      <c r="D41" s="8">
        <v>1.53</v>
      </c>
      <c r="E41" s="12">
        <v>10</v>
      </c>
      <c r="F41" s="8">
        <v>0.94</v>
      </c>
      <c r="G41" s="12">
        <v>23</v>
      </c>
      <c r="H41" s="8">
        <v>2.1</v>
      </c>
      <c r="I41" s="12">
        <v>0</v>
      </c>
    </row>
    <row r="42" spans="2:9" ht="15" customHeight="1" x14ac:dyDescent="0.2">
      <c r="B42" t="s">
        <v>96</v>
      </c>
      <c r="C42" s="12">
        <v>31</v>
      </c>
      <c r="D42" s="8">
        <v>1.43</v>
      </c>
      <c r="E42" s="12">
        <v>17</v>
      </c>
      <c r="F42" s="8">
        <v>1.6</v>
      </c>
      <c r="G42" s="12">
        <v>14</v>
      </c>
      <c r="H42" s="8">
        <v>1.28</v>
      </c>
      <c r="I42" s="12">
        <v>0</v>
      </c>
    </row>
    <row r="43" spans="2:9" ht="15" customHeight="1" x14ac:dyDescent="0.2">
      <c r="B43" t="s">
        <v>95</v>
      </c>
      <c r="C43" s="12">
        <v>31</v>
      </c>
      <c r="D43" s="8">
        <v>1.43</v>
      </c>
      <c r="E43" s="12">
        <v>17</v>
      </c>
      <c r="F43" s="8">
        <v>1.6</v>
      </c>
      <c r="G43" s="12">
        <v>14</v>
      </c>
      <c r="H43" s="8">
        <v>1.28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123</v>
      </c>
      <c r="D47" s="8">
        <v>5.69</v>
      </c>
      <c r="E47" s="12">
        <v>112</v>
      </c>
      <c r="F47" s="8">
        <v>10.54</v>
      </c>
      <c r="G47" s="12">
        <v>11</v>
      </c>
      <c r="H47" s="8">
        <v>1</v>
      </c>
      <c r="I47" s="12">
        <v>0</v>
      </c>
    </row>
    <row r="48" spans="2:9" ht="15" customHeight="1" x14ac:dyDescent="0.2">
      <c r="B48" t="s">
        <v>126</v>
      </c>
      <c r="C48" s="12">
        <v>102</v>
      </c>
      <c r="D48" s="8">
        <v>4.72</v>
      </c>
      <c r="E48" s="12">
        <v>48</v>
      </c>
      <c r="F48" s="8">
        <v>4.5199999999999996</v>
      </c>
      <c r="G48" s="12">
        <v>54</v>
      </c>
      <c r="H48" s="8">
        <v>4.93</v>
      </c>
      <c r="I48" s="12">
        <v>0</v>
      </c>
    </row>
    <row r="49" spans="2:9" ht="15" customHeight="1" x14ac:dyDescent="0.2">
      <c r="B49" t="s">
        <v>134</v>
      </c>
      <c r="C49" s="12">
        <v>65</v>
      </c>
      <c r="D49" s="8">
        <v>3.01</v>
      </c>
      <c r="E49" s="12">
        <v>54</v>
      </c>
      <c r="F49" s="8">
        <v>5.08</v>
      </c>
      <c r="G49" s="12">
        <v>11</v>
      </c>
      <c r="H49" s="8">
        <v>1</v>
      </c>
      <c r="I49" s="12">
        <v>0</v>
      </c>
    </row>
    <row r="50" spans="2:9" ht="15" customHeight="1" x14ac:dyDescent="0.2">
      <c r="B50" t="s">
        <v>133</v>
      </c>
      <c r="C50" s="12">
        <v>61</v>
      </c>
      <c r="D50" s="8">
        <v>2.82</v>
      </c>
      <c r="E50" s="12">
        <v>56</v>
      </c>
      <c r="F50" s="8">
        <v>5.27</v>
      </c>
      <c r="G50" s="12">
        <v>5</v>
      </c>
      <c r="H50" s="8">
        <v>0.46</v>
      </c>
      <c r="I50" s="12">
        <v>0</v>
      </c>
    </row>
    <row r="51" spans="2:9" ht="15" customHeight="1" x14ac:dyDescent="0.2">
      <c r="B51" t="s">
        <v>118</v>
      </c>
      <c r="C51" s="12">
        <v>55</v>
      </c>
      <c r="D51" s="8">
        <v>2.54</v>
      </c>
      <c r="E51" s="12">
        <v>19</v>
      </c>
      <c r="F51" s="8">
        <v>1.79</v>
      </c>
      <c r="G51" s="12">
        <v>36</v>
      </c>
      <c r="H51" s="8">
        <v>3.28</v>
      </c>
      <c r="I51" s="12">
        <v>0</v>
      </c>
    </row>
    <row r="52" spans="2:9" ht="15" customHeight="1" x14ac:dyDescent="0.2">
      <c r="B52" t="s">
        <v>122</v>
      </c>
      <c r="C52" s="12">
        <v>55</v>
      </c>
      <c r="D52" s="8">
        <v>2.54</v>
      </c>
      <c r="E52" s="12">
        <v>22</v>
      </c>
      <c r="F52" s="8">
        <v>2.0699999999999998</v>
      </c>
      <c r="G52" s="12">
        <v>33</v>
      </c>
      <c r="H52" s="8">
        <v>3.01</v>
      </c>
      <c r="I52" s="12">
        <v>0</v>
      </c>
    </row>
    <row r="53" spans="2:9" ht="15" customHeight="1" x14ac:dyDescent="0.2">
      <c r="B53" t="s">
        <v>131</v>
      </c>
      <c r="C53" s="12">
        <v>55</v>
      </c>
      <c r="D53" s="8">
        <v>2.54</v>
      </c>
      <c r="E53" s="12">
        <v>49</v>
      </c>
      <c r="F53" s="8">
        <v>4.6100000000000003</v>
      </c>
      <c r="G53" s="12">
        <v>6</v>
      </c>
      <c r="H53" s="8">
        <v>0.55000000000000004</v>
      </c>
      <c r="I53" s="12">
        <v>0</v>
      </c>
    </row>
    <row r="54" spans="2:9" ht="15" customHeight="1" x14ac:dyDescent="0.2">
      <c r="B54" t="s">
        <v>121</v>
      </c>
      <c r="C54" s="12">
        <v>45</v>
      </c>
      <c r="D54" s="8">
        <v>2.08</v>
      </c>
      <c r="E54" s="12">
        <v>33</v>
      </c>
      <c r="F54" s="8">
        <v>3.1</v>
      </c>
      <c r="G54" s="12">
        <v>12</v>
      </c>
      <c r="H54" s="8">
        <v>1.0900000000000001</v>
      </c>
      <c r="I54" s="12">
        <v>0</v>
      </c>
    </row>
    <row r="55" spans="2:9" ht="15" customHeight="1" x14ac:dyDescent="0.2">
      <c r="B55" t="s">
        <v>119</v>
      </c>
      <c r="C55" s="12">
        <v>42</v>
      </c>
      <c r="D55" s="8">
        <v>1.94</v>
      </c>
      <c r="E55" s="12">
        <v>9</v>
      </c>
      <c r="F55" s="8">
        <v>0.85</v>
      </c>
      <c r="G55" s="12">
        <v>33</v>
      </c>
      <c r="H55" s="8">
        <v>3.01</v>
      </c>
      <c r="I55" s="12">
        <v>0</v>
      </c>
    </row>
    <row r="56" spans="2:9" ht="15" customHeight="1" x14ac:dyDescent="0.2">
      <c r="B56" t="s">
        <v>128</v>
      </c>
      <c r="C56" s="12">
        <v>40</v>
      </c>
      <c r="D56" s="8">
        <v>1.85</v>
      </c>
      <c r="E56" s="12">
        <v>32</v>
      </c>
      <c r="F56" s="8">
        <v>3.01</v>
      </c>
      <c r="G56" s="12">
        <v>8</v>
      </c>
      <c r="H56" s="8">
        <v>0.73</v>
      </c>
      <c r="I56" s="12">
        <v>0</v>
      </c>
    </row>
    <row r="57" spans="2:9" ht="15" customHeight="1" x14ac:dyDescent="0.2">
      <c r="B57" t="s">
        <v>116</v>
      </c>
      <c r="C57" s="12">
        <v>38</v>
      </c>
      <c r="D57" s="8">
        <v>1.76</v>
      </c>
      <c r="E57" s="12">
        <v>7</v>
      </c>
      <c r="F57" s="8">
        <v>0.66</v>
      </c>
      <c r="G57" s="12">
        <v>31</v>
      </c>
      <c r="H57" s="8">
        <v>2.83</v>
      </c>
      <c r="I57" s="12">
        <v>0</v>
      </c>
    </row>
    <row r="58" spans="2:9" ht="15" customHeight="1" x14ac:dyDescent="0.2">
      <c r="B58" t="s">
        <v>145</v>
      </c>
      <c r="C58" s="12">
        <v>37</v>
      </c>
      <c r="D58" s="8">
        <v>1.71</v>
      </c>
      <c r="E58" s="12">
        <v>14</v>
      </c>
      <c r="F58" s="8">
        <v>1.32</v>
      </c>
      <c r="G58" s="12">
        <v>23</v>
      </c>
      <c r="H58" s="8">
        <v>2.1</v>
      </c>
      <c r="I58" s="12">
        <v>0</v>
      </c>
    </row>
    <row r="59" spans="2:9" ht="15" customHeight="1" x14ac:dyDescent="0.2">
      <c r="B59" t="s">
        <v>129</v>
      </c>
      <c r="C59" s="12">
        <v>36</v>
      </c>
      <c r="D59" s="8">
        <v>1.66</v>
      </c>
      <c r="E59" s="12">
        <v>31</v>
      </c>
      <c r="F59" s="8">
        <v>2.92</v>
      </c>
      <c r="G59" s="12">
        <v>5</v>
      </c>
      <c r="H59" s="8">
        <v>0.46</v>
      </c>
      <c r="I59" s="12">
        <v>0</v>
      </c>
    </row>
    <row r="60" spans="2:9" ht="15" customHeight="1" x14ac:dyDescent="0.2">
      <c r="B60" t="s">
        <v>144</v>
      </c>
      <c r="C60" s="12">
        <v>34</v>
      </c>
      <c r="D60" s="8">
        <v>1.57</v>
      </c>
      <c r="E60" s="12">
        <v>15</v>
      </c>
      <c r="F60" s="8">
        <v>1.41</v>
      </c>
      <c r="G60" s="12">
        <v>19</v>
      </c>
      <c r="H60" s="8">
        <v>1.73</v>
      </c>
      <c r="I60" s="12">
        <v>0</v>
      </c>
    </row>
    <row r="61" spans="2:9" ht="15" customHeight="1" x14ac:dyDescent="0.2">
      <c r="B61" t="s">
        <v>120</v>
      </c>
      <c r="C61" s="12">
        <v>34</v>
      </c>
      <c r="D61" s="8">
        <v>1.57</v>
      </c>
      <c r="E61" s="12">
        <v>5</v>
      </c>
      <c r="F61" s="8">
        <v>0.47</v>
      </c>
      <c r="G61" s="12">
        <v>29</v>
      </c>
      <c r="H61" s="8">
        <v>2.65</v>
      </c>
      <c r="I61" s="12">
        <v>0</v>
      </c>
    </row>
    <row r="62" spans="2:9" ht="15" customHeight="1" x14ac:dyDescent="0.2">
      <c r="B62" t="s">
        <v>125</v>
      </c>
      <c r="C62" s="12">
        <v>33</v>
      </c>
      <c r="D62" s="8">
        <v>1.53</v>
      </c>
      <c r="E62" s="12">
        <v>6</v>
      </c>
      <c r="F62" s="8">
        <v>0.56000000000000005</v>
      </c>
      <c r="G62" s="12">
        <v>27</v>
      </c>
      <c r="H62" s="8">
        <v>2.46</v>
      </c>
      <c r="I62" s="12">
        <v>0</v>
      </c>
    </row>
    <row r="63" spans="2:9" ht="15" customHeight="1" x14ac:dyDescent="0.2">
      <c r="B63" t="s">
        <v>151</v>
      </c>
      <c r="C63" s="12">
        <v>32</v>
      </c>
      <c r="D63" s="8">
        <v>1.48</v>
      </c>
      <c r="E63" s="12">
        <v>8</v>
      </c>
      <c r="F63" s="8">
        <v>0.75</v>
      </c>
      <c r="G63" s="12">
        <v>24</v>
      </c>
      <c r="H63" s="8">
        <v>2.19</v>
      </c>
      <c r="I63" s="12">
        <v>0</v>
      </c>
    </row>
    <row r="64" spans="2:9" ht="15" customHeight="1" x14ac:dyDescent="0.2">
      <c r="B64" t="s">
        <v>117</v>
      </c>
      <c r="C64" s="12">
        <v>31</v>
      </c>
      <c r="D64" s="8">
        <v>1.43</v>
      </c>
      <c r="E64" s="12">
        <v>6</v>
      </c>
      <c r="F64" s="8">
        <v>0.56000000000000005</v>
      </c>
      <c r="G64" s="12">
        <v>25</v>
      </c>
      <c r="H64" s="8">
        <v>2.2799999999999998</v>
      </c>
      <c r="I64" s="12">
        <v>0</v>
      </c>
    </row>
    <row r="65" spans="2:9" ht="15" customHeight="1" x14ac:dyDescent="0.2">
      <c r="B65" t="s">
        <v>124</v>
      </c>
      <c r="C65" s="12">
        <v>29</v>
      </c>
      <c r="D65" s="8">
        <v>1.34</v>
      </c>
      <c r="E65" s="12">
        <v>8</v>
      </c>
      <c r="F65" s="8">
        <v>0.75</v>
      </c>
      <c r="G65" s="12">
        <v>21</v>
      </c>
      <c r="H65" s="8">
        <v>1.92</v>
      </c>
      <c r="I65" s="12">
        <v>0</v>
      </c>
    </row>
    <row r="66" spans="2:9" ht="15" customHeight="1" x14ac:dyDescent="0.2">
      <c r="B66" t="s">
        <v>136</v>
      </c>
      <c r="C66" s="12">
        <v>28</v>
      </c>
      <c r="D66" s="8">
        <v>1.29</v>
      </c>
      <c r="E66" s="12">
        <v>23</v>
      </c>
      <c r="F66" s="8">
        <v>2.16</v>
      </c>
      <c r="G66" s="12">
        <v>5</v>
      </c>
      <c r="H66" s="8">
        <v>0.46</v>
      </c>
      <c r="I66" s="12">
        <v>0</v>
      </c>
    </row>
    <row r="67" spans="2:9" ht="15" customHeight="1" x14ac:dyDescent="0.2">
      <c r="B67" t="s">
        <v>140</v>
      </c>
      <c r="C67" s="12">
        <v>28</v>
      </c>
      <c r="D67" s="8">
        <v>1.29</v>
      </c>
      <c r="E67" s="12">
        <v>19</v>
      </c>
      <c r="F67" s="8">
        <v>1.79</v>
      </c>
      <c r="G67" s="12">
        <v>9</v>
      </c>
      <c r="H67" s="8">
        <v>0.82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819A4-4A07-4B57-BD10-26BC5ADD03EB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203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370</v>
      </c>
      <c r="D6" s="8">
        <v>16.93</v>
      </c>
      <c r="E6" s="12">
        <v>81</v>
      </c>
      <c r="F6" s="8">
        <v>8.94</v>
      </c>
      <c r="G6" s="12">
        <v>289</v>
      </c>
      <c r="H6" s="8">
        <v>22.65</v>
      </c>
      <c r="I6" s="12">
        <v>0</v>
      </c>
    </row>
    <row r="7" spans="2:9" ht="15" customHeight="1" x14ac:dyDescent="0.2">
      <c r="B7" t="s">
        <v>48</v>
      </c>
      <c r="C7" s="12">
        <v>407</v>
      </c>
      <c r="D7" s="8">
        <v>18.62</v>
      </c>
      <c r="E7" s="12">
        <v>97</v>
      </c>
      <c r="F7" s="8">
        <v>10.71</v>
      </c>
      <c r="G7" s="12">
        <v>310</v>
      </c>
      <c r="H7" s="8">
        <v>24.29</v>
      </c>
      <c r="I7" s="12">
        <v>0</v>
      </c>
    </row>
    <row r="8" spans="2:9" ht="15" customHeight="1" x14ac:dyDescent="0.2">
      <c r="B8" t="s">
        <v>49</v>
      </c>
      <c r="C8" s="12">
        <v>18</v>
      </c>
      <c r="D8" s="8">
        <v>0.82</v>
      </c>
      <c r="E8" s="12">
        <v>0</v>
      </c>
      <c r="F8" s="8">
        <v>0</v>
      </c>
      <c r="G8" s="12">
        <v>18</v>
      </c>
      <c r="H8" s="8">
        <v>1.41</v>
      </c>
      <c r="I8" s="12">
        <v>0</v>
      </c>
    </row>
    <row r="9" spans="2:9" ht="15" customHeight="1" x14ac:dyDescent="0.2">
      <c r="B9" t="s">
        <v>50</v>
      </c>
      <c r="C9" s="12">
        <v>17</v>
      </c>
      <c r="D9" s="8">
        <v>0.78</v>
      </c>
      <c r="E9" s="12">
        <v>1</v>
      </c>
      <c r="F9" s="8">
        <v>0.11</v>
      </c>
      <c r="G9" s="12">
        <v>16</v>
      </c>
      <c r="H9" s="8">
        <v>1.25</v>
      </c>
      <c r="I9" s="12">
        <v>0</v>
      </c>
    </row>
    <row r="10" spans="2:9" ht="15" customHeight="1" x14ac:dyDescent="0.2">
      <c r="B10" t="s">
        <v>51</v>
      </c>
      <c r="C10" s="12">
        <v>21</v>
      </c>
      <c r="D10" s="8">
        <v>0.96</v>
      </c>
      <c r="E10" s="12">
        <v>2</v>
      </c>
      <c r="F10" s="8">
        <v>0.22</v>
      </c>
      <c r="G10" s="12">
        <v>19</v>
      </c>
      <c r="H10" s="8">
        <v>1.49</v>
      </c>
      <c r="I10" s="12">
        <v>0</v>
      </c>
    </row>
    <row r="11" spans="2:9" ht="15" customHeight="1" x14ac:dyDescent="0.2">
      <c r="B11" t="s">
        <v>52</v>
      </c>
      <c r="C11" s="12">
        <v>442</v>
      </c>
      <c r="D11" s="8">
        <v>20.22</v>
      </c>
      <c r="E11" s="12">
        <v>160</v>
      </c>
      <c r="F11" s="8">
        <v>17.66</v>
      </c>
      <c r="G11" s="12">
        <v>282</v>
      </c>
      <c r="H11" s="8">
        <v>22.1</v>
      </c>
      <c r="I11" s="12">
        <v>0</v>
      </c>
    </row>
    <row r="12" spans="2:9" ht="15" customHeight="1" x14ac:dyDescent="0.2">
      <c r="B12" t="s">
        <v>53</v>
      </c>
      <c r="C12" s="12">
        <v>17</v>
      </c>
      <c r="D12" s="8">
        <v>0.78</v>
      </c>
      <c r="E12" s="12">
        <v>2</v>
      </c>
      <c r="F12" s="8">
        <v>0.22</v>
      </c>
      <c r="G12" s="12">
        <v>15</v>
      </c>
      <c r="H12" s="8">
        <v>1.18</v>
      </c>
      <c r="I12" s="12">
        <v>0</v>
      </c>
    </row>
    <row r="13" spans="2:9" ht="15" customHeight="1" x14ac:dyDescent="0.2">
      <c r="B13" t="s">
        <v>54</v>
      </c>
      <c r="C13" s="12">
        <v>166</v>
      </c>
      <c r="D13" s="8">
        <v>7.59</v>
      </c>
      <c r="E13" s="12">
        <v>49</v>
      </c>
      <c r="F13" s="8">
        <v>5.41</v>
      </c>
      <c r="G13" s="12">
        <v>117</v>
      </c>
      <c r="H13" s="8">
        <v>9.17</v>
      </c>
      <c r="I13" s="12">
        <v>0</v>
      </c>
    </row>
    <row r="14" spans="2:9" ht="15" customHeight="1" x14ac:dyDescent="0.2">
      <c r="B14" t="s">
        <v>55</v>
      </c>
      <c r="C14" s="12">
        <v>121</v>
      </c>
      <c r="D14" s="8">
        <v>5.54</v>
      </c>
      <c r="E14" s="12">
        <v>68</v>
      </c>
      <c r="F14" s="8">
        <v>7.51</v>
      </c>
      <c r="G14" s="12">
        <v>52</v>
      </c>
      <c r="H14" s="8">
        <v>4.08</v>
      </c>
      <c r="I14" s="12">
        <v>0</v>
      </c>
    </row>
    <row r="15" spans="2:9" ht="15" customHeight="1" x14ac:dyDescent="0.2">
      <c r="B15" t="s">
        <v>56</v>
      </c>
      <c r="C15" s="12">
        <v>131</v>
      </c>
      <c r="D15" s="8">
        <v>5.99</v>
      </c>
      <c r="E15" s="12">
        <v>106</v>
      </c>
      <c r="F15" s="8">
        <v>11.7</v>
      </c>
      <c r="G15" s="12">
        <v>25</v>
      </c>
      <c r="H15" s="8">
        <v>1.96</v>
      </c>
      <c r="I15" s="12">
        <v>0</v>
      </c>
    </row>
    <row r="16" spans="2:9" ht="15" customHeight="1" x14ac:dyDescent="0.2">
      <c r="B16" t="s">
        <v>57</v>
      </c>
      <c r="C16" s="12">
        <v>240</v>
      </c>
      <c r="D16" s="8">
        <v>10.98</v>
      </c>
      <c r="E16" s="12">
        <v>196</v>
      </c>
      <c r="F16" s="8">
        <v>21.63</v>
      </c>
      <c r="G16" s="12">
        <v>44</v>
      </c>
      <c r="H16" s="8">
        <v>3.45</v>
      </c>
      <c r="I16" s="12">
        <v>0</v>
      </c>
    </row>
    <row r="17" spans="2:9" ht="15" customHeight="1" x14ac:dyDescent="0.2">
      <c r="B17" t="s">
        <v>58</v>
      </c>
      <c r="C17" s="12">
        <v>83</v>
      </c>
      <c r="D17" s="8">
        <v>3.8</v>
      </c>
      <c r="E17" s="12">
        <v>69</v>
      </c>
      <c r="F17" s="8">
        <v>7.62</v>
      </c>
      <c r="G17" s="12">
        <v>12</v>
      </c>
      <c r="H17" s="8">
        <v>0.94</v>
      </c>
      <c r="I17" s="12">
        <v>1</v>
      </c>
    </row>
    <row r="18" spans="2:9" ht="15" customHeight="1" x14ac:dyDescent="0.2">
      <c r="B18" t="s">
        <v>59</v>
      </c>
      <c r="C18" s="12">
        <v>73</v>
      </c>
      <c r="D18" s="8">
        <v>3.34</v>
      </c>
      <c r="E18" s="12">
        <v>46</v>
      </c>
      <c r="F18" s="8">
        <v>5.08</v>
      </c>
      <c r="G18" s="12">
        <v>27</v>
      </c>
      <c r="H18" s="8">
        <v>2.12</v>
      </c>
      <c r="I18" s="12">
        <v>0</v>
      </c>
    </row>
    <row r="19" spans="2:9" ht="15" customHeight="1" x14ac:dyDescent="0.2">
      <c r="B19" t="s">
        <v>60</v>
      </c>
      <c r="C19" s="12">
        <v>80</v>
      </c>
      <c r="D19" s="8">
        <v>3.66</v>
      </c>
      <c r="E19" s="12">
        <v>29</v>
      </c>
      <c r="F19" s="8">
        <v>3.2</v>
      </c>
      <c r="G19" s="12">
        <v>50</v>
      </c>
      <c r="H19" s="8">
        <v>3.92</v>
      </c>
      <c r="I19" s="12">
        <v>1</v>
      </c>
    </row>
    <row r="20" spans="2:9" ht="15" customHeight="1" x14ac:dyDescent="0.2">
      <c r="B20" s="9" t="s">
        <v>191</v>
      </c>
      <c r="C20" s="12">
        <f>SUM(LTBL_22134[総数／事業所数])</f>
        <v>2186</v>
      </c>
      <c r="E20" s="12">
        <f>SUBTOTAL(109,LTBL_22134[個人／事業所数])</f>
        <v>906</v>
      </c>
      <c r="G20" s="12">
        <f>SUBTOTAL(109,LTBL_22134[法人／事業所数])</f>
        <v>1276</v>
      </c>
      <c r="I20" s="12">
        <f>SUBTOTAL(109,LTBL_22134[法人以外の団体／事業所数])</f>
        <v>2</v>
      </c>
    </row>
    <row r="21" spans="2:9" ht="15" customHeight="1" x14ac:dyDescent="0.2">
      <c r="E21" s="11">
        <f>LTBL_22134[[#Totals],[個人／事業所数]]/LTBL_22134[[#Totals],[総数／事業所数]]</f>
        <v>0.41445562671546204</v>
      </c>
      <c r="G21" s="11">
        <f>LTBL_22134[[#Totals],[法人／事業所数]]/LTBL_22134[[#Totals],[総数／事業所数]]</f>
        <v>0.58371454711802384</v>
      </c>
      <c r="I21" s="11">
        <f>LTBL_22134[[#Totals],[法人以外の団体／事業所数]]/LTBL_22134[[#Totals],[総数／事業所数]]</f>
        <v>9.1491308325709062E-4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205</v>
      </c>
      <c r="D24" s="8">
        <v>9.3800000000000008</v>
      </c>
      <c r="E24" s="12">
        <v>182</v>
      </c>
      <c r="F24" s="8">
        <v>20.09</v>
      </c>
      <c r="G24" s="12">
        <v>23</v>
      </c>
      <c r="H24" s="8">
        <v>1.8</v>
      </c>
      <c r="I24" s="12">
        <v>0</v>
      </c>
    </row>
    <row r="25" spans="2:9" ht="15" customHeight="1" x14ac:dyDescent="0.2">
      <c r="B25" t="s">
        <v>81</v>
      </c>
      <c r="C25" s="12">
        <v>144</v>
      </c>
      <c r="D25" s="8">
        <v>6.59</v>
      </c>
      <c r="E25" s="12">
        <v>43</v>
      </c>
      <c r="F25" s="8">
        <v>4.75</v>
      </c>
      <c r="G25" s="12">
        <v>101</v>
      </c>
      <c r="H25" s="8">
        <v>7.92</v>
      </c>
      <c r="I25" s="12">
        <v>0</v>
      </c>
    </row>
    <row r="26" spans="2:9" ht="15" customHeight="1" x14ac:dyDescent="0.2">
      <c r="B26" t="s">
        <v>69</v>
      </c>
      <c r="C26" s="12">
        <v>139</v>
      </c>
      <c r="D26" s="8">
        <v>6.36</v>
      </c>
      <c r="E26" s="12">
        <v>28</v>
      </c>
      <c r="F26" s="8">
        <v>3.09</v>
      </c>
      <c r="G26" s="12">
        <v>111</v>
      </c>
      <c r="H26" s="8">
        <v>8.6999999999999993</v>
      </c>
      <c r="I26" s="12">
        <v>0</v>
      </c>
    </row>
    <row r="27" spans="2:9" ht="15" customHeight="1" x14ac:dyDescent="0.2">
      <c r="B27" t="s">
        <v>70</v>
      </c>
      <c r="C27" s="12">
        <v>123</v>
      </c>
      <c r="D27" s="8">
        <v>5.63</v>
      </c>
      <c r="E27" s="12">
        <v>31</v>
      </c>
      <c r="F27" s="8">
        <v>3.42</v>
      </c>
      <c r="G27" s="12">
        <v>92</v>
      </c>
      <c r="H27" s="8">
        <v>7.21</v>
      </c>
      <c r="I27" s="12">
        <v>0</v>
      </c>
    </row>
    <row r="28" spans="2:9" ht="15" customHeight="1" x14ac:dyDescent="0.2">
      <c r="B28" t="s">
        <v>84</v>
      </c>
      <c r="C28" s="12">
        <v>119</v>
      </c>
      <c r="D28" s="8">
        <v>5.44</v>
      </c>
      <c r="E28" s="12">
        <v>105</v>
      </c>
      <c r="F28" s="8">
        <v>11.59</v>
      </c>
      <c r="G28" s="12">
        <v>14</v>
      </c>
      <c r="H28" s="8">
        <v>1.1000000000000001</v>
      </c>
      <c r="I28" s="12">
        <v>0</v>
      </c>
    </row>
    <row r="29" spans="2:9" ht="15" customHeight="1" x14ac:dyDescent="0.2">
      <c r="B29" t="s">
        <v>71</v>
      </c>
      <c r="C29" s="12">
        <v>108</v>
      </c>
      <c r="D29" s="8">
        <v>4.9400000000000004</v>
      </c>
      <c r="E29" s="12">
        <v>22</v>
      </c>
      <c r="F29" s="8">
        <v>2.4300000000000002</v>
      </c>
      <c r="G29" s="12">
        <v>86</v>
      </c>
      <c r="H29" s="8">
        <v>6.74</v>
      </c>
      <c r="I29" s="12">
        <v>0</v>
      </c>
    </row>
    <row r="30" spans="2:9" ht="15" customHeight="1" x14ac:dyDescent="0.2">
      <c r="B30" t="s">
        <v>79</v>
      </c>
      <c r="C30" s="12">
        <v>91</v>
      </c>
      <c r="D30" s="8">
        <v>4.16</v>
      </c>
      <c r="E30" s="12">
        <v>39</v>
      </c>
      <c r="F30" s="8">
        <v>4.3</v>
      </c>
      <c r="G30" s="12">
        <v>52</v>
      </c>
      <c r="H30" s="8">
        <v>4.08</v>
      </c>
      <c r="I30" s="12">
        <v>0</v>
      </c>
    </row>
    <row r="31" spans="2:9" ht="15" customHeight="1" x14ac:dyDescent="0.2">
      <c r="B31" t="s">
        <v>78</v>
      </c>
      <c r="C31" s="12">
        <v>90</v>
      </c>
      <c r="D31" s="8">
        <v>4.12</v>
      </c>
      <c r="E31" s="12">
        <v>54</v>
      </c>
      <c r="F31" s="8">
        <v>5.96</v>
      </c>
      <c r="G31" s="12">
        <v>36</v>
      </c>
      <c r="H31" s="8">
        <v>2.82</v>
      </c>
      <c r="I31" s="12">
        <v>0</v>
      </c>
    </row>
    <row r="32" spans="2:9" ht="15" customHeight="1" x14ac:dyDescent="0.2">
      <c r="B32" t="s">
        <v>86</v>
      </c>
      <c r="C32" s="12">
        <v>83</v>
      </c>
      <c r="D32" s="8">
        <v>3.8</v>
      </c>
      <c r="E32" s="12">
        <v>69</v>
      </c>
      <c r="F32" s="8">
        <v>7.62</v>
      </c>
      <c r="G32" s="12">
        <v>12</v>
      </c>
      <c r="H32" s="8">
        <v>0.94</v>
      </c>
      <c r="I32" s="12">
        <v>1</v>
      </c>
    </row>
    <row r="33" spans="2:9" ht="15" customHeight="1" x14ac:dyDescent="0.2">
      <c r="B33" t="s">
        <v>73</v>
      </c>
      <c r="C33" s="12">
        <v>71</v>
      </c>
      <c r="D33" s="8">
        <v>3.25</v>
      </c>
      <c r="E33" s="12">
        <v>16</v>
      </c>
      <c r="F33" s="8">
        <v>1.77</v>
      </c>
      <c r="G33" s="12">
        <v>55</v>
      </c>
      <c r="H33" s="8">
        <v>4.3099999999999996</v>
      </c>
      <c r="I33" s="12">
        <v>0</v>
      </c>
    </row>
    <row r="34" spans="2:9" ht="15" customHeight="1" x14ac:dyDescent="0.2">
      <c r="B34" t="s">
        <v>82</v>
      </c>
      <c r="C34" s="12">
        <v>70</v>
      </c>
      <c r="D34" s="8">
        <v>3.2</v>
      </c>
      <c r="E34" s="12">
        <v>48</v>
      </c>
      <c r="F34" s="8">
        <v>5.3</v>
      </c>
      <c r="G34" s="12">
        <v>22</v>
      </c>
      <c r="H34" s="8">
        <v>1.72</v>
      </c>
      <c r="I34" s="12">
        <v>0</v>
      </c>
    </row>
    <row r="35" spans="2:9" ht="15" customHeight="1" x14ac:dyDescent="0.2">
      <c r="B35" t="s">
        <v>72</v>
      </c>
      <c r="C35" s="12">
        <v>58</v>
      </c>
      <c r="D35" s="8">
        <v>2.65</v>
      </c>
      <c r="E35" s="12">
        <v>20</v>
      </c>
      <c r="F35" s="8">
        <v>2.21</v>
      </c>
      <c r="G35" s="12">
        <v>38</v>
      </c>
      <c r="H35" s="8">
        <v>2.98</v>
      </c>
      <c r="I35" s="12">
        <v>0</v>
      </c>
    </row>
    <row r="36" spans="2:9" ht="15" customHeight="1" x14ac:dyDescent="0.2">
      <c r="B36" t="s">
        <v>94</v>
      </c>
      <c r="C36" s="12">
        <v>55</v>
      </c>
      <c r="D36" s="8">
        <v>2.52</v>
      </c>
      <c r="E36" s="12">
        <v>11</v>
      </c>
      <c r="F36" s="8">
        <v>1.21</v>
      </c>
      <c r="G36" s="12">
        <v>44</v>
      </c>
      <c r="H36" s="8">
        <v>3.45</v>
      </c>
      <c r="I36" s="12">
        <v>0</v>
      </c>
    </row>
    <row r="37" spans="2:9" ht="15" customHeight="1" x14ac:dyDescent="0.2">
      <c r="B37" t="s">
        <v>87</v>
      </c>
      <c r="C37" s="12">
        <v>53</v>
      </c>
      <c r="D37" s="8">
        <v>2.42</v>
      </c>
      <c r="E37" s="12">
        <v>46</v>
      </c>
      <c r="F37" s="8">
        <v>5.08</v>
      </c>
      <c r="G37" s="12">
        <v>7</v>
      </c>
      <c r="H37" s="8">
        <v>0.55000000000000004</v>
      </c>
      <c r="I37" s="12">
        <v>0</v>
      </c>
    </row>
    <row r="38" spans="2:9" ht="15" customHeight="1" x14ac:dyDescent="0.2">
      <c r="B38" t="s">
        <v>83</v>
      </c>
      <c r="C38" s="12">
        <v>45</v>
      </c>
      <c r="D38" s="8">
        <v>2.06</v>
      </c>
      <c r="E38" s="12">
        <v>18</v>
      </c>
      <c r="F38" s="8">
        <v>1.99</v>
      </c>
      <c r="G38" s="12">
        <v>27</v>
      </c>
      <c r="H38" s="8">
        <v>2.12</v>
      </c>
      <c r="I38" s="12">
        <v>0</v>
      </c>
    </row>
    <row r="39" spans="2:9" ht="15" customHeight="1" x14ac:dyDescent="0.2">
      <c r="B39" t="s">
        <v>75</v>
      </c>
      <c r="C39" s="12">
        <v>44</v>
      </c>
      <c r="D39" s="8">
        <v>2.0099999999999998</v>
      </c>
      <c r="E39" s="12">
        <v>5</v>
      </c>
      <c r="F39" s="8">
        <v>0.55000000000000004</v>
      </c>
      <c r="G39" s="12">
        <v>39</v>
      </c>
      <c r="H39" s="8">
        <v>3.06</v>
      </c>
      <c r="I39" s="12">
        <v>0</v>
      </c>
    </row>
    <row r="40" spans="2:9" ht="15" customHeight="1" x14ac:dyDescent="0.2">
      <c r="B40" t="s">
        <v>77</v>
      </c>
      <c r="C40" s="12">
        <v>44</v>
      </c>
      <c r="D40" s="8">
        <v>2.0099999999999998</v>
      </c>
      <c r="E40" s="12">
        <v>34</v>
      </c>
      <c r="F40" s="8">
        <v>3.75</v>
      </c>
      <c r="G40" s="12">
        <v>10</v>
      </c>
      <c r="H40" s="8">
        <v>0.78</v>
      </c>
      <c r="I40" s="12">
        <v>0</v>
      </c>
    </row>
    <row r="41" spans="2:9" ht="15" customHeight="1" x14ac:dyDescent="0.2">
      <c r="B41" t="s">
        <v>74</v>
      </c>
      <c r="C41" s="12">
        <v>42</v>
      </c>
      <c r="D41" s="8">
        <v>1.92</v>
      </c>
      <c r="E41" s="12">
        <v>4</v>
      </c>
      <c r="F41" s="8">
        <v>0.44</v>
      </c>
      <c r="G41" s="12">
        <v>38</v>
      </c>
      <c r="H41" s="8">
        <v>2.98</v>
      </c>
      <c r="I41" s="12">
        <v>0</v>
      </c>
    </row>
    <row r="42" spans="2:9" ht="15" customHeight="1" x14ac:dyDescent="0.2">
      <c r="B42" t="s">
        <v>88</v>
      </c>
      <c r="C42" s="12">
        <v>39</v>
      </c>
      <c r="D42" s="8">
        <v>1.78</v>
      </c>
      <c r="E42" s="12">
        <v>23</v>
      </c>
      <c r="F42" s="8">
        <v>2.54</v>
      </c>
      <c r="G42" s="12">
        <v>16</v>
      </c>
      <c r="H42" s="8">
        <v>1.25</v>
      </c>
      <c r="I42" s="12">
        <v>0</v>
      </c>
    </row>
    <row r="43" spans="2:9" ht="15" customHeight="1" x14ac:dyDescent="0.2">
      <c r="B43" t="s">
        <v>92</v>
      </c>
      <c r="C43" s="12">
        <v>37</v>
      </c>
      <c r="D43" s="8">
        <v>1.69</v>
      </c>
      <c r="E43" s="12">
        <v>11</v>
      </c>
      <c r="F43" s="8">
        <v>1.21</v>
      </c>
      <c r="G43" s="12">
        <v>26</v>
      </c>
      <c r="H43" s="8">
        <v>2.04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104</v>
      </c>
      <c r="D47" s="8">
        <v>4.76</v>
      </c>
      <c r="E47" s="12">
        <v>100</v>
      </c>
      <c r="F47" s="8">
        <v>11.04</v>
      </c>
      <c r="G47" s="12">
        <v>4</v>
      </c>
      <c r="H47" s="8">
        <v>0.31</v>
      </c>
      <c r="I47" s="12">
        <v>0</v>
      </c>
    </row>
    <row r="48" spans="2:9" ht="15" customHeight="1" x14ac:dyDescent="0.2">
      <c r="B48" t="s">
        <v>126</v>
      </c>
      <c r="C48" s="12">
        <v>98</v>
      </c>
      <c r="D48" s="8">
        <v>4.4800000000000004</v>
      </c>
      <c r="E48" s="12">
        <v>42</v>
      </c>
      <c r="F48" s="8">
        <v>4.6399999999999997</v>
      </c>
      <c r="G48" s="12">
        <v>56</v>
      </c>
      <c r="H48" s="8">
        <v>4.3899999999999997</v>
      </c>
      <c r="I48" s="12">
        <v>0</v>
      </c>
    </row>
    <row r="49" spans="2:9" ht="15" customHeight="1" x14ac:dyDescent="0.2">
      <c r="B49" t="s">
        <v>122</v>
      </c>
      <c r="C49" s="12">
        <v>62</v>
      </c>
      <c r="D49" s="8">
        <v>2.84</v>
      </c>
      <c r="E49" s="12">
        <v>37</v>
      </c>
      <c r="F49" s="8">
        <v>4.08</v>
      </c>
      <c r="G49" s="12">
        <v>25</v>
      </c>
      <c r="H49" s="8">
        <v>1.96</v>
      </c>
      <c r="I49" s="12">
        <v>0</v>
      </c>
    </row>
    <row r="50" spans="2:9" ht="15" customHeight="1" x14ac:dyDescent="0.2">
      <c r="B50" t="s">
        <v>131</v>
      </c>
      <c r="C50" s="12">
        <v>59</v>
      </c>
      <c r="D50" s="8">
        <v>2.7</v>
      </c>
      <c r="E50" s="12">
        <v>55</v>
      </c>
      <c r="F50" s="8">
        <v>6.07</v>
      </c>
      <c r="G50" s="12">
        <v>4</v>
      </c>
      <c r="H50" s="8">
        <v>0.31</v>
      </c>
      <c r="I50" s="12">
        <v>0</v>
      </c>
    </row>
    <row r="51" spans="2:9" ht="15" customHeight="1" x14ac:dyDescent="0.2">
      <c r="B51" t="s">
        <v>119</v>
      </c>
      <c r="C51" s="12">
        <v>56</v>
      </c>
      <c r="D51" s="8">
        <v>2.56</v>
      </c>
      <c r="E51" s="12">
        <v>14</v>
      </c>
      <c r="F51" s="8">
        <v>1.55</v>
      </c>
      <c r="G51" s="12">
        <v>42</v>
      </c>
      <c r="H51" s="8">
        <v>3.29</v>
      </c>
      <c r="I51" s="12">
        <v>0</v>
      </c>
    </row>
    <row r="52" spans="2:9" ht="15" customHeight="1" x14ac:dyDescent="0.2">
      <c r="B52" t="s">
        <v>145</v>
      </c>
      <c r="C52" s="12">
        <v>52</v>
      </c>
      <c r="D52" s="8">
        <v>2.38</v>
      </c>
      <c r="E52" s="12">
        <v>11</v>
      </c>
      <c r="F52" s="8">
        <v>1.21</v>
      </c>
      <c r="G52" s="12">
        <v>41</v>
      </c>
      <c r="H52" s="8">
        <v>3.21</v>
      </c>
      <c r="I52" s="12">
        <v>0</v>
      </c>
    </row>
    <row r="53" spans="2:9" ht="15" customHeight="1" x14ac:dyDescent="0.2">
      <c r="B53" t="s">
        <v>133</v>
      </c>
      <c r="C53" s="12">
        <v>48</v>
      </c>
      <c r="D53" s="8">
        <v>2.2000000000000002</v>
      </c>
      <c r="E53" s="12">
        <v>43</v>
      </c>
      <c r="F53" s="8">
        <v>4.75</v>
      </c>
      <c r="G53" s="12">
        <v>5</v>
      </c>
      <c r="H53" s="8">
        <v>0.39</v>
      </c>
      <c r="I53" s="12">
        <v>0</v>
      </c>
    </row>
    <row r="54" spans="2:9" ht="15" customHeight="1" x14ac:dyDescent="0.2">
      <c r="B54" t="s">
        <v>118</v>
      </c>
      <c r="C54" s="12">
        <v>46</v>
      </c>
      <c r="D54" s="8">
        <v>2.1</v>
      </c>
      <c r="E54" s="12">
        <v>15</v>
      </c>
      <c r="F54" s="8">
        <v>1.66</v>
      </c>
      <c r="G54" s="12">
        <v>31</v>
      </c>
      <c r="H54" s="8">
        <v>2.4300000000000002</v>
      </c>
      <c r="I54" s="12">
        <v>0</v>
      </c>
    </row>
    <row r="55" spans="2:9" ht="15" customHeight="1" x14ac:dyDescent="0.2">
      <c r="B55" t="s">
        <v>151</v>
      </c>
      <c r="C55" s="12">
        <v>42</v>
      </c>
      <c r="D55" s="8">
        <v>1.92</v>
      </c>
      <c r="E55" s="12">
        <v>7</v>
      </c>
      <c r="F55" s="8">
        <v>0.77</v>
      </c>
      <c r="G55" s="12">
        <v>35</v>
      </c>
      <c r="H55" s="8">
        <v>2.74</v>
      </c>
      <c r="I55" s="12">
        <v>0</v>
      </c>
    </row>
    <row r="56" spans="2:9" ht="15" customHeight="1" x14ac:dyDescent="0.2">
      <c r="B56" t="s">
        <v>117</v>
      </c>
      <c r="C56" s="12">
        <v>41</v>
      </c>
      <c r="D56" s="8">
        <v>1.88</v>
      </c>
      <c r="E56" s="12">
        <v>5</v>
      </c>
      <c r="F56" s="8">
        <v>0.55000000000000004</v>
      </c>
      <c r="G56" s="12">
        <v>36</v>
      </c>
      <c r="H56" s="8">
        <v>2.82</v>
      </c>
      <c r="I56" s="12">
        <v>0</v>
      </c>
    </row>
    <row r="57" spans="2:9" ht="15" customHeight="1" x14ac:dyDescent="0.2">
      <c r="B57" t="s">
        <v>134</v>
      </c>
      <c r="C57" s="12">
        <v>39</v>
      </c>
      <c r="D57" s="8">
        <v>1.78</v>
      </c>
      <c r="E57" s="12">
        <v>34</v>
      </c>
      <c r="F57" s="8">
        <v>3.75</v>
      </c>
      <c r="G57" s="12">
        <v>5</v>
      </c>
      <c r="H57" s="8">
        <v>0.39</v>
      </c>
      <c r="I57" s="12">
        <v>0</v>
      </c>
    </row>
    <row r="58" spans="2:9" ht="15" customHeight="1" x14ac:dyDescent="0.2">
      <c r="B58" t="s">
        <v>135</v>
      </c>
      <c r="C58" s="12">
        <v>38</v>
      </c>
      <c r="D58" s="8">
        <v>1.74</v>
      </c>
      <c r="E58" s="12">
        <v>23</v>
      </c>
      <c r="F58" s="8">
        <v>2.54</v>
      </c>
      <c r="G58" s="12">
        <v>15</v>
      </c>
      <c r="H58" s="8">
        <v>1.18</v>
      </c>
      <c r="I58" s="12">
        <v>0</v>
      </c>
    </row>
    <row r="59" spans="2:9" ht="15" customHeight="1" x14ac:dyDescent="0.2">
      <c r="B59" t="s">
        <v>120</v>
      </c>
      <c r="C59" s="12">
        <v>37</v>
      </c>
      <c r="D59" s="8">
        <v>1.69</v>
      </c>
      <c r="E59" s="12">
        <v>8</v>
      </c>
      <c r="F59" s="8">
        <v>0.88</v>
      </c>
      <c r="G59" s="12">
        <v>29</v>
      </c>
      <c r="H59" s="8">
        <v>2.27</v>
      </c>
      <c r="I59" s="12">
        <v>0</v>
      </c>
    </row>
    <row r="60" spans="2:9" ht="15" customHeight="1" x14ac:dyDescent="0.2">
      <c r="B60" t="s">
        <v>125</v>
      </c>
      <c r="C60" s="12">
        <v>32</v>
      </c>
      <c r="D60" s="8">
        <v>1.46</v>
      </c>
      <c r="E60" s="12">
        <v>1</v>
      </c>
      <c r="F60" s="8">
        <v>0.11</v>
      </c>
      <c r="G60" s="12">
        <v>31</v>
      </c>
      <c r="H60" s="8">
        <v>2.4300000000000002</v>
      </c>
      <c r="I60" s="12">
        <v>0</v>
      </c>
    </row>
    <row r="61" spans="2:9" ht="15" customHeight="1" x14ac:dyDescent="0.2">
      <c r="B61" t="s">
        <v>128</v>
      </c>
      <c r="C61" s="12">
        <v>30</v>
      </c>
      <c r="D61" s="8">
        <v>1.37</v>
      </c>
      <c r="E61" s="12">
        <v>24</v>
      </c>
      <c r="F61" s="8">
        <v>2.65</v>
      </c>
      <c r="G61" s="12">
        <v>6</v>
      </c>
      <c r="H61" s="8">
        <v>0.47</v>
      </c>
      <c r="I61" s="12">
        <v>0</v>
      </c>
    </row>
    <row r="62" spans="2:9" ht="15" customHeight="1" x14ac:dyDescent="0.2">
      <c r="B62" t="s">
        <v>150</v>
      </c>
      <c r="C62" s="12">
        <v>29</v>
      </c>
      <c r="D62" s="8">
        <v>1.33</v>
      </c>
      <c r="E62" s="12">
        <v>7</v>
      </c>
      <c r="F62" s="8">
        <v>0.77</v>
      </c>
      <c r="G62" s="12">
        <v>22</v>
      </c>
      <c r="H62" s="8">
        <v>1.72</v>
      </c>
      <c r="I62" s="12">
        <v>0</v>
      </c>
    </row>
    <row r="63" spans="2:9" ht="15" customHeight="1" x14ac:dyDescent="0.2">
      <c r="B63" t="s">
        <v>153</v>
      </c>
      <c r="C63" s="12">
        <v>29</v>
      </c>
      <c r="D63" s="8">
        <v>1.33</v>
      </c>
      <c r="E63" s="12">
        <v>26</v>
      </c>
      <c r="F63" s="8">
        <v>2.87</v>
      </c>
      <c r="G63" s="12">
        <v>2</v>
      </c>
      <c r="H63" s="8">
        <v>0.16</v>
      </c>
      <c r="I63" s="12">
        <v>1</v>
      </c>
    </row>
    <row r="64" spans="2:9" ht="15" customHeight="1" x14ac:dyDescent="0.2">
      <c r="B64" t="s">
        <v>116</v>
      </c>
      <c r="C64" s="12">
        <v>28</v>
      </c>
      <c r="D64" s="8">
        <v>1.28</v>
      </c>
      <c r="E64" s="12">
        <v>2</v>
      </c>
      <c r="F64" s="8">
        <v>0.22</v>
      </c>
      <c r="G64" s="12">
        <v>26</v>
      </c>
      <c r="H64" s="8">
        <v>2.04</v>
      </c>
      <c r="I64" s="12">
        <v>0</v>
      </c>
    </row>
    <row r="65" spans="2:9" ht="15" customHeight="1" x14ac:dyDescent="0.2">
      <c r="B65" t="s">
        <v>123</v>
      </c>
      <c r="C65" s="12">
        <v>26</v>
      </c>
      <c r="D65" s="8">
        <v>1.19</v>
      </c>
      <c r="E65" s="12">
        <v>10</v>
      </c>
      <c r="F65" s="8">
        <v>1.1000000000000001</v>
      </c>
      <c r="G65" s="12">
        <v>16</v>
      </c>
      <c r="H65" s="8">
        <v>1.25</v>
      </c>
      <c r="I65" s="12">
        <v>0</v>
      </c>
    </row>
    <row r="66" spans="2:9" ht="15" customHeight="1" x14ac:dyDescent="0.2">
      <c r="B66" t="s">
        <v>152</v>
      </c>
      <c r="C66" s="12">
        <v>25</v>
      </c>
      <c r="D66" s="8">
        <v>1.1399999999999999</v>
      </c>
      <c r="E66" s="12">
        <v>10</v>
      </c>
      <c r="F66" s="8">
        <v>1.1000000000000001</v>
      </c>
      <c r="G66" s="12">
        <v>15</v>
      </c>
      <c r="H66" s="8">
        <v>1.18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B2CE4-C8FD-4B62-9EA6-E766BE2213AA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204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382</v>
      </c>
      <c r="D6" s="8">
        <v>18.690000000000001</v>
      </c>
      <c r="E6" s="12">
        <v>126</v>
      </c>
      <c r="F6" s="8">
        <v>12.26</v>
      </c>
      <c r="G6" s="12">
        <v>256</v>
      </c>
      <c r="H6" s="8">
        <v>25.27</v>
      </c>
      <c r="I6" s="12">
        <v>0</v>
      </c>
    </row>
    <row r="7" spans="2:9" ht="15" customHeight="1" x14ac:dyDescent="0.2">
      <c r="B7" t="s">
        <v>48</v>
      </c>
      <c r="C7" s="12">
        <v>264</v>
      </c>
      <c r="D7" s="8">
        <v>12.92</v>
      </c>
      <c r="E7" s="12">
        <v>78</v>
      </c>
      <c r="F7" s="8">
        <v>7.59</v>
      </c>
      <c r="G7" s="12">
        <v>186</v>
      </c>
      <c r="H7" s="8">
        <v>18.36</v>
      </c>
      <c r="I7" s="12">
        <v>0</v>
      </c>
    </row>
    <row r="8" spans="2:9" ht="15" customHeight="1" x14ac:dyDescent="0.2">
      <c r="B8" t="s">
        <v>49</v>
      </c>
      <c r="C8" s="12">
        <v>5</v>
      </c>
      <c r="D8" s="8">
        <v>0.24</v>
      </c>
      <c r="E8" s="12">
        <v>0</v>
      </c>
      <c r="F8" s="8">
        <v>0</v>
      </c>
      <c r="G8" s="12">
        <v>5</v>
      </c>
      <c r="H8" s="8">
        <v>0.49</v>
      </c>
      <c r="I8" s="12">
        <v>0</v>
      </c>
    </row>
    <row r="9" spans="2:9" ht="15" customHeight="1" x14ac:dyDescent="0.2">
      <c r="B9" t="s">
        <v>50</v>
      </c>
      <c r="C9" s="12">
        <v>21</v>
      </c>
      <c r="D9" s="8">
        <v>1.03</v>
      </c>
      <c r="E9" s="12">
        <v>1</v>
      </c>
      <c r="F9" s="8">
        <v>0.1</v>
      </c>
      <c r="G9" s="12">
        <v>20</v>
      </c>
      <c r="H9" s="8">
        <v>1.97</v>
      </c>
      <c r="I9" s="12">
        <v>0</v>
      </c>
    </row>
    <row r="10" spans="2:9" ht="15" customHeight="1" x14ac:dyDescent="0.2">
      <c r="B10" t="s">
        <v>51</v>
      </c>
      <c r="C10" s="12">
        <v>18</v>
      </c>
      <c r="D10" s="8">
        <v>0.88</v>
      </c>
      <c r="E10" s="12">
        <v>6</v>
      </c>
      <c r="F10" s="8">
        <v>0.57999999999999996</v>
      </c>
      <c r="G10" s="12">
        <v>11</v>
      </c>
      <c r="H10" s="8">
        <v>1.0900000000000001</v>
      </c>
      <c r="I10" s="12">
        <v>1</v>
      </c>
    </row>
    <row r="11" spans="2:9" ht="15" customHeight="1" x14ac:dyDescent="0.2">
      <c r="B11" t="s">
        <v>52</v>
      </c>
      <c r="C11" s="12">
        <v>454</v>
      </c>
      <c r="D11" s="8">
        <v>22.21</v>
      </c>
      <c r="E11" s="12">
        <v>222</v>
      </c>
      <c r="F11" s="8">
        <v>21.6</v>
      </c>
      <c r="G11" s="12">
        <v>232</v>
      </c>
      <c r="H11" s="8">
        <v>22.9</v>
      </c>
      <c r="I11" s="12">
        <v>0</v>
      </c>
    </row>
    <row r="12" spans="2:9" ht="15" customHeight="1" x14ac:dyDescent="0.2">
      <c r="B12" t="s">
        <v>53</v>
      </c>
      <c r="C12" s="12">
        <v>7</v>
      </c>
      <c r="D12" s="8">
        <v>0.34</v>
      </c>
      <c r="E12" s="12">
        <v>0</v>
      </c>
      <c r="F12" s="8">
        <v>0</v>
      </c>
      <c r="G12" s="12">
        <v>7</v>
      </c>
      <c r="H12" s="8">
        <v>0.69</v>
      </c>
      <c r="I12" s="12">
        <v>0</v>
      </c>
    </row>
    <row r="13" spans="2:9" ht="15" customHeight="1" x14ac:dyDescent="0.2">
      <c r="B13" t="s">
        <v>54</v>
      </c>
      <c r="C13" s="12">
        <v>134</v>
      </c>
      <c r="D13" s="8">
        <v>6.56</v>
      </c>
      <c r="E13" s="12">
        <v>48</v>
      </c>
      <c r="F13" s="8">
        <v>4.67</v>
      </c>
      <c r="G13" s="12">
        <v>86</v>
      </c>
      <c r="H13" s="8">
        <v>8.49</v>
      </c>
      <c r="I13" s="12">
        <v>0</v>
      </c>
    </row>
    <row r="14" spans="2:9" ht="15" customHeight="1" x14ac:dyDescent="0.2">
      <c r="B14" t="s">
        <v>55</v>
      </c>
      <c r="C14" s="12">
        <v>91</v>
      </c>
      <c r="D14" s="8">
        <v>4.45</v>
      </c>
      <c r="E14" s="12">
        <v>43</v>
      </c>
      <c r="F14" s="8">
        <v>4.18</v>
      </c>
      <c r="G14" s="12">
        <v>47</v>
      </c>
      <c r="H14" s="8">
        <v>4.6399999999999997</v>
      </c>
      <c r="I14" s="12">
        <v>0</v>
      </c>
    </row>
    <row r="15" spans="2:9" ht="15" customHeight="1" x14ac:dyDescent="0.2">
      <c r="B15" t="s">
        <v>56</v>
      </c>
      <c r="C15" s="12">
        <v>172</v>
      </c>
      <c r="D15" s="8">
        <v>8.41</v>
      </c>
      <c r="E15" s="12">
        <v>130</v>
      </c>
      <c r="F15" s="8">
        <v>12.65</v>
      </c>
      <c r="G15" s="12">
        <v>41</v>
      </c>
      <c r="H15" s="8">
        <v>4.05</v>
      </c>
      <c r="I15" s="12">
        <v>0</v>
      </c>
    </row>
    <row r="16" spans="2:9" ht="15" customHeight="1" x14ac:dyDescent="0.2">
      <c r="B16" t="s">
        <v>57</v>
      </c>
      <c r="C16" s="12">
        <v>263</v>
      </c>
      <c r="D16" s="8">
        <v>12.87</v>
      </c>
      <c r="E16" s="12">
        <v>225</v>
      </c>
      <c r="F16" s="8">
        <v>21.89</v>
      </c>
      <c r="G16" s="12">
        <v>38</v>
      </c>
      <c r="H16" s="8">
        <v>3.75</v>
      </c>
      <c r="I16" s="12">
        <v>0</v>
      </c>
    </row>
    <row r="17" spans="2:9" ht="15" customHeight="1" x14ac:dyDescent="0.2">
      <c r="B17" t="s">
        <v>58</v>
      </c>
      <c r="C17" s="12">
        <v>74</v>
      </c>
      <c r="D17" s="8">
        <v>3.62</v>
      </c>
      <c r="E17" s="12">
        <v>54</v>
      </c>
      <c r="F17" s="8">
        <v>5.25</v>
      </c>
      <c r="G17" s="12">
        <v>20</v>
      </c>
      <c r="H17" s="8">
        <v>1.97</v>
      </c>
      <c r="I17" s="12">
        <v>0</v>
      </c>
    </row>
    <row r="18" spans="2:9" ht="15" customHeight="1" x14ac:dyDescent="0.2">
      <c r="B18" t="s">
        <v>59</v>
      </c>
      <c r="C18" s="12">
        <v>94</v>
      </c>
      <c r="D18" s="8">
        <v>4.5999999999999996</v>
      </c>
      <c r="E18" s="12">
        <v>67</v>
      </c>
      <c r="F18" s="8">
        <v>6.52</v>
      </c>
      <c r="G18" s="12">
        <v>27</v>
      </c>
      <c r="H18" s="8">
        <v>2.67</v>
      </c>
      <c r="I18" s="12">
        <v>0</v>
      </c>
    </row>
    <row r="19" spans="2:9" ht="15" customHeight="1" x14ac:dyDescent="0.2">
      <c r="B19" t="s">
        <v>60</v>
      </c>
      <c r="C19" s="12">
        <v>65</v>
      </c>
      <c r="D19" s="8">
        <v>3.18</v>
      </c>
      <c r="E19" s="12">
        <v>28</v>
      </c>
      <c r="F19" s="8">
        <v>2.72</v>
      </c>
      <c r="G19" s="12">
        <v>37</v>
      </c>
      <c r="H19" s="8">
        <v>3.65</v>
      </c>
      <c r="I19" s="12">
        <v>0</v>
      </c>
    </row>
    <row r="20" spans="2:9" ht="15" customHeight="1" x14ac:dyDescent="0.2">
      <c r="B20" s="9" t="s">
        <v>191</v>
      </c>
      <c r="C20" s="12">
        <f>SUM(LTBL_22135[総数／事業所数])</f>
        <v>2044</v>
      </c>
      <c r="E20" s="12">
        <f>SUBTOTAL(109,LTBL_22135[個人／事業所数])</f>
        <v>1028</v>
      </c>
      <c r="G20" s="12">
        <f>SUBTOTAL(109,LTBL_22135[法人／事業所数])</f>
        <v>1013</v>
      </c>
      <c r="I20" s="12">
        <f>SUBTOTAL(109,LTBL_22135[法人以外の団体／事業所数])</f>
        <v>1</v>
      </c>
    </row>
    <row r="21" spans="2:9" ht="15" customHeight="1" x14ac:dyDescent="0.2">
      <c r="E21" s="11">
        <f>LTBL_22135[[#Totals],[個人／事業所数]]/LTBL_22135[[#Totals],[総数／事業所数]]</f>
        <v>0.50293542074363995</v>
      </c>
      <c r="G21" s="11">
        <f>LTBL_22135[[#Totals],[法人／事業所数]]/LTBL_22135[[#Totals],[総数／事業所数]]</f>
        <v>0.49559686888454013</v>
      </c>
      <c r="I21" s="11">
        <f>LTBL_22135[[#Totals],[法人以外の団体／事業所数]]/LTBL_22135[[#Totals],[総数／事業所数]]</f>
        <v>4.8923679060665359E-4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223</v>
      </c>
      <c r="D24" s="8">
        <v>10.91</v>
      </c>
      <c r="E24" s="12">
        <v>203</v>
      </c>
      <c r="F24" s="8">
        <v>19.75</v>
      </c>
      <c r="G24" s="12">
        <v>20</v>
      </c>
      <c r="H24" s="8">
        <v>1.97</v>
      </c>
      <c r="I24" s="12">
        <v>0</v>
      </c>
    </row>
    <row r="25" spans="2:9" ht="15" customHeight="1" x14ac:dyDescent="0.2">
      <c r="B25" t="s">
        <v>69</v>
      </c>
      <c r="C25" s="12">
        <v>155</v>
      </c>
      <c r="D25" s="8">
        <v>7.58</v>
      </c>
      <c r="E25" s="12">
        <v>48</v>
      </c>
      <c r="F25" s="8">
        <v>4.67</v>
      </c>
      <c r="G25" s="12">
        <v>107</v>
      </c>
      <c r="H25" s="8">
        <v>10.56</v>
      </c>
      <c r="I25" s="12">
        <v>0</v>
      </c>
    </row>
    <row r="26" spans="2:9" ht="15" customHeight="1" x14ac:dyDescent="0.2">
      <c r="B26" t="s">
        <v>84</v>
      </c>
      <c r="C26" s="12">
        <v>142</v>
      </c>
      <c r="D26" s="8">
        <v>6.95</v>
      </c>
      <c r="E26" s="12">
        <v>118</v>
      </c>
      <c r="F26" s="8">
        <v>11.48</v>
      </c>
      <c r="G26" s="12">
        <v>24</v>
      </c>
      <c r="H26" s="8">
        <v>2.37</v>
      </c>
      <c r="I26" s="12">
        <v>0</v>
      </c>
    </row>
    <row r="27" spans="2:9" ht="15" customHeight="1" x14ac:dyDescent="0.2">
      <c r="B27" t="s">
        <v>79</v>
      </c>
      <c r="C27" s="12">
        <v>133</v>
      </c>
      <c r="D27" s="8">
        <v>6.51</v>
      </c>
      <c r="E27" s="12">
        <v>68</v>
      </c>
      <c r="F27" s="8">
        <v>6.61</v>
      </c>
      <c r="G27" s="12">
        <v>65</v>
      </c>
      <c r="H27" s="8">
        <v>6.42</v>
      </c>
      <c r="I27" s="12">
        <v>0</v>
      </c>
    </row>
    <row r="28" spans="2:9" ht="15" customHeight="1" x14ac:dyDescent="0.2">
      <c r="B28" t="s">
        <v>70</v>
      </c>
      <c r="C28" s="12">
        <v>131</v>
      </c>
      <c r="D28" s="8">
        <v>6.41</v>
      </c>
      <c r="E28" s="12">
        <v>51</v>
      </c>
      <c r="F28" s="8">
        <v>4.96</v>
      </c>
      <c r="G28" s="12">
        <v>80</v>
      </c>
      <c r="H28" s="8">
        <v>7.9</v>
      </c>
      <c r="I28" s="12">
        <v>0</v>
      </c>
    </row>
    <row r="29" spans="2:9" ht="15" customHeight="1" x14ac:dyDescent="0.2">
      <c r="B29" t="s">
        <v>77</v>
      </c>
      <c r="C29" s="12">
        <v>97</v>
      </c>
      <c r="D29" s="8">
        <v>4.75</v>
      </c>
      <c r="E29" s="12">
        <v>56</v>
      </c>
      <c r="F29" s="8">
        <v>5.45</v>
      </c>
      <c r="G29" s="12">
        <v>41</v>
      </c>
      <c r="H29" s="8">
        <v>4.05</v>
      </c>
      <c r="I29" s="12">
        <v>0</v>
      </c>
    </row>
    <row r="30" spans="2:9" ht="15" customHeight="1" x14ac:dyDescent="0.2">
      <c r="B30" t="s">
        <v>71</v>
      </c>
      <c r="C30" s="12">
        <v>96</v>
      </c>
      <c r="D30" s="8">
        <v>4.7</v>
      </c>
      <c r="E30" s="12">
        <v>27</v>
      </c>
      <c r="F30" s="8">
        <v>2.63</v>
      </c>
      <c r="G30" s="12">
        <v>69</v>
      </c>
      <c r="H30" s="8">
        <v>6.81</v>
      </c>
      <c r="I30" s="12">
        <v>0</v>
      </c>
    </row>
    <row r="31" spans="2:9" ht="15" customHeight="1" x14ac:dyDescent="0.2">
      <c r="B31" t="s">
        <v>81</v>
      </c>
      <c r="C31" s="12">
        <v>95</v>
      </c>
      <c r="D31" s="8">
        <v>4.6500000000000004</v>
      </c>
      <c r="E31" s="12">
        <v>44</v>
      </c>
      <c r="F31" s="8">
        <v>4.28</v>
      </c>
      <c r="G31" s="12">
        <v>51</v>
      </c>
      <c r="H31" s="8">
        <v>5.03</v>
      </c>
      <c r="I31" s="12">
        <v>0</v>
      </c>
    </row>
    <row r="32" spans="2:9" ht="15" customHeight="1" x14ac:dyDescent="0.2">
      <c r="B32" t="s">
        <v>78</v>
      </c>
      <c r="C32" s="12">
        <v>85</v>
      </c>
      <c r="D32" s="8">
        <v>4.16</v>
      </c>
      <c r="E32" s="12">
        <v>54</v>
      </c>
      <c r="F32" s="8">
        <v>5.25</v>
      </c>
      <c r="G32" s="12">
        <v>31</v>
      </c>
      <c r="H32" s="8">
        <v>3.06</v>
      </c>
      <c r="I32" s="12">
        <v>0</v>
      </c>
    </row>
    <row r="33" spans="2:9" ht="15" customHeight="1" x14ac:dyDescent="0.2">
      <c r="B33" t="s">
        <v>86</v>
      </c>
      <c r="C33" s="12">
        <v>74</v>
      </c>
      <c r="D33" s="8">
        <v>3.62</v>
      </c>
      <c r="E33" s="12">
        <v>54</v>
      </c>
      <c r="F33" s="8">
        <v>5.25</v>
      </c>
      <c r="G33" s="12">
        <v>20</v>
      </c>
      <c r="H33" s="8">
        <v>1.97</v>
      </c>
      <c r="I33" s="12">
        <v>0</v>
      </c>
    </row>
    <row r="34" spans="2:9" ht="15" customHeight="1" x14ac:dyDescent="0.2">
      <c r="B34" t="s">
        <v>87</v>
      </c>
      <c r="C34" s="12">
        <v>70</v>
      </c>
      <c r="D34" s="8">
        <v>3.42</v>
      </c>
      <c r="E34" s="12">
        <v>64</v>
      </c>
      <c r="F34" s="8">
        <v>6.23</v>
      </c>
      <c r="G34" s="12">
        <v>6</v>
      </c>
      <c r="H34" s="8">
        <v>0.59</v>
      </c>
      <c r="I34" s="12">
        <v>0</v>
      </c>
    </row>
    <row r="35" spans="2:9" ht="15" customHeight="1" x14ac:dyDescent="0.2">
      <c r="B35" t="s">
        <v>82</v>
      </c>
      <c r="C35" s="12">
        <v>43</v>
      </c>
      <c r="D35" s="8">
        <v>2.1</v>
      </c>
      <c r="E35" s="12">
        <v>26</v>
      </c>
      <c r="F35" s="8">
        <v>2.5299999999999998</v>
      </c>
      <c r="G35" s="12">
        <v>17</v>
      </c>
      <c r="H35" s="8">
        <v>1.68</v>
      </c>
      <c r="I35" s="12">
        <v>0</v>
      </c>
    </row>
    <row r="36" spans="2:9" ht="15" customHeight="1" x14ac:dyDescent="0.2">
      <c r="B36" t="s">
        <v>83</v>
      </c>
      <c r="C36" s="12">
        <v>39</v>
      </c>
      <c r="D36" s="8">
        <v>1.91</v>
      </c>
      <c r="E36" s="12">
        <v>17</v>
      </c>
      <c r="F36" s="8">
        <v>1.65</v>
      </c>
      <c r="G36" s="12">
        <v>22</v>
      </c>
      <c r="H36" s="8">
        <v>2.17</v>
      </c>
      <c r="I36" s="12">
        <v>0</v>
      </c>
    </row>
    <row r="37" spans="2:9" ht="15" customHeight="1" x14ac:dyDescent="0.2">
      <c r="B37" t="s">
        <v>76</v>
      </c>
      <c r="C37" s="12">
        <v>35</v>
      </c>
      <c r="D37" s="8">
        <v>1.71</v>
      </c>
      <c r="E37" s="12">
        <v>23</v>
      </c>
      <c r="F37" s="8">
        <v>2.2400000000000002</v>
      </c>
      <c r="G37" s="12">
        <v>12</v>
      </c>
      <c r="H37" s="8">
        <v>1.18</v>
      </c>
      <c r="I37" s="12">
        <v>0</v>
      </c>
    </row>
    <row r="38" spans="2:9" ht="15" customHeight="1" x14ac:dyDescent="0.2">
      <c r="B38" t="s">
        <v>73</v>
      </c>
      <c r="C38" s="12">
        <v>33</v>
      </c>
      <c r="D38" s="8">
        <v>1.61</v>
      </c>
      <c r="E38" s="12">
        <v>8</v>
      </c>
      <c r="F38" s="8">
        <v>0.78</v>
      </c>
      <c r="G38" s="12">
        <v>25</v>
      </c>
      <c r="H38" s="8">
        <v>2.4700000000000002</v>
      </c>
      <c r="I38" s="12">
        <v>0</v>
      </c>
    </row>
    <row r="39" spans="2:9" ht="15" customHeight="1" x14ac:dyDescent="0.2">
      <c r="B39" t="s">
        <v>72</v>
      </c>
      <c r="C39" s="12">
        <v>31</v>
      </c>
      <c r="D39" s="8">
        <v>1.52</v>
      </c>
      <c r="E39" s="12">
        <v>15</v>
      </c>
      <c r="F39" s="8">
        <v>1.46</v>
      </c>
      <c r="G39" s="12">
        <v>16</v>
      </c>
      <c r="H39" s="8">
        <v>1.58</v>
      </c>
      <c r="I39" s="12">
        <v>0</v>
      </c>
    </row>
    <row r="40" spans="2:9" ht="15" customHeight="1" x14ac:dyDescent="0.2">
      <c r="B40" t="s">
        <v>80</v>
      </c>
      <c r="C40" s="12">
        <v>30</v>
      </c>
      <c r="D40" s="8">
        <v>1.47</v>
      </c>
      <c r="E40" s="12">
        <v>4</v>
      </c>
      <c r="F40" s="8">
        <v>0.39</v>
      </c>
      <c r="G40" s="12">
        <v>26</v>
      </c>
      <c r="H40" s="8">
        <v>2.57</v>
      </c>
      <c r="I40" s="12">
        <v>0</v>
      </c>
    </row>
    <row r="41" spans="2:9" ht="15" customHeight="1" x14ac:dyDescent="0.2">
      <c r="B41" t="s">
        <v>75</v>
      </c>
      <c r="C41" s="12">
        <v>29</v>
      </c>
      <c r="D41" s="8">
        <v>1.42</v>
      </c>
      <c r="E41" s="12">
        <v>1</v>
      </c>
      <c r="F41" s="8">
        <v>0.1</v>
      </c>
      <c r="G41" s="12">
        <v>28</v>
      </c>
      <c r="H41" s="8">
        <v>2.76</v>
      </c>
      <c r="I41" s="12">
        <v>0</v>
      </c>
    </row>
    <row r="42" spans="2:9" ht="15" customHeight="1" x14ac:dyDescent="0.2">
      <c r="B42" t="s">
        <v>88</v>
      </c>
      <c r="C42" s="12">
        <v>29</v>
      </c>
      <c r="D42" s="8">
        <v>1.42</v>
      </c>
      <c r="E42" s="12">
        <v>19</v>
      </c>
      <c r="F42" s="8">
        <v>1.85</v>
      </c>
      <c r="G42" s="12">
        <v>10</v>
      </c>
      <c r="H42" s="8">
        <v>0.99</v>
      </c>
      <c r="I42" s="12">
        <v>0</v>
      </c>
    </row>
    <row r="43" spans="2:9" ht="15" customHeight="1" x14ac:dyDescent="0.2">
      <c r="B43" t="s">
        <v>95</v>
      </c>
      <c r="C43" s="12">
        <v>28</v>
      </c>
      <c r="D43" s="8">
        <v>1.37</v>
      </c>
      <c r="E43" s="12">
        <v>16</v>
      </c>
      <c r="F43" s="8">
        <v>1.56</v>
      </c>
      <c r="G43" s="12">
        <v>12</v>
      </c>
      <c r="H43" s="8">
        <v>1.18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113</v>
      </c>
      <c r="D47" s="8">
        <v>5.53</v>
      </c>
      <c r="E47" s="12">
        <v>106</v>
      </c>
      <c r="F47" s="8">
        <v>10.31</v>
      </c>
      <c r="G47" s="12">
        <v>7</v>
      </c>
      <c r="H47" s="8">
        <v>0.69</v>
      </c>
      <c r="I47" s="12">
        <v>0</v>
      </c>
    </row>
    <row r="48" spans="2:9" ht="15" customHeight="1" x14ac:dyDescent="0.2">
      <c r="B48" t="s">
        <v>131</v>
      </c>
      <c r="C48" s="12">
        <v>70</v>
      </c>
      <c r="D48" s="8">
        <v>3.42</v>
      </c>
      <c r="E48" s="12">
        <v>67</v>
      </c>
      <c r="F48" s="8">
        <v>6.52</v>
      </c>
      <c r="G48" s="12">
        <v>3</v>
      </c>
      <c r="H48" s="8">
        <v>0.3</v>
      </c>
      <c r="I48" s="12">
        <v>0</v>
      </c>
    </row>
    <row r="49" spans="2:9" ht="15" customHeight="1" x14ac:dyDescent="0.2">
      <c r="B49" t="s">
        <v>126</v>
      </c>
      <c r="C49" s="12">
        <v>68</v>
      </c>
      <c r="D49" s="8">
        <v>3.33</v>
      </c>
      <c r="E49" s="12">
        <v>41</v>
      </c>
      <c r="F49" s="8">
        <v>3.99</v>
      </c>
      <c r="G49" s="12">
        <v>27</v>
      </c>
      <c r="H49" s="8">
        <v>2.67</v>
      </c>
      <c r="I49" s="12">
        <v>0</v>
      </c>
    </row>
    <row r="50" spans="2:9" ht="15" customHeight="1" x14ac:dyDescent="0.2">
      <c r="B50" t="s">
        <v>118</v>
      </c>
      <c r="C50" s="12">
        <v>53</v>
      </c>
      <c r="D50" s="8">
        <v>2.59</v>
      </c>
      <c r="E50" s="12">
        <v>29</v>
      </c>
      <c r="F50" s="8">
        <v>2.82</v>
      </c>
      <c r="G50" s="12">
        <v>24</v>
      </c>
      <c r="H50" s="8">
        <v>2.37</v>
      </c>
      <c r="I50" s="12">
        <v>0</v>
      </c>
    </row>
    <row r="51" spans="2:9" ht="15" customHeight="1" x14ac:dyDescent="0.2">
      <c r="B51" t="s">
        <v>122</v>
      </c>
      <c r="C51" s="12">
        <v>51</v>
      </c>
      <c r="D51" s="8">
        <v>2.5</v>
      </c>
      <c r="E51" s="12">
        <v>29</v>
      </c>
      <c r="F51" s="8">
        <v>2.82</v>
      </c>
      <c r="G51" s="12">
        <v>22</v>
      </c>
      <c r="H51" s="8">
        <v>2.17</v>
      </c>
      <c r="I51" s="12">
        <v>0</v>
      </c>
    </row>
    <row r="52" spans="2:9" ht="15" customHeight="1" x14ac:dyDescent="0.2">
      <c r="B52" t="s">
        <v>134</v>
      </c>
      <c r="C52" s="12">
        <v>49</v>
      </c>
      <c r="D52" s="8">
        <v>2.4</v>
      </c>
      <c r="E52" s="12">
        <v>45</v>
      </c>
      <c r="F52" s="8">
        <v>4.38</v>
      </c>
      <c r="G52" s="12">
        <v>4</v>
      </c>
      <c r="H52" s="8">
        <v>0.39</v>
      </c>
      <c r="I52" s="12">
        <v>0</v>
      </c>
    </row>
    <row r="53" spans="2:9" ht="15" customHeight="1" x14ac:dyDescent="0.2">
      <c r="B53" t="s">
        <v>128</v>
      </c>
      <c r="C53" s="12">
        <v>47</v>
      </c>
      <c r="D53" s="8">
        <v>2.2999999999999998</v>
      </c>
      <c r="E53" s="12">
        <v>32</v>
      </c>
      <c r="F53" s="8">
        <v>3.11</v>
      </c>
      <c r="G53" s="12">
        <v>15</v>
      </c>
      <c r="H53" s="8">
        <v>1.48</v>
      </c>
      <c r="I53" s="12">
        <v>0</v>
      </c>
    </row>
    <row r="54" spans="2:9" ht="15" customHeight="1" x14ac:dyDescent="0.2">
      <c r="B54" t="s">
        <v>133</v>
      </c>
      <c r="C54" s="12">
        <v>47</v>
      </c>
      <c r="D54" s="8">
        <v>2.2999999999999998</v>
      </c>
      <c r="E54" s="12">
        <v>38</v>
      </c>
      <c r="F54" s="8">
        <v>3.7</v>
      </c>
      <c r="G54" s="12">
        <v>9</v>
      </c>
      <c r="H54" s="8">
        <v>0.89</v>
      </c>
      <c r="I54" s="12">
        <v>0</v>
      </c>
    </row>
    <row r="55" spans="2:9" ht="15" customHeight="1" x14ac:dyDescent="0.2">
      <c r="B55" t="s">
        <v>119</v>
      </c>
      <c r="C55" s="12">
        <v>45</v>
      </c>
      <c r="D55" s="8">
        <v>2.2000000000000002</v>
      </c>
      <c r="E55" s="12">
        <v>10</v>
      </c>
      <c r="F55" s="8">
        <v>0.97</v>
      </c>
      <c r="G55" s="12">
        <v>35</v>
      </c>
      <c r="H55" s="8">
        <v>3.46</v>
      </c>
      <c r="I55" s="12">
        <v>0</v>
      </c>
    </row>
    <row r="56" spans="2:9" ht="15" customHeight="1" x14ac:dyDescent="0.2">
      <c r="B56" t="s">
        <v>120</v>
      </c>
      <c r="C56" s="12">
        <v>45</v>
      </c>
      <c r="D56" s="8">
        <v>2.2000000000000002</v>
      </c>
      <c r="E56" s="12">
        <v>16</v>
      </c>
      <c r="F56" s="8">
        <v>1.56</v>
      </c>
      <c r="G56" s="12">
        <v>29</v>
      </c>
      <c r="H56" s="8">
        <v>2.86</v>
      </c>
      <c r="I56" s="12">
        <v>0</v>
      </c>
    </row>
    <row r="57" spans="2:9" ht="15" customHeight="1" x14ac:dyDescent="0.2">
      <c r="B57" t="s">
        <v>116</v>
      </c>
      <c r="C57" s="12">
        <v>44</v>
      </c>
      <c r="D57" s="8">
        <v>2.15</v>
      </c>
      <c r="E57" s="12">
        <v>5</v>
      </c>
      <c r="F57" s="8">
        <v>0.49</v>
      </c>
      <c r="G57" s="12">
        <v>39</v>
      </c>
      <c r="H57" s="8">
        <v>3.85</v>
      </c>
      <c r="I57" s="12">
        <v>0</v>
      </c>
    </row>
    <row r="58" spans="2:9" ht="15" customHeight="1" x14ac:dyDescent="0.2">
      <c r="B58" t="s">
        <v>124</v>
      </c>
      <c r="C58" s="12">
        <v>35</v>
      </c>
      <c r="D58" s="8">
        <v>1.71</v>
      </c>
      <c r="E58" s="12">
        <v>23</v>
      </c>
      <c r="F58" s="8">
        <v>2.2400000000000002</v>
      </c>
      <c r="G58" s="12">
        <v>12</v>
      </c>
      <c r="H58" s="8">
        <v>1.18</v>
      </c>
      <c r="I58" s="12">
        <v>0</v>
      </c>
    </row>
    <row r="59" spans="2:9" ht="15" customHeight="1" x14ac:dyDescent="0.2">
      <c r="B59" t="s">
        <v>117</v>
      </c>
      <c r="C59" s="12">
        <v>31</v>
      </c>
      <c r="D59" s="8">
        <v>1.52</v>
      </c>
      <c r="E59" s="12">
        <v>10</v>
      </c>
      <c r="F59" s="8">
        <v>0.97</v>
      </c>
      <c r="G59" s="12">
        <v>21</v>
      </c>
      <c r="H59" s="8">
        <v>2.0699999999999998</v>
      </c>
      <c r="I59" s="12">
        <v>0</v>
      </c>
    </row>
    <row r="60" spans="2:9" ht="15" customHeight="1" x14ac:dyDescent="0.2">
      <c r="B60" t="s">
        <v>123</v>
      </c>
      <c r="C60" s="12">
        <v>31</v>
      </c>
      <c r="D60" s="8">
        <v>1.52</v>
      </c>
      <c r="E60" s="12">
        <v>10</v>
      </c>
      <c r="F60" s="8">
        <v>0.97</v>
      </c>
      <c r="G60" s="12">
        <v>21</v>
      </c>
      <c r="H60" s="8">
        <v>2.0699999999999998</v>
      </c>
      <c r="I60" s="12">
        <v>0</v>
      </c>
    </row>
    <row r="61" spans="2:9" ht="15" customHeight="1" x14ac:dyDescent="0.2">
      <c r="B61" t="s">
        <v>121</v>
      </c>
      <c r="C61" s="12">
        <v>30</v>
      </c>
      <c r="D61" s="8">
        <v>1.47</v>
      </c>
      <c r="E61" s="12">
        <v>15</v>
      </c>
      <c r="F61" s="8">
        <v>1.46</v>
      </c>
      <c r="G61" s="12">
        <v>15</v>
      </c>
      <c r="H61" s="8">
        <v>1.48</v>
      </c>
      <c r="I61" s="12">
        <v>0</v>
      </c>
    </row>
    <row r="62" spans="2:9" ht="15" customHeight="1" x14ac:dyDescent="0.2">
      <c r="B62" t="s">
        <v>140</v>
      </c>
      <c r="C62" s="12">
        <v>30</v>
      </c>
      <c r="D62" s="8">
        <v>1.47</v>
      </c>
      <c r="E62" s="12">
        <v>24</v>
      </c>
      <c r="F62" s="8">
        <v>2.33</v>
      </c>
      <c r="G62" s="12">
        <v>6</v>
      </c>
      <c r="H62" s="8">
        <v>0.59</v>
      </c>
      <c r="I62" s="12">
        <v>0</v>
      </c>
    </row>
    <row r="63" spans="2:9" ht="15" customHeight="1" x14ac:dyDescent="0.2">
      <c r="B63" t="s">
        <v>135</v>
      </c>
      <c r="C63" s="12">
        <v>29</v>
      </c>
      <c r="D63" s="8">
        <v>1.42</v>
      </c>
      <c r="E63" s="12">
        <v>19</v>
      </c>
      <c r="F63" s="8">
        <v>1.85</v>
      </c>
      <c r="G63" s="12">
        <v>10</v>
      </c>
      <c r="H63" s="8">
        <v>0.99</v>
      </c>
      <c r="I63" s="12">
        <v>0</v>
      </c>
    </row>
    <row r="64" spans="2:9" ht="15" customHeight="1" x14ac:dyDescent="0.2">
      <c r="B64" t="s">
        <v>154</v>
      </c>
      <c r="C64" s="12">
        <v>27</v>
      </c>
      <c r="D64" s="8">
        <v>1.32</v>
      </c>
      <c r="E64" s="12">
        <v>8</v>
      </c>
      <c r="F64" s="8">
        <v>0.78</v>
      </c>
      <c r="G64" s="12">
        <v>19</v>
      </c>
      <c r="H64" s="8">
        <v>1.88</v>
      </c>
      <c r="I64" s="12">
        <v>0</v>
      </c>
    </row>
    <row r="65" spans="2:9" ht="15" customHeight="1" x14ac:dyDescent="0.2">
      <c r="B65" t="s">
        <v>136</v>
      </c>
      <c r="C65" s="12">
        <v>26</v>
      </c>
      <c r="D65" s="8">
        <v>1.27</v>
      </c>
      <c r="E65" s="12">
        <v>18</v>
      </c>
      <c r="F65" s="8">
        <v>1.75</v>
      </c>
      <c r="G65" s="12">
        <v>8</v>
      </c>
      <c r="H65" s="8">
        <v>0.79</v>
      </c>
      <c r="I65" s="12">
        <v>0</v>
      </c>
    </row>
    <row r="66" spans="2:9" ht="15" customHeight="1" x14ac:dyDescent="0.2">
      <c r="B66" t="s">
        <v>155</v>
      </c>
      <c r="C66" s="12">
        <v>26</v>
      </c>
      <c r="D66" s="8">
        <v>1.27</v>
      </c>
      <c r="E66" s="12">
        <v>17</v>
      </c>
      <c r="F66" s="8">
        <v>1.65</v>
      </c>
      <c r="G66" s="12">
        <v>9</v>
      </c>
      <c r="H66" s="8">
        <v>0.89</v>
      </c>
      <c r="I66" s="12">
        <v>0</v>
      </c>
    </row>
    <row r="67" spans="2:9" ht="15" customHeight="1" x14ac:dyDescent="0.2">
      <c r="B67" t="s">
        <v>139</v>
      </c>
      <c r="C67" s="12">
        <v>26</v>
      </c>
      <c r="D67" s="8">
        <v>1.27</v>
      </c>
      <c r="E67" s="12">
        <v>25</v>
      </c>
      <c r="F67" s="8">
        <v>2.4300000000000002</v>
      </c>
      <c r="G67" s="12">
        <v>1</v>
      </c>
      <c r="H67" s="8">
        <v>0.1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BD2B-F1DE-441A-B38D-06692CCE80CC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205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2</v>
      </c>
      <c r="D5" s="8">
        <v>0.09</v>
      </c>
      <c r="E5" s="12">
        <v>0</v>
      </c>
      <c r="F5" s="8">
        <v>0</v>
      </c>
      <c r="G5" s="12">
        <v>2</v>
      </c>
      <c r="H5" s="8">
        <v>0.19</v>
      </c>
      <c r="I5" s="12">
        <v>0</v>
      </c>
    </row>
    <row r="6" spans="2:9" ht="15" customHeight="1" x14ac:dyDescent="0.2">
      <c r="B6" t="s">
        <v>47</v>
      </c>
      <c r="C6" s="12">
        <v>395</v>
      </c>
      <c r="D6" s="8">
        <v>17.920000000000002</v>
      </c>
      <c r="E6" s="12">
        <v>148</v>
      </c>
      <c r="F6" s="8">
        <v>12.99</v>
      </c>
      <c r="G6" s="12">
        <v>246</v>
      </c>
      <c r="H6" s="8">
        <v>23.21</v>
      </c>
      <c r="I6" s="12">
        <v>1</v>
      </c>
    </row>
    <row r="7" spans="2:9" ht="15" customHeight="1" x14ac:dyDescent="0.2">
      <c r="B7" t="s">
        <v>48</v>
      </c>
      <c r="C7" s="12">
        <v>346</v>
      </c>
      <c r="D7" s="8">
        <v>15.7</v>
      </c>
      <c r="E7" s="12">
        <v>133</v>
      </c>
      <c r="F7" s="8">
        <v>11.68</v>
      </c>
      <c r="G7" s="12">
        <v>213</v>
      </c>
      <c r="H7" s="8">
        <v>20.09</v>
      </c>
      <c r="I7" s="12">
        <v>0</v>
      </c>
    </row>
    <row r="8" spans="2:9" ht="15" customHeight="1" x14ac:dyDescent="0.2">
      <c r="B8" t="s">
        <v>49</v>
      </c>
      <c r="C8" s="12">
        <v>13</v>
      </c>
      <c r="D8" s="8">
        <v>0.59</v>
      </c>
      <c r="E8" s="12">
        <v>0</v>
      </c>
      <c r="F8" s="8">
        <v>0</v>
      </c>
      <c r="G8" s="12">
        <v>13</v>
      </c>
      <c r="H8" s="8">
        <v>1.23</v>
      </c>
      <c r="I8" s="12">
        <v>0</v>
      </c>
    </row>
    <row r="9" spans="2:9" ht="15" customHeight="1" x14ac:dyDescent="0.2">
      <c r="B9" t="s">
        <v>50</v>
      </c>
      <c r="C9" s="12">
        <v>12</v>
      </c>
      <c r="D9" s="8">
        <v>0.54</v>
      </c>
      <c r="E9" s="12">
        <v>2</v>
      </c>
      <c r="F9" s="8">
        <v>0.18</v>
      </c>
      <c r="G9" s="12">
        <v>10</v>
      </c>
      <c r="H9" s="8">
        <v>0.94</v>
      </c>
      <c r="I9" s="12">
        <v>0</v>
      </c>
    </row>
    <row r="10" spans="2:9" ht="15" customHeight="1" x14ac:dyDescent="0.2">
      <c r="B10" t="s">
        <v>51</v>
      </c>
      <c r="C10" s="12">
        <v>19</v>
      </c>
      <c r="D10" s="8">
        <v>0.86</v>
      </c>
      <c r="E10" s="12">
        <v>0</v>
      </c>
      <c r="F10" s="8">
        <v>0</v>
      </c>
      <c r="G10" s="12">
        <v>19</v>
      </c>
      <c r="H10" s="8">
        <v>1.79</v>
      </c>
      <c r="I10" s="12">
        <v>0</v>
      </c>
    </row>
    <row r="11" spans="2:9" ht="15" customHeight="1" x14ac:dyDescent="0.2">
      <c r="B11" t="s">
        <v>52</v>
      </c>
      <c r="C11" s="12">
        <v>459</v>
      </c>
      <c r="D11" s="8">
        <v>20.83</v>
      </c>
      <c r="E11" s="12">
        <v>214</v>
      </c>
      <c r="F11" s="8">
        <v>18.79</v>
      </c>
      <c r="G11" s="12">
        <v>243</v>
      </c>
      <c r="H11" s="8">
        <v>22.92</v>
      </c>
      <c r="I11" s="12">
        <v>2</v>
      </c>
    </row>
    <row r="12" spans="2:9" ht="15" customHeight="1" x14ac:dyDescent="0.2">
      <c r="B12" t="s">
        <v>53</v>
      </c>
      <c r="C12" s="12">
        <v>16</v>
      </c>
      <c r="D12" s="8">
        <v>0.73</v>
      </c>
      <c r="E12" s="12">
        <v>7</v>
      </c>
      <c r="F12" s="8">
        <v>0.61</v>
      </c>
      <c r="G12" s="12">
        <v>9</v>
      </c>
      <c r="H12" s="8">
        <v>0.85</v>
      </c>
      <c r="I12" s="12">
        <v>0</v>
      </c>
    </row>
    <row r="13" spans="2:9" ht="15" customHeight="1" x14ac:dyDescent="0.2">
      <c r="B13" t="s">
        <v>54</v>
      </c>
      <c r="C13" s="12">
        <v>210</v>
      </c>
      <c r="D13" s="8">
        <v>9.5299999999999994</v>
      </c>
      <c r="E13" s="12">
        <v>112</v>
      </c>
      <c r="F13" s="8">
        <v>9.83</v>
      </c>
      <c r="G13" s="12">
        <v>98</v>
      </c>
      <c r="H13" s="8">
        <v>9.25</v>
      </c>
      <c r="I13" s="12">
        <v>0</v>
      </c>
    </row>
    <row r="14" spans="2:9" ht="15" customHeight="1" x14ac:dyDescent="0.2">
      <c r="B14" t="s">
        <v>55</v>
      </c>
      <c r="C14" s="12">
        <v>97</v>
      </c>
      <c r="D14" s="8">
        <v>4.4000000000000004</v>
      </c>
      <c r="E14" s="12">
        <v>58</v>
      </c>
      <c r="F14" s="8">
        <v>5.09</v>
      </c>
      <c r="G14" s="12">
        <v>39</v>
      </c>
      <c r="H14" s="8">
        <v>3.68</v>
      </c>
      <c r="I14" s="12">
        <v>0</v>
      </c>
    </row>
    <row r="15" spans="2:9" ht="15" customHeight="1" x14ac:dyDescent="0.2">
      <c r="B15" t="s">
        <v>56</v>
      </c>
      <c r="C15" s="12">
        <v>137</v>
      </c>
      <c r="D15" s="8">
        <v>6.22</v>
      </c>
      <c r="E15" s="12">
        <v>107</v>
      </c>
      <c r="F15" s="8">
        <v>9.39</v>
      </c>
      <c r="G15" s="12">
        <v>29</v>
      </c>
      <c r="H15" s="8">
        <v>2.74</v>
      </c>
      <c r="I15" s="12">
        <v>0</v>
      </c>
    </row>
    <row r="16" spans="2:9" ht="15" customHeight="1" x14ac:dyDescent="0.2">
      <c r="B16" t="s">
        <v>57</v>
      </c>
      <c r="C16" s="12">
        <v>233</v>
      </c>
      <c r="D16" s="8">
        <v>10.57</v>
      </c>
      <c r="E16" s="12">
        <v>189</v>
      </c>
      <c r="F16" s="8">
        <v>16.59</v>
      </c>
      <c r="G16" s="12">
        <v>44</v>
      </c>
      <c r="H16" s="8">
        <v>4.1500000000000004</v>
      </c>
      <c r="I16" s="12">
        <v>0</v>
      </c>
    </row>
    <row r="17" spans="2:9" ht="15" customHeight="1" x14ac:dyDescent="0.2">
      <c r="B17" t="s">
        <v>58</v>
      </c>
      <c r="C17" s="12">
        <v>103</v>
      </c>
      <c r="D17" s="8">
        <v>4.67</v>
      </c>
      <c r="E17" s="12">
        <v>82</v>
      </c>
      <c r="F17" s="8">
        <v>7.2</v>
      </c>
      <c r="G17" s="12">
        <v>20</v>
      </c>
      <c r="H17" s="8">
        <v>1.89</v>
      </c>
      <c r="I17" s="12">
        <v>1</v>
      </c>
    </row>
    <row r="18" spans="2:9" ht="15" customHeight="1" x14ac:dyDescent="0.2">
      <c r="B18" t="s">
        <v>59</v>
      </c>
      <c r="C18" s="12">
        <v>106</v>
      </c>
      <c r="D18" s="8">
        <v>4.8099999999999996</v>
      </c>
      <c r="E18" s="12">
        <v>63</v>
      </c>
      <c r="F18" s="8">
        <v>5.53</v>
      </c>
      <c r="G18" s="12">
        <v>43</v>
      </c>
      <c r="H18" s="8">
        <v>4.0599999999999996</v>
      </c>
      <c r="I18" s="12">
        <v>0</v>
      </c>
    </row>
    <row r="19" spans="2:9" ht="15" customHeight="1" x14ac:dyDescent="0.2">
      <c r="B19" t="s">
        <v>60</v>
      </c>
      <c r="C19" s="12">
        <v>56</v>
      </c>
      <c r="D19" s="8">
        <v>2.54</v>
      </c>
      <c r="E19" s="12">
        <v>24</v>
      </c>
      <c r="F19" s="8">
        <v>2.11</v>
      </c>
      <c r="G19" s="12">
        <v>32</v>
      </c>
      <c r="H19" s="8">
        <v>3.02</v>
      </c>
      <c r="I19" s="12">
        <v>0</v>
      </c>
    </row>
    <row r="20" spans="2:9" ht="15" customHeight="1" x14ac:dyDescent="0.2">
      <c r="B20" s="9" t="s">
        <v>191</v>
      </c>
      <c r="C20" s="12">
        <f>SUM(LTBL_22136[総数／事業所数])</f>
        <v>2204</v>
      </c>
      <c r="E20" s="12">
        <f>SUBTOTAL(109,LTBL_22136[個人／事業所数])</f>
        <v>1139</v>
      </c>
      <c r="G20" s="12">
        <f>SUBTOTAL(109,LTBL_22136[法人／事業所数])</f>
        <v>1060</v>
      </c>
      <c r="I20" s="12">
        <f>SUBTOTAL(109,LTBL_22136[法人以外の団体／事業所数])</f>
        <v>4</v>
      </c>
    </row>
    <row r="21" spans="2:9" ht="15" customHeight="1" x14ac:dyDescent="0.2">
      <c r="E21" s="11">
        <f>LTBL_22136[[#Totals],[個人／事業所数]]/LTBL_22136[[#Totals],[総数／事業所数]]</f>
        <v>0.51678765880217781</v>
      </c>
      <c r="G21" s="11">
        <f>LTBL_22136[[#Totals],[法人／事業所数]]/LTBL_22136[[#Totals],[総数／事業所数]]</f>
        <v>0.48094373865698731</v>
      </c>
      <c r="I21" s="11">
        <f>LTBL_22136[[#Totals],[法人以外の団体／事業所数]]/LTBL_22136[[#Totals],[総数／事業所数]]</f>
        <v>1.8148820326678765E-3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203</v>
      </c>
      <c r="D24" s="8">
        <v>9.2100000000000009</v>
      </c>
      <c r="E24" s="12">
        <v>177</v>
      </c>
      <c r="F24" s="8">
        <v>15.54</v>
      </c>
      <c r="G24" s="12">
        <v>26</v>
      </c>
      <c r="H24" s="8">
        <v>2.4500000000000002</v>
      </c>
      <c r="I24" s="12">
        <v>0</v>
      </c>
    </row>
    <row r="25" spans="2:9" ht="15" customHeight="1" x14ac:dyDescent="0.2">
      <c r="B25" t="s">
        <v>81</v>
      </c>
      <c r="C25" s="12">
        <v>185</v>
      </c>
      <c r="D25" s="8">
        <v>8.39</v>
      </c>
      <c r="E25" s="12">
        <v>105</v>
      </c>
      <c r="F25" s="8">
        <v>9.2200000000000006</v>
      </c>
      <c r="G25" s="12">
        <v>80</v>
      </c>
      <c r="H25" s="8">
        <v>7.55</v>
      </c>
      <c r="I25" s="12">
        <v>0</v>
      </c>
    </row>
    <row r="26" spans="2:9" ht="15" customHeight="1" x14ac:dyDescent="0.2">
      <c r="B26" t="s">
        <v>69</v>
      </c>
      <c r="C26" s="12">
        <v>167</v>
      </c>
      <c r="D26" s="8">
        <v>7.58</v>
      </c>
      <c r="E26" s="12">
        <v>59</v>
      </c>
      <c r="F26" s="8">
        <v>5.18</v>
      </c>
      <c r="G26" s="12">
        <v>108</v>
      </c>
      <c r="H26" s="8">
        <v>10.19</v>
      </c>
      <c r="I26" s="12">
        <v>0</v>
      </c>
    </row>
    <row r="27" spans="2:9" ht="15" customHeight="1" x14ac:dyDescent="0.2">
      <c r="B27" t="s">
        <v>70</v>
      </c>
      <c r="C27" s="12">
        <v>138</v>
      </c>
      <c r="D27" s="8">
        <v>6.26</v>
      </c>
      <c r="E27" s="12">
        <v>67</v>
      </c>
      <c r="F27" s="8">
        <v>5.88</v>
      </c>
      <c r="G27" s="12">
        <v>71</v>
      </c>
      <c r="H27" s="8">
        <v>6.7</v>
      </c>
      <c r="I27" s="12">
        <v>0</v>
      </c>
    </row>
    <row r="28" spans="2:9" ht="15" customHeight="1" x14ac:dyDescent="0.2">
      <c r="B28" t="s">
        <v>79</v>
      </c>
      <c r="C28" s="12">
        <v>132</v>
      </c>
      <c r="D28" s="8">
        <v>5.99</v>
      </c>
      <c r="E28" s="12">
        <v>62</v>
      </c>
      <c r="F28" s="8">
        <v>5.44</v>
      </c>
      <c r="G28" s="12">
        <v>70</v>
      </c>
      <c r="H28" s="8">
        <v>6.6</v>
      </c>
      <c r="I28" s="12">
        <v>0</v>
      </c>
    </row>
    <row r="29" spans="2:9" ht="15" customHeight="1" x14ac:dyDescent="0.2">
      <c r="B29" t="s">
        <v>84</v>
      </c>
      <c r="C29" s="12">
        <v>127</v>
      </c>
      <c r="D29" s="8">
        <v>5.76</v>
      </c>
      <c r="E29" s="12">
        <v>104</v>
      </c>
      <c r="F29" s="8">
        <v>9.1300000000000008</v>
      </c>
      <c r="G29" s="12">
        <v>23</v>
      </c>
      <c r="H29" s="8">
        <v>2.17</v>
      </c>
      <c r="I29" s="12">
        <v>0</v>
      </c>
    </row>
    <row r="30" spans="2:9" ht="15" customHeight="1" x14ac:dyDescent="0.2">
      <c r="B30" t="s">
        <v>86</v>
      </c>
      <c r="C30" s="12">
        <v>103</v>
      </c>
      <c r="D30" s="8">
        <v>4.67</v>
      </c>
      <c r="E30" s="12">
        <v>82</v>
      </c>
      <c r="F30" s="8">
        <v>7.2</v>
      </c>
      <c r="G30" s="12">
        <v>20</v>
      </c>
      <c r="H30" s="8">
        <v>1.89</v>
      </c>
      <c r="I30" s="12">
        <v>1</v>
      </c>
    </row>
    <row r="31" spans="2:9" ht="15" customHeight="1" x14ac:dyDescent="0.2">
      <c r="B31" t="s">
        <v>71</v>
      </c>
      <c r="C31" s="12">
        <v>90</v>
      </c>
      <c r="D31" s="8">
        <v>4.08</v>
      </c>
      <c r="E31" s="12">
        <v>22</v>
      </c>
      <c r="F31" s="8">
        <v>1.93</v>
      </c>
      <c r="G31" s="12">
        <v>67</v>
      </c>
      <c r="H31" s="8">
        <v>6.32</v>
      </c>
      <c r="I31" s="12">
        <v>1</v>
      </c>
    </row>
    <row r="32" spans="2:9" ht="15" customHeight="1" x14ac:dyDescent="0.2">
      <c r="B32" t="s">
        <v>78</v>
      </c>
      <c r="C32" s="12">
        <v>85</v>
      </c>
      <c r="D32" s="8">
        <v>3.86</v>
      </c>
      <c r="E32" s="12">
        <v>49</v>
      </c>
      <c r="F32" s="8">
        <v>4.3</v>
      </c>
      <c r="G32" s="12">
        <v>36</v>
      </c>
      <c r="H32" s="8">
        <v>3.4</v>
      </c>
      <c r="I32" s="12">
        <v>0</v>
      </c>
    </row>
    <row r="33" spans="2:9" ht="15" customHeight="1" x14ac:dyDescent="0.2">
      <c r="B33" t="s">
        <v>77</v>
      </c>
      <c r="C33" s="12">
        <v>76</v>
      </c>
      <c r="D33" s="8">
        <v>3.45</v>
      </c>
      <c r="E33" s="12">
        <v>51</v>
      </c>
      <c r="F33" s="8">
        <v>4.4800000000000004</v>
      </c>
      <c r="G33" s="12">
        <v>24</v>
      </c>
      <c r="H33" s="8">
        <v>2.2599999999999998</v>
      </c>
      <c r="I33" s="12">
        <v>1</v>
      </c>
    </row>
    <row r="34" spans="2:9" ht="15" customHeight="1" x14ac:dyDescent="0.2">
      <c r="B34" t="s">
        <v>87</v>
      </c>
      <c r="C34" s="12">
        <v>74</v>
      </c>
      <c r="D34" s="8">
        <v>3.36</v>
      </c>
      <c r="E34" s="12">
        <v>63</v>
      </c>
      <c r="F34" s="8">
        <v>5.53</v>
      </c>
      <c r="G34" s="12">
        <v>11</v>
      </c>
      <c r="H34" s="8">
        <v>1.04</v>
      </c>
      <c r="I34" s="12">
        <v>0</v>
      </c>
    </row>
    <row r="35" spans="2:9" ht="15" customHeight="1" x14ac:dyDescent="0.2">
      <c r="B35" t="s">
        <v>76</v>
      </c>
      <c r="C35" s="12">
        <v>57</v>
      </c>
      <c r="D35" s="8">
        <v>2.59</v>
      </c>
      <c r="E35" s="12">
        <v>26</v>
      </c>
      <c r="F35" s="8">
        <v>2.2799999999999998</v>
      </c>
      <c r="G35" s="12">
        <v>31</v>
      </c>
      <c r="H35" s="8">
        <v>2.92</v>
      </c>
      <c r="I35" s="12">
        <v>0</v>
      </c>
    </row>
    <row r="36" spans="2:9" ht="15" customHeight="1" x14ac:dyDescent="0.2">
      <c r="B36" t="s">
        <v>94</v>
      </c>
      <c r="C36" s="12">
        <v>51</v>
      </c>
      <c r="D36" s="8">
        <v>2.31</v>
      </c>
      <c r="E36" s="12">
        <v>18</v>
      </c>
      <c r="F36" s="8">
        <v>1.58</v>
      </c>
      <c r="G36" s="12">
        <v>33</v>
      </c>
      <c r="H36" s="8">
        <v>3.11</v>
      </c>
      <c r="I36" s="12">
        <v>0</v>
      </c>
    </row>
    <row r="37" spans="2:9" ht="15" customHeight="1" x14ac:dyDescent="0.2">
      <c r="B37" t="s">
        <v>82</v>
      </c>
      <c r="C37" s="12">
        <v>48</v>
      </c>
      <c r="D37" s="8">
        <v>2.1800000000000002</v>
      </c>
      <c r="E37" s="12">
        <v>34</v>
      </c>
      <c r="F37" s="8">
        <v>2.99</v>
      </c>
      <c r="G37" s="12">
        <v>14</v>
      </c>
      <c r="H37" s="8">
        <v>1.32</v>
      </c>
      <c r="I37" s="12">
        <v>0</v>
      </c>
    </row>
    <row r="38" spans="2:9" ht="15" customHeight="1" x14ac:dyDescent="0.2">
      <c r="B38" t="s">
        <v>73</v>
      </c>
      <c r="C38" s="12">
        <v>44</v>
      </c>
      <c r="D38" s="8">
        <v>2</v>
      </c>
      <c r="E38" s="12">
        <v>14</v>
      </c>
      <c r="F38" s="8">
        <v>1.23</v>
      </c>
      <c r="G38" s="12">
        <v>30</v>
      </c>
      <c r="H38" s="8">
        <v>2.83</v>
      </c>
      <c r="I38" s="12">
        <v>0</v>
      </c>
    </row>
    <row r="39" spans="2:9" ht="15" customHeight="1" x14ac:dyDescent="0.2">
      <c r="B39" t="s">
        <v>72</v>
      </c>
      <c r="C39" s="12">
        <v>43</v>
      </c>
      <c r="D39" s="8">
        <v>1.95</v>
      </c>
      <c r="E39" s="12">
        <v>16</v>
      </c>
      <c r="F39" s="8">
        <v>1.4</v>
      </c>
      <c r="G39" s="12">
        <v>27</v>
      </c>
      <c r="H39" s="8">
        <v>2.5499999999999998</v>
      </c>
      <c r="I39" s="12">
        <v>0</v>
      </c>
    </row>
    <row r="40" spans="2:9" ht="15" customHeight="1" x14ac:dyDescent="0.2">
      <c r="B40" t="s">
        <v>83</v>
      </c>
      <c r="C40" s="12">
        <v>42</v>
      </c>
      <c r="D40" s="8">
        <v>1.91</v>
      </c>
      <c r="E40" s="12">
        <v>24</v>
      </c>
      <c r="F40" s="8">
        <v>2.11</v>
      </c>
      <c r="G40" s="12">
        <v>18</v>
      </c>
      <c r="H40" s="8">
        <v>1.7</v>
      </c>
      <c r="I40" s="12">
        <v>0</v>
      </c>
    </row>
    <row r="41" spans="2:9" ht="15" customHeight="1" x14ac:dyDescent="0.2">
      <c r="B41" t="s">
        <v>96</v>
      </c>
      <c r="C41" s="12">
        <v>39</v>
      </c>
      <c r="D41" s="8">
        <v>1.77</v>
      </c>
      <c r="E41" s="12">
        <v>21</v>
      </c>
      <c r="F41" s="8">
        <v>1.84</v>
      </c>
      <c r="G41" s="12">
        <v>18</v>
      </c>
      <c r="H41" s="8">
        <v>1.7</v>
      </c>
      <c r="I41" s="12">
        <v>0</v>
      </c>
    </row>
    <row r="42" spans="2:9" ht="15" customHeight="1" x14ac:dyDescent="0.2">
      <c r="B42" t="s">
        <v>89</v>
      </c>
      <c r="C42" s="12">
        <v>33</v>
      </c>
      <c r="D42" s="8">
        <v>1.5</v>
      </c>
      <c r="E42" s="12">
        <v>6</v>
      </c>
      <c r="F42" s="8">
        <v>0.53</v>
      </c>
      <c r="G42" s="12">
        <v>26</v>
      </c>
      <c r="H42" s="8">
        <v>2.4500000000000002</v>
      </c>
      <c r="I42" s="12">
        <v>1</v>
      </c>
    </row>
    <row r="43" spans="2:9" ht="15" customHeight="1" x14ac:dyDescent="0.2">
      <c r="B43" t="s">
        <v>90</v>
      </c>
      <c r="C43" s="12">
        <v>32</v>
      </c>
      <c r="D43" s="8">
        <v>1.45</v>
      </c>
      <c r="E43" s="12">
        <v>0</v>
      </c>
      <c r="F43" s="8">
        <v>0</v>
      </c>
      <c r="G43" s="12">
        <v>32</v>
      </c>
      <c r="H43" s="8">
        <v>3.02</v>
      </c>
      <c r="I43" s="12">
        <v>0</v>
      </c>
    </row>
    <row r="44" spans="2:9" ht="15" customHeight="1" x14ac:dyDescent="0.2">
      <c r="B44" t="s">
        <v>88</v>
      </c>
      <c r="C44" s="12">
        <v>32</v>
      </c>
      <c r="D44" s="8">
        <v>1.45</v>
      </c>
      <c r="E44" s="12">
        <v>17</v>
      </c>
      <c r="F44" s="8">
        <v>1.49</v>
      </c>
      <c r="G44" s="12">
        <v>15</v>
      </c>
      <c r="H44" s="8">
        <v>1.42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138</v>
      </c>
      <c r="D48" s="8">
        <v>6.26</v>
      </c>
      <c r="E48" s="12">
        <v>95</v>
      </c>
      <c r="F48" s="8">
        <v>8.34</v>
      </c>
      <c r="G48" s="12">
        <v>43</v>
      </c>
      <c r="H48" s="8">
        <v>4.0599999999999996</v>
      </c>
      <c r="I48" s="12">
        <v>0</v>
      </c>
    </row>
    <row r="49" spans="2:9" ht="15" customHeight="1" x14ac:dyDescent="0.2">
      <c r="B49" t="s">
        <v>132</v>
      </c>
      <c r="C49" s="12">
        <v>105</v>
      </c>
      <c r="D49" s="8">
        <v>4.76</v>
      </c>
      <c r="E49" s="12">
        <v>93</v>
      </c>
      <c r="F49" s="8">
        <v>8.17</v>
      </c>
      <c r="G49" s="12">
        <v>12</v>
      </c>
      <c r="H49" s="8">
        <v>1.1299999999999999</v>
      </c>
      <c r="I49" s="12">
        <v>0</v>
      </c>
    </row>
    <row r="50" spans="2:9" ht="15" customHeight="1" x14ac:dyDescent="0.2">
      <c r="B50" t="s">
        <v>133</v>
      </c>
      <c r="C50" s="12">
        <v>67</v>
      </c>
      <c r="D50" s="8">
        <v>3.04</v>
      </c>
      <c r="E50" s="12">
        <v>52</v>
      </c>
      <c r="F50" s="8">
        <v>4.57</v>
      </c>
      <c r="G50" s="12">
        <v>15</v>
      </c>
      <c r="H50" s="8">
        <v>1.42</v>
      </c>
      <c r="I50" s="12">
        <v>0</v>
      </c>
    </row>
    <row r="51" spans="2:9" ht="15" customHeight="1" x14ac:dyDescent="0.2">
      <c r="B51" t="s">
        <v>118</v>
      </c>
      <c r="C51" s="12">
        <v>66</v>
      </c>
      <c r="D51" s="8">
        <v>2.99</v>
      </c>
      <c r="E51" s="12">
        <v>36</v>
      </c>
      <c r="F51" s="8">
        <v>3.16</v>
      </c>
      <c r="G51" s="12">
        <v>30</v>
      </c>
      <c r="H51" s="8">
        <v>2.83</v>
      </c>
      <c r="I51" s="12">
        <v>0</v>
      </c>
    </row>
    <row r="52" spans="2:9" ht="15" customHeight="1" x14ac:dyDescent="0.2">
      <c r="B52" t="s">
        <v>122</v>
      </c>
      <c r="C52" s="12">
        <v>59</v>
      </c>
      <c r="D52" s="8">
        <v>2.68</v>
      </c>
      <c r="E52" s="12">
        <v>34</v>
      </c>
      <c r="F52" s="8">
        <v>2.99</v>
      </c>
      <c r="G52" s="12">
        <v>25</v>
      </c>
      <c r="H52" s="8">
        <v>2.36</v>
      </c>
      <c r="I52" s="12">
        <v>0</v>
      </c>
    </row>
    <row r="53" spans="2:9" ht="15" customHeight="1" x14ac:dyDescent="0.2">
      <c r="B53" t="s">
        <v>131</v>
      </c>
      <c r="C53" s="12">
        <v>58</v>
      </c>
      <c r="D53" s="8">
        <v>2.63</v>
      </c>
      <c r="E53" s="12">
        <v>56</v>
      </c>
      <c r="F53" s="8">
        <v>4.92</v>
      </c>
      <c r="G53" s="12">
        <v>2</v>
      </c>
      <c r="H53" s="8">
        <v>0.19</v>
      </c>
      <c r="I53" s="12">
        <v>0</v>
      </c>
    </row>
    <row r="54" spans="2:9" ht="15" customHeight="1" x14ac:dyDescent="0.2">
      <c r="B54" t="s">
        <v>134</v>
      </c>
      <c r="C54" s="12">
        <v>57</v>
      </c>
      <c r="D54" s="8">
        <v>2.59</v>
      </c>
      <c r="E54" s="12">
        <v>47</v>
      </c>
      <c r="F54" s="8">
        <v>4.13</v>
      </c>
      <c r="G54" s="12">
        <v>10</v>
      </c>
      <c r="H54" s="8">
        <v>0.94</v>
      </c>
      <c r="I54" s="12">
        <v>0</v>
      </c>
    </row>
    <row r="55" spans="2:9" ht="15" customHeight="1" x14ac:dyDescent="0.2">
      <c r="B55" t="s">
        <v>117</v>
      </c>
      <c r="C55" s="12">
        <v>48</v>
      </c>
      <c r="D55" s="8">
        <v>2.1800000000000002</v>
      </c>
      <c r="E55" s="12">
        <v>13</v>
      </c>
      <c r="F55" s="8">
        <v>1.1399999999999999</v>
      </c>
      <c r="G55" s="12">
        <v>35</v>
      </c>
      <c r="H55" s="8">
        <v>3.3</v>
      </c>
      <c r="I55" s="12">
        <v>0</v>
      </c>
    </row>
    <row r="56" spans="2:9" ht="15" customHeight="1" x14ac:dyDescent="0.2">
      <c r="B56" t="s">
        <v>119</v>
      </c>
      <c r="C56" s="12">
        <v>46</v>
      </c>
      <c r="D56" s="8">
        <v>2.09</v>
      </c>
      <c r="E56" s="12">
        <v>17</v>
      </c>
      <c r="F56" s="8">
        <v>1.49</v>
      </c>
      <c r="G56" s="12">
        <v>29</v>
      </c>
      <c r="H56" s="8">
        <v>2.74</v>
      </c>
      <c r="I56" s="12">
        <v>0</v>
      </c>
    </row>
    <row r="57" spans="2:9" ht="15" customHeight="1" x14ac:dyDescent="0.2">
      <c r="B57" t="s">
        <v>145</v>
      </c>
      <c r="C57" s="12">
        <v>45</v>
      </c>
      <c r="D57" s="8">
        <v>2.04</v>
      </c>
      <c r="E57" s="12">
        <v>16</v>
      </c>
      <c r="F57" s="8">
        <v>1.4</v>
      </c>
      <c r="G57" s="12">
        <v>29</v>
      </c>
      <c r="H57" s="8">
        <v>2.74</v>
      </c>
      <c r="I57" s="12">
        <v>0</v>
      </c>
    </row>
    <row r="58" spans="2:9" ht="15" customHeight="1" x14ac:dyDescent="0.2">
      <c r="B58" t="s">
        <v>116</v>
      </c>
      <c r="C58" s="12">
        <v>33</v>
      </c>
      <c r="D58" s="8">
        <v>1.5</v>
      </c>
      <c r="E58" s="12">
        <v>4</v>
      </c>
      <c r="F58" s="8">
        <v>0.35</v>
      </c>
      <c r="G58" s="12">
        <v>29</v>
      </c>
      <c r="H58" s="8">
        <v>2.74</v>
      </c>
      <c r="I58" s="12">
        <v>0</v>
      </c>
    </row>
    <row r="59" spans="2:9" ht="15" customHeight="1" x14ac:dyDescent="0.2">
      <c r="B59" t="s">
        <v>153</v>
      </c>
      <c r="C59" s="12">
        <v>33</v>
      </c>
      <c r="D59" s="8">
        <v>1.5</v>
      </c>
      <c r="E59" s="12">
        <v>29</v>
      </c>
      <c r="F59" s="8">
        <v>2.5499999999999998</v>
      </c>
      <c r="G59" s="12">
        <v>4</v>
      </c>
      <c r="H59" s="8">
        <v>0.38</v>
      </c>
      <c r="I59" s="12">
        <v>0</v>
      </c>
    </row>
    <row r="60" spans="2:9" ht="15" customHeight="1" x14ac:dyDescent="0.2">
      <c r="B60" t="s">
        <v>120</v>
      </c>
      <c r="C60" s="12">
        <v>32</v>
      </c>
      <c r="D60" s="8">
        <v>1.45</v>
      </c>
      <c r="E60" s="12">
        <v>5</v>
      </c>
      <c r="F60" s="8">
        <v>0.44</v>
      </c>
      <c r="G60" s="12">
        <v>26</v>
      </c>
      <c r="H60" s="8">
        <v>2.4500000000000002</v>
      </c>
      <c r="I60" s="12">
        <v>1</v>
      </c>
    </row>
    <row r="61" spans="2:9" ht="15" customHeight="1" x14ac:dyDescent="0.2">
      <c r="B61" t="s">
        <v>135</v>
      </c>
      <c r="C61" s="12">
        <v>32</v>
      </c>
      <c r="D61" s="8">
        <v>1.45</v>
      </c>
      <c r="E61" s="12">
        <v>17</v>
      </c>
      <c r="F61" s="8">
        <v>1.49</v>
      </c>
      <c r="G61" s="12">
        <v>15</v>
      </c>
      <c r="H61" s="8">
        <v>1.42</v>
      </c>
      <c r="I61" s="12">
        <v>0</v>
      </c>
    </row>
    <row r="62" spans="2:9" ht="15" customHeight="1" x14ac:dyDescent="0.2">
      <c r="B62" t="s">
        <v>154</v>
      </c>
      <c r="C62" s="12">
        <v>30</v>
      </c>
      <c r="D62" s="8">
        <v>1.36</v>
      </c>
      <c r="E62" s="12">
        <v>8</v>
      </c>
      <c r="F62" s="8">
        <v>0.7</v>
      </c>
      <c r="G62" s="12">
        <v>22</v>
      </c>
      <c r="H62" s="8">
        <v>2.08</v>
      </c>
      <c r="I62" s="12">
        <v>0</v>
      </c>
    </row>
    <row r="63" spans="2:9" ht="15" customHeight="1" x14ac:dyDescent="0.2">
      <c r="B63" t="s">
        <v>136</v>
      </c>
      <c r="C63" s="12">
        <v>30</v>
      </c>
      <c r="D63" s="8">
        <v>1.36</v>
      </c>
      <c r="E63" s="12">
        <v>23</v>
      </c>
      <c r="F63" s="8">
        <v>2.02</v>
      </c>
      <c r="G63" s="12">
        <v>7</v>
      </c>
      <c r="H63" s="8">
        <v>0.66</v>
      </c>
      <c r="I63" s="12">
        <v>0</v>
      </c>
    </row>
    <row r="64" spans="2:9" ht="15" customHeight="1" x14ac:dyDescent="0.2">
      <c r="B64" t="s">
        <v>123</v>
      </c>
      <c r="C64" s="12">
        <v>30</v>
      </c>
      <c r="D64" s="8">
        <v>1.36</v>
      </c>
      <c r="E64" s="12">
        <v>12</v>
      </c>
      <c r="F64" s="8">
        <v>1.05</v>
      </c>
      <c r="G64" s="12">
        <v>18</v>
      </c>
      <c r="H64" s="8">
        <v>1.7</v>
      </c>
      <c r="I64" s="12">
        <v>0</v>
      </c>
    </row>
    <row r="65" spans="2:9" ht="15" customHeight="1" x14ac:dyDescent="0.2">
      <c r="B65" t="s">
        <v>125</v>
      </c>
      <c r="C65" s="12">
        <v>30</v>
      </c>
      <c r="D65" s="8">
        <v>1.36</v>
      </c>
      <c r="E65" s="12">
        <v>4</v>
      </c>
      <c r="F65" s="8">
        <v>0.35</v>
      </c>
      <c r="G65" s="12">
        <v>26</v>
      </c>
      <c r="H65" s="8">
        <v>2.4500000000000002</v>
      </c>
      <c r="I65" s="12">
        <v>0</v>
      </c>
    </row>
    <row r="66" spans="2:9" ht="15" customHeight="1" x14ac:dyDescent="0.2">
      <c r="B66" t="s">
        <v>124</v>
      </c>
      <c r="C66" s="12">
        <v>29</v>
      </c>
      <c r="D66" s="8">
        <v>1.32</v>
      </c>
      <c r="E66" s="12">
        <v>17</v>
      </c>
      <c r="F66" s="8">
        <v>1.49</v>
      </c>
      <c r="G66" s="12">
        <v>12</v>
      </c>
      <c r="H66" s="8">
        <v>1.1299999999999999</v>
      </c>
      <c r="I66" s="12">
        <v>0</v>
      </c>
    </row>
    <row r="67" spans="2:9" ht="15" customHeight="1" x14ac:dyDescent="0.2">
      <c r="B67" t="s">
        <v>127</v>
      </c>
      <c r="C67" s="12">
        <v>28</v>
      </c>
      <c r="D67" s="8">
        <v>1.27</v>
      </c>
      <c r="E67" s="12">
        <v>17</v>
      </c>
      <c r="F67" s="8">
        <v>1.49</v>
      </c>
      <c r="G67" s="12">
        <v>11</v>
      </c>
      <c r="H67" s="8">
        <v>1.04</v>
      </c>
      <c r="I67" s="12">
        <v>0</v>
      </c>
    </row>
    <row r="68" spans="2:9" ht="15" customHeight="1" x14ac:dyDescent="0.2">
      <c r="B68" t="s">
        <v>128</v>
      </c>
      <c r="C68" s="12">
        <v>28</v>
      </c>
      <c r="D68" s="8">
        <v>1.27</v>
      </c>
      <c r="E68" s="12">
        <v>22</v>
      </c>
      <c r="F68" s="8">
        <v>1.93</v>
      </c>
      <c r="G68" s="12">
        <v>6</v>
      </c>
      <c r="H68" s="8">
        <v>0.56999999999999995</v>
      </c>
      <c r="I68" s="12">
        <v>0</v>
      </c>
    </row>
    <row r="69" spans="2:9" ht="15" customHeight="1" x14ac:dyDescent="0.2">
      <c r="B69" t="s">
        <v>129</v>
      </c>
      <c r="C69" s="12">
        <v>28</v>
      </c>
      <c r="D69" s="8">
        <v>1.27</v>
      </c>
      <c r="E69" s="12">
        <v>23</v>
      </c>
      <c r="F69" s="8">
        <v>2.02</v>
      </c>
      <c r="G69" s="12">
        <v>5</v>
      </c>
      <c r="H69" s="8">
        <v>0.47</v>
      </c>
      <c r="I69" s="12">
        <v>0</v>
      </c>
    </row>
    <row r="71" spans="2:9" ht="15" customHeight="1" x14ac:dyDescent="0.2">
      <c r="B71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88A88-71F0-47FD-9713-9FA5222C6503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206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0.12</v>
      </c>
      <c r="E5" s="12">
        <v>0</v>
      </c>
      <c r="F5" s="8">
        <v>0</v>
      </c>
      <c r="G5" s="12">
        <v>1</v>
      </c>
      <c r="H5" s="8">
        <v>0.33</v>
      </c>
      <c r="I5" s="12">
        <v>0</v>
      </c>
    </row>
    <row r="6" spans="2:9" ht="15" customHeight="1" x14ac:dyDescent="0.2">
      <c r="B6" t="s">
        <v>47</v>
      </c>
      <c r="C6" s="12">
        <v>142</v>
      </c>
      <c r="D6" s="8">
        <v>17.190000000000001</v>
      </c>
      <c r="E6" s="12">
        <v>70</v>
      </c>
      <c r="F6" s="8">
        <v>14.4</v>
      </c>
      <c r="G6" s="12">
        <v>72</v>
      </c>
      <c r="H6" s="8">
        <v>23.84</v>
      </c>
      <c r="I6" s="12">
        <v>0</v>
      </c>
    </row>
    <row r="7" spans="2:9" ht="15" customHeight="1" x14ac:dyDescent="0.2">
      <c r="B7" t="s">
        <v>48</v>
      </c>
      <c r="C7" s="12">
        <v>117</v>
      </c>
      <c r="D7" s="8">
        <v>14.16</v>
      </c>
      <c r="E7" s="12">
        <v>55</v>
      </c>
      <c r="F7" s="8">
        <v>11.32</v>
      </c>
      <c r="G7" s="12">
        <v>54</v>
      </c>
      <c r="H7" s="8">
        <v>17.88</v>
      </c>
      <c r="I7" s="12">
        <v>8</v>
      </c>
    </row>
    <row r="8" spans="2:9" ht="15" customHeight="1" x14ac:dyDescent="0.2">
      <c r="B8" t="s">
        <v>49</v>
      </c>
      <c r="C8" s="12">
        <v>2</v>
      </c>
      <c r="D8" s="8">
        <v>0.24</v>
      </c>
      <c r="E8" s="12">
        <v>0</v>
      </c>
      <c r="F8" s="8">
        <v>0</v>
      </c>
      <c r="G8" s="12">
        <v>2</v>
      </c>
      <c r="H8" s="8">
        <v>0.66</v>
      </c>
      <c r="I8" s="12">
        <v>0</v>
      </c>
    </row>
    <row r="9" spans="2:9" ht="15" customHeight="1" x14ac:dyDescent="0.2">
      <c r="B9" t="s">
        <v>50</v>
      </c>
      <c r="C9" s="12">
        <v>4</v>
      </c>
      <c r="D9" s="8">
        <v>0.48</v>
      </c>
      <c r="E9" s="12">
        <v>0</v>
      </c>
      <c r="F9" s="8">
        <v>0</v>
      </c>
      <c r="G9" s="12">
        <v>4</v>
      </c>
      <c r="H9" s="8">
        <v>1.32</v>
      </c>
      <c r="I9" s="12">
        <v>0</v>
      </c>
    </row>
    <row r="10" spans="2:9" ht="15" customHeight="1" x14ac:dyDescent="0.2">
      <c r="B10" t="s">
        <v>51</v>
      </c>
      <c r="C10" s="12">
        <v>13</v>
      </c>
      <c r="D10" s="8">
        <v>1.57</v>
      </c>
      <c r="E10" s="12">
        <v>4</v>
      </c>
      <c r="F10" s="8">
        <v>0.82</v>
      </c>
      <c r="G10" s="12">
        <v>7</v>
      </c>
      <c r="H10" s="8">
        <v>2.3199999999999998</v>
      </c>
      <c r="I10" s="12">
        <v>2</v>
      </c>
    </row>
    <row r="11" spans="2:9" ht="15" customHeight="1" x14ac:dyDescent="0.2">
      <c r="B11" t="s">
        <v>52</v>
      </c>
      <c r="C11" s="12">
        <v>213</v>
      </c>
      <c r="D11" s="8">
        <v>25.79</v>
      </c>
      <c r="E11" s="12">
        <v>129</v>
      </c>
      <c r="F11" s="8">
        <v>26.54</v>
      </c>
      <c r="G11" s="12">
        <v>83</v>
      </c>
      <c r="H11" s="8">
        <v>27.48</v>
      </c>
      <c r="I11" s="12">
        <v>1</v>
      </c>
    </row>
    <row r="12" spans="2:9" ht="15" customHeight="1" x14ac:dyDescent="0.2">
      <c r="B12" t="s">
        <v>53</v>
      </c>
      <c r="C12" s="12">
        <v>2</v>
      </c>
      <c r="D12" s="8">
        <v>0.24</v>
      </c>
      <c r="E12" s="12">
        <v>0</v>
      </c>
      <c r="F12" s="8">
        <v>0</v>
      </c>
      <c r="G12" s="12">
        <v>2</v>
      </c>
      <c r="H12" s="8">
        <v>0.66</v>
      </c>
      <c r="I12" s="12">
        <v>0</v>
      </c>
    </row>
    <row r="13" spans="2:9" ht="15" customHeight="1" x14ac:dyDescent="0.2">
      <c r="B13" t="s">
        <v>54</v>
      </c>
      <c r="C13" s="12">
        <v>38</v>
      </c>
      <c r="D13" s="8">
        <v>4.5999999999999996</v>
      </c>
      <c r="E13" s="12">
        <v>20</v>
      </c>
      <c r="F13" s="8">
        <v>4.12</v>
      </c>
      <c r="G13" s="12">
        <v>18</v>
      </c>
      <c r="H13" s="8">
        <v>5.96</v>
      </c>
      <c r="I13" s="12">
        <v>0</v>
      </c>
    </row>
    <row r="14" spans="2:9" ht="15" customHeight="1" x14ac:dyDescent="0.2">
      <c r="B14" t="s">
        <v>55</v>
      </c>
      <c r="C14" s="12">
        <v>31</v>
      </c>
      <c r="D14" s="8">
        <v>3.75</v>
      </c>
      <c r="E14" s="12">
        <v>17</v>
      </c>
      <c r="F14" s="8">
        <v>3.5</v>
      </c>
      <c r="G14" s="12">
        <v>12</v>
      </c>
      <c r="H14" s="8">
        <v>3.97</v>
      </c>
      <c r="I14" s="12">
        <v>0</v>
      </c>
    </row>
    <row r="15" spans="2:9" ht="15" customHeight="1" x14ac:dyDescent="0.2">
      <c r="B15" t="s">
        <v>56</v>
      </c>
      <c r="C15" s="12">
        <v>78</v>
      </c>
      <c r="D15" s="8">
        <v>9.44</v>
      </c>
      <c r="E15" s="12">
        <v>67</v>
      </c>
      <c r="F15" s="8">
        <v>13.79</v>
      </c>
      <c r="G15" s="12">
        <v>8</v>
      </c>
      <c r="H15" s="8">
        <v>2.65</v>
      </c>
      <c r="I15" s="12">
        <v>1</v>
      </c>
    </row>
    <row r="16" spans="2:9" ht="15" customHeight="1" x14ac:dyDescent="0.2">
      <c r="B16" t="s">
        <v>57</v>
      </c>
      <c r="C16" s="12">
        <v>99</v>
      </c>
      <c r="D16" s="8">
        <v>11.99</v>
      </c>
      <c r="E16" s="12">
        <v>86</v>
      </c>
      <c r="F16" s="8">
        <v>17.7</v>
      </c>
      <c r="G16" s="12">
        <v>10</v>
      </c>
      <c r="H16" s="8">
        <v>3.31</v>
      </c>
      <c r="I16" s="12">
        <v>0</v>
      </c>
    </row>
    <row r="17" spans="2:9" ht="15" customHeight="1" x14ac:dyDescent="0.2">
      <c r="B17" t="s">
        <v>58</v>
      </c>
      <c r="C17" s="12">
        <v>25</v>
      </c>
      <c r="D17" s="8">
        <v>3.03</v>
      </c>
      <c r="E17" s="12">
        <v>14</v>
      </c>
      <c r="F17" s="8">
        <v>2.88</v>
      </c>
      <c r="G17" s="12">
        <v>1</v>
      </c>
      <c r="H17" s="8">
        <v>0.33</v>
      </c>
      <c r="I17" s="12">
        <v>0</v>
      </c>
    </row>
    <row r="18" spans="2:9" ht="15" customHeight="1" x14ac:dyDescent="0.2">
      <c r="B18" t="s">
        <v>59</v>
      </c>
      <c r="C18" s="12">
        <v>38</v>
      </c>
      <c r="D18" s="8">
        <v>4.5999999999999996</v>
      </c>
      <c r="E18" s="12">
        <v>18</v>
      </c>
      <c r="F18" s="8">
        <v>3.7</v>
      </c>
      <c r="G18" s="12">
        <v>18</v>
      </c>
      <c r="H18" s="8">
        <v>5.96</v>
      </c>
      <c r="I18" s="12">
        <v>0</v>
      </c>
    </row>
    <row r="19" spans="2:9" ht="15" customHeight="1" x14ac:dyDescent="0.2">
      <c r="B19" t="s">
        <v>60</v>
      </c>
      <c r="C19" s="12">
        <v>23</v>
      </c>
      <c r="D19" s="8">
        <v>2.78</v>
      </c>
      <c r="E19" s="12">
        <v>6</v>
      </c>
      <c r="F19" s="8">
        <v>1.23</v>
      </c>
      <c r="G19" s="12">
        <v>10</v>
      </c>
      <c r="H19" s="8">
        <v>3.31</v>
      </c>
      <c r="I19" s="12">
        <v>0</v>
      </c>
    </row>
    <row r="20" spans="2:9" ht="15" customHeight="1" x14ac:dyDescent="0.2">
      <c r="B20" s="9" t="s">
        <v>191</v>
      </c>
      <c r="C20" s="12">
        <f>SUM(LTBL_22137[総数／事業所数])</f>
        <v>826</v>
      </c>
      <c r="E20" s="12">
        <f>SUBTOTAL(109,LTBL_22137[個人／事業所数])</f>
        <v>486</v>
      </c>
      <c r="G20" s="12">
        <f>SUBTOTAL(109,LTBL_22137[法人／事業所数])</f>
        <v>302</v>
      </c>
      <c r="I20" s="12">
        <f>SUBTOTAL(109,LTBL_22137[法人以外の団体／事業所数])</f>
        <v>12</v>
      </c>
    </row>
    <row r="21" spans="2:9" ht="15" customHeight="1" x14ac:dyDescent="0.2">
      <c r="E21" s="11">
        <f>LTBL_22137[[#Totals],[個人／事業所数]]/LTBL_22137[[#Totals],[総数／事業所数]]</f>
        <v>0.58837772397094434</v>
      </c>
      <c r="G21" s="11">
        <f>LTBL_22137[[#Totals],[法人／事業所数]]/LTBL_22137[[#Totals],[総数／事業所数]]</f>
        <v>0.36561743341404357</v>
      </c>
      <c r="I21" s="11">
        <f>LTBL_22137[[#Totals],[法人以外の団体／事業所数]]/LTBL_22137[[#Totals],[総数／事業所数]]</f>
        <v>1.4527845036319613E-2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85</v>
      </c>
      <c r="D24" s="8">
        <v>10.29</v>
      </c>
      <c r="E24" s="12">
        <v>82</v>
      </c>
      <c r="F24" s="8">
        <v>16.87</v>
      </c>
      <c r="G24" s="12">
        <v>3</v>
      </c>
      <c r="H24" s="8">
        <v>0.99</v>
      </c>
      <c r="I24" s="12">
        <v>0</v>
      </c>
    </row>
    <row r="25" spans="2:9" ht="15" customHeight="1" x14ac:dyDescent="0.2">
      <c r="B25" t="s">
        <v>69</v>
      </c>
      <c r="C25" s="12">
        <v>73</v>
      </c>
      <c r="D25" s="8">
        <v>8.84</v>
      </c>
      <c r="E25" s="12">
        <v>29</v>
      </c>
      <c r="F25" s="8">
        <v>5.97</v>
      </c>
      <c r="G25" s="12">
        <v>44</v>
      </c>
      <c r="H25" s="8">
        <v>14.57</v>
      </c>
      <c r="I25" s="12">
        <v>0</v>
      </c>
    </row>
    <row r="26" spans="2:9" ht="15" customHeight="1" x14ac:dyDescent="0.2">
      <c r="B26" t="s">
        <v>79</v>
      </c>
      <c r="C26" s="12">
        <v>72</v>
      </c>
      <c r="D26" s="8">
        <v>8.7200000000000006</v>
      </c>
      <c r="E26" s="12">
        <v>44</v>
      </c>
      <c r="F26" s="8">
        <v>9.0500000000000007</v>
      </c>
      <c r="G26" s="12">
        <v>28</v>
      </c>
      <c r="H26" s="8">
        <v>9.27</v>
      </c>
      <c r="I26" s="12">
        <v>0</v>
      </c>
    </row>
    <row r="27" spans="2:9" ht="15" customHeight="1" x14ac:dyDescent="0.2">
      <c r="B27" t="s">
        <v>77</v>
      </c>
      <c r="C27" s="12">
        <v>58</v>
      </c>
      <c r="D27" s="8">
        <v>7.02</v>
      </c>
      <c r="E27" s="12">
        <v>39</v>
      </c>
      <c r="F27" s="8">
        <v>8.02</v>
      </c>
      <c r="G27" s="12">
        <v>18</v>
      </c>
      <c r="H27" s="8">
        <v>5.96</v>
      </c>
      <c r="I27" s="12">
        <v>1</v>
      </c>
    </row>
    <row r="28" spans="2:9" ht="15" customHeight="1" x14ac:dyDescent="0.2">
      <c r="B28" t="s">
        <v>84</v>
      </c>
      <c r="C28" s="12">
        <v>56</v>
      </c>
      <c r="D28" s="8">
        <v>6.78</v>
      </c>
      <c r="E28" s="12">
        <v>51</v>
      </c>
      <c r="F28" s="8">
        <v>10.49</v>
      </c>
      <c r="G28" s="12">
        <v>4</v>
      </c>
      <c r="H28" s="8">
        <v>1.32</v>
      </c>
      <c r="I28" s="12">
        <v>1</v>
      </c>
    </row>
    <row r="29" spans="2:9" ht="15" customHeight="1" x14ac:dyDescent="0.2">
      <c r="B29" t="s">
        <v>70</v>
      </c>
      <c r="C29" s="12">
        <v>38</v>
      </c>
      <c r="D29" s="8">
        <v>4.5999999999999996</v>
      </c>
      <c r="E29" s="12">
        <v>27</v>
      </c>
      <c r="F29" s="8">
        <v>5.56</v>
      </c>
      <c r="G29" s="12">
        <v>11</v>
      </c>
      <c r="H29" s="8">
        <v>3.64</v>
      </c>
      <c r="I29" s="12">
        <v>0</v>
      </c>
    </row>
    <row r="30" spans="2:9" ht="15" customHeight="1" x14ac:dyDescent="0.2">
      <c r="B30" t="s">
        <v>98</v>
      </c>
      <c r="C30" s="12">
        <v>35</v>
      </c>
      <c r="D30" s="8">
        <v>4.24</v>
      </c>
      <c r="E30" s="12">
        <v>16</v>
      </c>
      <c r="F30" s="8">
        <v>3.29</v>
      </c>
      <c r="G30" s="12">
        <v>19</v>
      </c>
      <c r="H30" s="8">
        <v>6.29</v>
      </c>
      <c r="I30" s="12">
        <v>0</v>
      </c>
    </row>
    <row r="31" spans="2:9" ht="15" customHeight="1" x14ac:dyDescent="0.2">
      <c r="B31" t="s">
        <v>81</v>
      </c>
      <c r="C31" s="12">
        <v>35</v>
      </c>
      <c r="D31" s="8">
        <v>4.24</v>
      </c>
      <c r="E31" s="12">
        <v>20</v>
      </c>
      <c r="F31" s="8">
        <v>4.12</v>
      </c>
      <c r="G31" s="12">
        <v>15</v>
      </c>
      <c r="H31" s="8">
        <v>4.97</v>
      </c>
      <c r="I31" s="12">
        <v>0</v>
      </c>
    </row>
    <row r="32" spans="2:9" ht="15" customHeight="1" x14ac:dyDescent="0.2">
      <c r="B32" t="s">
        <v>71</v>
      </c>
      <c r="C32" s="12">
        <v>31</v>
      </c>
      <c r="D32" s="8">
        <v>3.75</v>
      </c>
      <c r="E32" s="12">
        <v>14</v>
      </c>
      <c r="F32" s="8">
        <v>2.88</v>
      </c>
      <c r="G32" s="12">
        <v>17</v>
      </c>
      <c r="H32" s="8">
        <v>5.63</v>
      </c>
      <c r="I32" s="12">
        <v>0</v>
      </c>
    </row>
    <row r="33" spans="2:9" ht="15" customHeight="1" x14ac:dyDescent="0.2">
      <c r="B33" t="s">
        <v>78</v>
      </c>
      <c r="C33" s="12">
        <v>29</v>
      </c>
      <c r="D33" s="8">
        <v>3.51</v>
      </c>
      <c r="E33" s="12">
        <v>16</v>
      </c>
      <c r="F33" s="8">
        <v>3.29</v>
      </c>
      <c r="G33" s="12">
        <v>13</v>
      </c>
      <c r="H33" s="8">
        <v>4.3</v>
      </c>
      <c r="I33" s="12">
        <v>0</v>
      </c>
    </row>
    <row r="34" spans="2:9" ht="15" customHeight="1" x14ac:dyDescent="0.2">
      <c r="B34" t="s">
        <v>86</v>
      </c>
      <c r="C34" s="12">
        <v>25</v>
      </c>
      <c r="D34" s="8">
        <v>3.03</v>
      </c>
      <c r="E34" s="12">
        <v>14</v>
      </c>
      <c r="F34" s="8">
        <v>2.88</v>
      </c>
      <c r="G34" s="12">
        <v>1</v>
      </c>
      <c r="H34" s="8">
        <v>0.33</v>
      </c>
      <c r="I34" s="12">
        <v>0</v>
      </c>
    </row>
    <row r="35" spans="2:9" ht="15" customHeight="1" x14ac:dyDescent="0.2">
      <c r="B35" t="s">
        <v>76</v>
      </c>
      <c r="C35" s="12">
        <v>24</v>
      </c>
      <c r="D35" s="8">
        <v>2.91</v>
      </c>
      <c r="E35" s="12">
        <v>17</v>
      </c>
      <c r="F35" s="8">
        <v>3.5</v>
      </c>
      <c r="G35" s="12">
        <v>7</v>
      </c>
      <c r="H35" s="8">
        <v>2.3199999999999998</v>
      </c>
      <c r="I35" s="12">
        <v>0</v>
      </c>
    </row>
    <row r="36" spans="2:9" ht="15" customHeight="1" x14ac:dyDescent="0.2">
      <c r="B36" t="s">
        <v>87</v>
      </c>
      <c r="C36" s="12">
        <v>20</v>
      </c>
      <c r="D36" s="8">
        <v>2.42</v>
      </c>
      <c r="E36" s="12">
        <v>17</v>
      </c>
      <c r="F36" s="8">
        <v>3.5</v>
      </c>
      <c r="G36" s="12">
        <v>2</v>
      </c>
      <c r="H36" s="8">
        <v>0.66</v>
      </c>
      <c r="I36" s="12">
        <v>0</v>
      </c>
    </row>
    <row r="37" spans="2:9" ht="15" customHeight="1" x14ac:dyDescent="0.2">
      <c r="B37" t="s">
        <v>90</v>
      </c>
      <c r="C37" s="12">
        <v>18</v>
      </c>
      <c r="D37" s="8">
        <v>2.1800000000000002</v>
      </c>
      <c r="E37" s="12">
        <v>1</v>
      </c>
      <c r="F37" s="8">
        <v>0.21</v>
      </c>
      <c r="G37" s="12">
        <v>16</v>
      </c>
      <c r="H37" s="8">
        <v>5.3</v>
      </c>
      <c r="I37" s="12">
        <v>0</v>
      </c>
    </row>
    <row r="38" spans="2:9" ht="15" customHeight="1" x14ac:dyDescent="0.2">
      <c r="B38" t="s">
        <v>97</v>
      </c>
      <c r="C38" s="12">
        <v>17</v>
      </c>
      <c r="D38" s="8">
        <v>2.06</v>
      </c>
      <c r="E38" s="12">
        <v>7</v>
      </c>
      <c r="F38" s="8">
        <v>1.44</v>
      </c>
      <c r="G38" s="12">
        <v>3</v>
      </c>
      <c r="H38" s="8">
        <v>0.99</v>
      </c>
      <c r="I38" s="12">
        <v>7</v>
      </c>
    </row>
    <row r="39" spans="2:9" ht="15" customHeight="1" x14ac:dyDescent="0.2">
      <c r="B39" t="s">
        <v>83</v>
      </c>
      <c r="C39" s="12">
        <v>17</v>
      </c>
      <c r="D39" s="8">
        <v>2.06</v>
      </c>
      <c r="E39" s="12">
        <v>7</v>
      </c>
      <c r="F39" s="8">
        <v>1.44</v>
      </c>
      <c r="G39" s="12">
        <v>8</v>
      </c>
      <c r="H39" s="8">
        <v>2.65</v>
      </c>
      <c r="I39" s="12">
        <v>0</v>
      </c>
    </row>
    <row r="40" spans="2:9" ht="15" customHeight="1" x14ac:dyDescent="0.2">
      <c r="B40" t="s">
        <v>99</v>
      </c>
      <c r="C40" s="12">
        <v>15</v>
      </c>
      <c r="D40" s="8">
        <v>1.82</v>
      </c>
      <c r="E40" s="12">
        <v>12</v>
      </c>
      <c r="F40" s="8">
        <v>2.4700000000000002</v>
      </c>
      <c r="G40" s="12">
        <v>3</v>
      </c>
      <c r="H40" s="8">
        <v>0.99</v>
      </c>
      <c r="I40" s="12">
        <v>0</v>
      </c>
    </row>
    <row r="41" spans="2:9" ht="15" customHeight="1" x14ac:dyDescent="0.2">
      <c r="B41" t="s">
        <v>82</v>
      </c>
      <c r="C41" s="12">
        <v>13</v>
      </c>
      <c r="D41" s="8">
        <v>1.57</v>
      </c>
      <c r="E41" s="12">
        <v>10</v>
      </c>
      <c r="F41" s="8">
        <v>2.06</v>
      </c>
      <c r="G41" s="12">
        <v>3</v>
      </c>
      <c r="H41" s="8">
        <v>0.99</v>
      </c>
      <c r="I41" s="12">
        <v>0</v>
      </c>
    </row>
    <row r="42" spans="2:9" ht="15" customHeight="1" x14ac:dyDescent="0.2">
      <c r="B42" t="s">
        <v>91</v>
      </c>
      <c r="C42" s="12">
        <v>9</v>
      </c>
      <c r="D42" s="8">
        <v>1.0900000000000001</v>
      </c>
      <c r="E42" s="12">
        <v>7</v>
      </c>
      <c r="F42" s="8">
        <v>1.44</v>
      </c>
      <c r="G42" s="12">
        <v>2</v>
      </c>
      <c r="H42" s="8">
        <v>0.66</v>
      </c>
      <c r="I42" s="12">
        <v>0</v>
      </c>
    </row>
    <row r="43" spans="2:9" ht="15" customHeight="1" x14ac:dyDescent="0.2">
      <c r="B43" t="s">
        <v>94</v>
      </c>
      <c r="C43" s="12">
        <v>9</v>
      </c>
      <c r="D43" s="8">
        <v>1.0900000000000001</v>
      </c>
      <c r="E43" s="12">
        <v>5</v>
      </c>
      <c r="F43" s="8">
        <v>1.03</v>
      </c>
      <c r="G43" s="12">
        <v>4</v>
      </c>
      <c r="H43" s="8">
        <v>1.32</v>
      </c>
      <c r="I43" s="12">
        <v>0</v>
      </c>
    </row>
    <row r="44" spans="2:9" ht="15" customHeight="1" x14ac:dyDescent="0.2">
      <c r="B44" t="s">
        <v>74</v>
      </c>
      <c r="C44" s="12">
        <v>9</v>
      </c>
      <c r="D44" s="8">
        <v>1.0900000000000001</v>
      </c>
      <c r="E44" s="12">
        <v>5</v>
      </c>
      <c r="F44" s="8">
        <v>1.03</v>
      </c>
      <c r="G44" s="12">
        <v>4</v>
      </c>
      <c r="H44" s="8">
        <v>1.32</v>
      </c>
      <c r="I44" s="12">
        <v>0</v>
      </c>
    </row>
    <row r="45" spans="2:9" ht="15" customHeight="1" x14ac:dyDescent="0.2">
      <c r="B45" t="s">
        <v>95</v>
      </c>
      <c r="C45" s="12">
        <v>9</v>
      </c>
      <c r="D45" s="8">
        <v>1.0900000000000001</v>
      </c>
      <c r="E45" s="12">
        <v>1</v>
      </c>
      <c r="F45" s="8">
        <v>0.21</v>
      </c>
      <c r="G45" s="12">
        <v>5</v>
      </c>
      <c r="H45" s="8">
        <v>1.66</v>
      </c>
      <c r="I45" s="12">
        <v>0</v>
      </c>
    </row>
    <row r="48" spans="2:9" ht="33" customHeight="1" x14ac:dyDescent="0.2">
      <c r="B48" t="s">
        <v>193</v>
      </c>
      <c r="C48" s="10" t="s">
        <v>62</v>
      </c>
      <c r="D48" s="10" t="s">
        <v>63</v>
      </c>
      <c r="E48" s="10" t="s">
        <v>64</v>
      </c>
      <c r="F48" s="10" t="s">
        <v>65</v>
      </c>
      <c r="G48" s="10" t="s">
        <v>66</v>
      </c>
      <c r="H48" s="10" t="s">
        <v>67</v>
      </c>
      <c r="I48" s="10" t="s">
        <v>68</v>
      </c>
    </row>
    <row r="49" spans="2:9" ht="15" customHeight="1" x14ac:dyDescent="0.2">
      <c r="B49" t="s">
        <v>132</v>
      </c>
      <c r="C49" s="12">
        <v>43</v>
      </c>
      <c r="D49" s="8">
        <v>5.21</v>
      </c>
      <c r="E49" s="12">
        <v>42</v>
      </c>
      <c r="F49" s="8">
        <v>8.64</v>
      </c>
      <c r="G49" s="12">
        <v>1</v>
      </c>
      <c r="H49" s="8">
        <v>0.33</v>
      </c>
      <c r="I49" s="12">
        <v>0</v>
      </c>
    </row>
    <row r="50" spans="2:9" ht="15" customHeight="1" x14ac:dyDescent="0.2">
      <c r="B50" t="s">
        <v>116</v>
      </c>
      <c r="C50" s="12">
        <v>37</v>
      </c>
      <c r="D50" s="8">
        <v>4.4800000000000004</v>
      </c>
      <c r="E50" s="12">
        <v>7</v>
      </c>
      <c r="F50" s="8">
        <v>1.44</v>
      </c>
      <c r="G50" s="12">
        <v>30</v>
      </c>
      <c r="H50" s="8">
        <v>9.93</v>
      </c>
      <c r="I50" s="12">
        <v>0</v>
      </c>
    </row>
    <row r="51" spans="2:9" ht="15" customHeight="1" x14ac:dyDescent="0.2">
      <c r="B51" t="s">
        <v>131</v>
      </c>
      <c r="C51" s="12">
        <v>34</v>
      </c>
      <c r="D51" s="8">
        <v>4.12</v>
      </c>
      <c r="E51" s="12">
        <v>33</v>
      </c>
      <c r="F51" s="8">
        <v>6.79</v>
      </c>
      <c r="G51" s="12">
        <v>1</v>
      </c>
      <c r="H51" s="8">
        <v>0.33</v>
      </c>
      <c r="I51" s="12">
        <v>0</v>
      </c>
    </row>
    <row r="52" spans="2:9" ht="15" customHeight="1" x14ac:dyDescent="0.2">
      <c r="B52" t="s">
        <v>121</v>
      </c>
      <c r="C52" s="12">
        <v>27</v>
      </c>
      <c r="D52" s="8">
        <v>3.27</v>
      </c>
      <c r="E52" s="12">
        <v>14</v>
      </c>
      <c r="F52" s="8">
        <v>2.88</v>
      </c>
      <c r="G52" s="12">
        <v>13</v>
      </c>
      <c r="H52" s="8">
        <v>4.3</v>
      </c>
      <c r="I52" s="12">
        <v>0</v>
      </c>
    </row>
    <row r="53" spans="2:9" ht="15" customHeight="1" x14ac:dyDescent="0.2">
      <c r="B53" t="s">
        <v>118</v>
      </c>
      <c r="C53" s="12">
        <v>23</v>
      </c>
      <c r="D53" s="8">
        <v>2.78</v>
      </c>
      <c r="E53" s="12">
        <v>17</v>
      </c>
      <c r="F53" s="8">
        <v>3.5</v>
      </c>
      <c r="G53" s="12">
        <v>6</v>
      </c>
      <c r="H53" s="8">
        <v>1.99</v>
      </c>
      <c r="I53" s="12">
        <v>0</v>
      </c>
    </row>
    <row r="54" spans="2:9" ht="15" customHeight="1" x14ac:dyDescent="0.2">
      <c r="B54" t="s">
        <v>158</v>
      </c>
      <c r="C54" s="12">
        <v>23</v>
      </c>
      <c r="D54" s="8">
        <v>2.78</v>
      </c>
      <c r="E54" s="12">
        <v>13</v>
      </c>
      <c r="F54" s="8">
        <v>2.67</v>
      </c>
      <c r="G54" s="12">
        <v>10</v>
      </c>
      <c r="H54" s="8">
        <v>3.31</v>
      </c>
      <c r="I54" s="12">
        <v>0</v>
      </c>
    </row>
    <row r="55" spans="2:9" ht="15" customHeight="1" x14ac:dyDescent="0.2">
      <c r="B55" t="s">
        <v>124</v>
      </c>
      <c r="C55" s="12">
        <v>20</v>
      </c>
      <c r="D55" s="8">
        <v>2.42</v>
      </c>
      <c r="E55" s="12">
        <v>10</v>
      </c>
      <c r="F55" s="8">
        <v>2.06</v>
      </c>
      <c r="G55" s="12">
        <v>10</v>
      </c>
      <c r="H55" s="8">
        <v>3.31</v>
      </c>
      <c r="I55" s="12">
        <v>0</v>
      </c>
    </row>
    <row r="56" spans="2:9" ht="15" customHeight="1" x14ac:dyDescent="0.2">
      <c r="B56" t="s">
        <v>128</v>
      </c>
      <c r="C56" s="12">
        <v>18</v>
      </c>
      <c r="D56" s="8">
        <v>2.1800000000000002</v>
      </c>
      <c r="E56" s="12">
        <v>14</v>
      </c>
      <c r="F56" s="8">
        <v>2.88</v>
      </c>
      <c r="G56" s="12">
        <v>3</v>
      </c>
      <c r="H56" s="8">
        <v>0.99</v>
      </c>
      <c r="I56" s="12">
        <v>1</v>
      </c>
    </row>
    <row r="57" spans="2:9" ht="15" customHeight="1" x14ac:dyDescent="0.2">
      <c r="B57" t="s">
        <v>119</v>
      </c>
      <c r="C57" s="12">
        <v>17</v>
      </c>
      <c r="D57" s="8">
        <v>2.06</v>
      </c>
      <c r="E57" s="12">
        <v>8</v>
      </c>
      <c r="F57" s="8">
        <v>1.65</v>
      </c>
      <c r="G57" s="12">
        <v>9</v>
      </c>
      <c r="H57" s="8">
        <v>2.98</v>
      </c>
      <c r="I57" s="12">
        <v>0</v>
      </c>
    </row>
    <row r="58" spans="2:9" ht="15" customHeight="1" x14ac:dyDescent="0.2">
      <c r="B58" t="s">
        <v>126</v>
      </c>
      <c r="C58" s="12">
        <v>17</v>
      </c>
      <c r="D58" s="8">
        <v>2.06</v>
      </c>
      <c r="E58" s="12">
        <v>7</v>
      </c>
      <c r="F58" s="8">
        <v>1.44</v>
      </c>
      <c r="G58" s="12">
        <v>10</v>
      </c>
      <c r="H58" s="8">
        <v>3.31</v>
      </c>
      <c r="I58" s="12">
        <v>0</v>
      </c>
    </row>
    <row r="59" spans="2:9" ht="15" customHeight="1" x14ac:dyDescent="0.2">
      <c r="B59" t="s">
        <v>157</v>
      </c>
      <c r="C59" s="12">
        <v>16</v>
      </c>
      <c r="D59" s="8">
        <v>1.94</v>
      </c>
      <c r="E59" s="12">
        <v>6</v>
      </c>
      <c r="F59" s="8">
        <v>1.23</v>
      </c>
      <c r="G59" s="12">
        <v>3</v>
      </c>
      <c r="H59" s="8">
        <v>0.99</v>
      </c>
      <c r="I59" s="12">
        <v>7</v>
      </c>
    </row>
    <row r="60" spans="2:9" ht="15" customHeight="1" x14ac:dyDescent="0.2">
      <c r="B60" t="s">
        <v>122</v>
      </c>
      <c r="C60" s="12">
        <v>16</v>
      </c>
      <c r="D60" s="8">
        <v>1.94</v>
      </c>
      <c r="E60" s="12">
        <v>9</v>
      </c>
      <c r="F60" s="8">
        <v>1.85</v>
      </c>
      <c r="G60" s="12">
        <v>7</v>
      </c>
      <c r="H60" s="8">
        <v>2.3199999999999998</v>
      </c>
      <c r="I60" s="12">
        <v>0</v>
      </c>
    </row>
    <row r="61" spans="2:9" ht="15" customHeight="1" x14ac:dyDescent="0.2">
      <c r="B61" t="s">
        <v>137</v>
      </c>
      <c r="C61" s="12">
        <v>15</v>
      </c>
      <c r="D61" s="8">
        <v>1.82</v>
      </c>
      <c r="E61" s="12">
        <v>10</v>
      </c>
      <c r="F61" s="8">
        <v>2.06</v>
      </c>
      <c r="G61" s="12">
        <v>5</v>
      </c>
      <c r="H61" s="8">
        <v>1.66</v>
      </c>
      <c r="I61" s="12">
        <v>0</v>
      </c>
    </row>
    <row r="62" spans="2:9" ht="15" customHeight="1" x14ac:dyDescent="0.2">
      <c r="B62" t="s">
        <v>159</v>
      </c>
      <c r="C62" s="12">
        <v>15</v>
      </c>
      <c r="D62" s="8">
        <v>1.82</v>
      </c>
      <c r="E62" s="12">
        <v>4</v>
      </c>
      <c r="F62" s="8">
        <v>0.82</v>
      </c>
      <c r="G62" s="12">
        <v>11</v>
      </c>
      <c r="H62" s="8">
        <v>3.64</v>
      </c>
      <c r="I62" s="12">
        <v>0</v>
      </c>
    </row>
    <row r="63" spans="2:9" ht="15" customHeight="1" x14ac:dyDescent="0.2">
      <c r="B63" t="s">
        <v>156</v>
      </c>
      <c r="C63" s="12">
        <v>14</v>
      </c>
      <c r="D63" s="8">
        <v>1.69</v>
      </c>
      <c r="E63" s="12">
        <v>12</v>
      </c>
      <c r="F63" s="8">
        <v>2.4700000000000002</v>
      </c>
      <c r="G63" s="12">
        <v>2</v>
      </c>
      <c r="H63" s="8">
        <v>0.66</v>
      </c>
      <c r="I63" s="12">
        <v>0</v>
      </c>
    </row>
    <row r="64" spans="2:9" ht="15" customHeight="1" x14ac:dyDescent="0.2">
      <c r="B64" t="s">
        <v>146</v>
      </c>
      <c r="C64" s="12">
        <v>14</v>
      </c>
      <c r="D64" s="8">
        <v>1.69</v>
      </c>
      <c r="E64" s="12">
        <v>13</v>
      </c>
      <c r="F64" s="8">
        <v>2.67</v>
      </c>
      <c r="G64" s="12">
        <v>1</v>
      </c>
      <c r="H64" s="8">
        <v>0.33</v>
      </c>
      <c r="I64" s="12">
        <v>0</v>
      </c>
    </row>
    <row r="65" spans="2:9" ht="15" customHeight="1" x14ac:dyDescent="0.2">
      <c r="B65" t="s">
        <v>161</v>
      </c>
      <c r="C65" s="12">
        <v>14</v>
      </c>
      <c r="D65" s="8">
        <v>1.69</v>
      </c>
      <c r="E65" s="12">
        <v>13</v>
      </c>
      <c r="F65" s="8">
        <v>2.67</v>
      </c>
      <c r="G65" s="12">
        <v>1</v>
      </c>
      <c r="H65" s="8">
        <v>0.33</v>
      </c>
      <c r="I65" s="12">
        <v>0</v>
      </c>
    </row>
    <row r="66" spans="2:9" ht="15" customHeight="1" x14ac:dyDescent="0.2">
      <c r="B66" t="s">
        <v>134</v>
      </c>
      <c r="C66" s="12">
        <v>14</v>
      </c>
      <c r="D66" s="8">
        <v>1.69</v>
      </c>
      <c r="E66" s="12">
        <v>12</v>
      </c>
      <c r="F66" s="8">
        <v>2.4700000000000002</v>
      </c>
      <c r="G66" s="12">
        <v>2</v>
      </c>
      <c r="H66" s="8">
        <v>0.66</v>
      </c>
      <c r="I66" s="12">
        <v>0</v>
      </c>
    </row>
    <row r="67" spans="2:9" ht="15" customHeight="1" x14ac:dyDescent="0.2">
      <c r="B67" t="s">
        <v>120</v>
      </c>
      <c r="C67" s="12">
        <v>12</v>
      </c>
      <c r="D67" s="8">
        <v>1.45</v>
      </c>
      <c r="E67" s="12">
        <v>4</v>
      </c>
      <c r="F67" s="8">
        <v>0.82</v>
      </c>
      <c r="G67" s="12">
        <v>8</v>
      </c>
      <c r="H67" s="8">
        <v>2.65</v>
      </c>
      <c r="I67" s="12">
        <v>0</v>
      </c>
    </row>
    <row r="68" spans="2:9" ht="15" customHeight="1" x14ac:dyDescent="0.2">
      <c r="B68" t="s">
        <v>136</v>
      </c>
      <c r="C68" s="12">
        <v>11</v>
      </c>
      <c r="D68" s="8">
        <v>1.33</v>
      </c>
      <c r="E68" s="12">
        <v>11</v>
      </c>
      <c r="F68" s="8">
        <v>2.2599999999999998</v>
      </c>
      <c r="G68" s="12">
        <v>0</v>
      </c>
      <c r="H68" s="8">
        <v>0</v>
      </c>
      <c r="I68" s="12">
        <v>0</v>
      </c>
    </row>
    <row r="69" spans="2:9" ht="15" customHeight="1" x14ac:dyDescent="0.2">
      <c r="B69" t="s">
        <v>127</v>
      </c>
      <c r="C69" s="12">
        <v>11</v>
      </c>
      <c r="D69" s="8">
        <v>1.33</v>
      </c>
      <c r="E69" s="12">
        <v>5</v>
      </c>
      <c r="F69" s="8">
        <v>1.03</v>
      </c>
      <c r="G69" s="12">
        <v>4</v>
      </c>
      <c r="H69" s="8">
        <v>1.32</v>
      </c>
      <c r="I69" s="12">
        <v>0</v>
      </c>
    </row>
    <row r="70" spans="2:9" ht="15" customHeight="1" x14ac:dyDescent="0.2">
      <c r="B70" t="s">
        <v>160</v>
      </c>
      <c r="C70" s="12">
        <v>11</v>
      </c>
      <c r="D70" s="8">
        <v>1.33</v>
      </c>
      <c r="E70" s="12">
        <v>8</v>
      </c>
      <c r="F70" s="8">
        <v>1.65</v>
      </c>
      <c r="G70" s="12">
        <v>3</v>
      </c>
      <c r="H70" s="8">
        <v>0.99</v>
      </c>
      <c r="I70" s="12">
        <v>0</v>
      </c>
    </row>
    <row r="72" spans="2:9" ht="15" customHeight="1" x14ac:dyDescent="0.2">
      <c r="B72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FF2BF-919B-41D2-BC01-0847210CF85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207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694</v>
      </c>
      <c r="D6" s="8">
        <v>12.75</v>
      </c>
      <c r="E6" s="12">
        <v>148</v>
      </c>
      <c r="F6" s="8">
        <v>5.87</v>
      </c>
      <c r="G6" s="12">
        <v>546</v>
      </c>
      <c r="H6" s="8">
        <v>18.89</v>
      </c>
      <c r="I6" s="12">
        <v>0</v>
      </c>
    </row>
    <row r="7" spans="2:9" ht="15" customHeight="1" x14ac:dyDescent="0.2">
      <c r="B7" t="s">
        <v>48</v>
      </c>
      <c r="C7" s="12">
        <v>617</v>
      </c>
      <c r="D7" s="8">
        <v>11.33</v>
      </c>
      <c r="E7" s="12">
        <v>190</v>
      </c>
      <c r="F7" s="8">
        <v>7.53</v>
      </c>
      <c r="G7" s="12">
        <v>427</v>
      </c>
      <c r="H7" s="8">
        <v>14.77</v>
      </c>
      <c r="I7" s="12">
        <v>0</v>
      </c>
    </row>
    <row r="8" spans="2:9" ht="15" customHeight="1" x14ac:dyDescent="0.2">
      <c r="B8" t="s">
        <v>49</v>
      </c>
      <c r="C8" s="12">
        <v>3</v>
      </c>
      <c r="D8" s="8">
        <v>0.06</v>
      </c>
      <c r="E8" s="12">
        <v>1</v>
      </c>
      <c r="F8" s="8">
        <v>0.04</v>
      </c>
      <c r="G8" s="12">
        <v>1</v>
      </c>
      <c r="H8" s="8">
        <v>0.03</v>
      </c>
      <c r="I8" s="12">
        <v>0</v>
      </c>
    </row>
    <row r="9" spans="2:9" ht="15" customHeight="1" x14ac:dyDescent="0.2">
      <c r="B9" t="s">
        <v>50</v>
      </c>
      <c r="C9" s="12">
        <v>45</v>
      </c>
      <c r="D9" s="8">
        <v>0.83</v>
      </c>
      <c r="E9" s="12">
        <v>4</v>
      </c>
      <c r="F9" s="8">
        <v>0.16</v>
      </c>
      <c r="G9" s="12">
        <v>41</v>
      </c>
      <c r="H9" s="8">
        <v>1.42</v>
      </c>
      <c r="I9" s="12">
        <v>0</v>
      </c>
    </row>
    <row r="10" spans="2:9" ht="15" customHeight="1" x14ac:dyDescent="0.2">
      <c r="B10" t="s">
        <v>51</v>
      </c>
      <c r="C10" s="12">
        <v>44</v>
      </c>
      <c r="D10" s="8">
        <v>0.81</v>
      </c>
      <c r="E10" s="12">
        <v>7</v>
      </c>
      <c r="F10" s="8">
        <v>0.28000000000000003</v>
      </c>
      <c r="G10" s="12">
        <v>35</v>
      </c>
      <c r="H10" s="8">
        <v>1.21</v>
      </c>
      <c r="I10" s="12">
        <v>1</v>
      </c>
    </row>
    <row r="11" spans="2:9" ht="15" customHeight="1" x14ac:dyDescent="0.2">
      <c r="B11" t="s">
        <v>52</v>
      </c>
      <c r="C11" s="12">
        <v>1269</v>
      </c>
      <c r="D11" s="8">
        <v>23.31</v>
      </c>
      <c r="E11" s="12">
        <v>473</v>
      </c>
      <c r="F11" s="8">
        <v>18.75</v>
      </c>
      <c r="G11" s="12">
        <v>796</v>
      </c>
      <c r="H11" s="8">
        <v>27.53</v>
      </c>
      <c r="I11" s="12">
        <v>0</v>
      </c>
    </row>
    <row r="12" spans="2:9" ht="15" customHeight="1" x14ac:dyDescent="0.2">
      <c r="B12" t="s">
        <v>53</v>
      </c>
      <c r="C12" s="12">
        <v>57</v>
      </c>
      <c r="D12" s="8">
        <v>1.05</v>
      </c>
      <c r="E12" s="12">
        <v>8</v>
      </c>
      <c r="F12" s="8">
        <v>0.32</v>
      </c>
      <c r="G12" s="12">
        <v>49</v>
      </c>
      <c r="H12" s="8">
        <v>1.69</v>
      </c>
      <c r="I12" s="12">
        <v>0</v>
      </c>
    </row>
    <row r="13" spans="2:9" ht="15" customHeight="1" x14ac:dyDescent="0.2">
      <c r="B13" t="s">
        <v>54</v>
      </c>
      <c r="C13" s="12">
        <v>529</v>
      </c>
      <c r="D13" s="8">
        <v>9.7200000000000006</v>
      </c>
      <c r="E13" s="12">
        <v>167</v>
      </c>
      <c r="F13" s="8">
        <v>6.62</v>
      </c>
      <c r="G13" s="12">
        <v>362</v>
      </c>
      <c r="H13" s="8">
        <v>12.52</v>
      </c>
      <c r="I13" s="12">
        <v>0</v>
      </c>
    </row>
    <row r="14" spans="2:9" ht="15" customHeight="1" x14ac:dyDescent="0.2">
      <c r="B14" t="s">
        <v>55</v>
      </c>
      <c r="C14" s="12">
        <v>294</v>
      </c>
      <c r="D14" s="8">
        <v>5.4</v>
      </c>
      <c r="E14" s="12">
        <v>155</v>
      </c>
      <c r="F14" s="8">
        <v>6.14</v>
      </c>
      <c r="G14" s="12">
        <v>137</v>
      </c>
      <c r="H14" s="8">
        <v>4.74</v>
      </c>
      <c r="I14" s="12">
        <v>1</v>
      </c>
    </row>
    <row r="15" spans="2:9" ht="15" customHeight="1" x14ac:dyDescent="0.2">
      <c r="B15" t="s">
        <v>56</v>
      </c>
      <c r="C15" s="12">
        <v>685</v>
      </c>
      <c r="D15" s="8">
        <v>12.58</v>
      </c>
      <c r="E15" s="12">
        <v>575</v>
      </c>
      <c r="F15" s="8">
        <v>22.79</v>
      </c>
      <c r="G15" s="12">
        <v>109</v>
      </c>
      <c r="H15" s="8">
        <v>3.77</v>
      </c>
      <c r="I15" s="12">
        <v>0</v>
      </c>
    </row>
    <row r="16" spans="2:9" ht="15" customHeight="1" x14ac:dyDescent="0.2">
      <c r="B16" t="s">
        <v>57</v>
      </c>
      <c r="C16" s="12">
        <v>626</v>
      </c>
      <c r="D16" s="8">
        <v>11.5</v>
      </c>
      <c r="E16" s="12">
        <v>479</v>
      </c>
      <c r="F16" s="8">
        <v>18.989999999999998</v>
      </c>
      <c r="G16" s="12">
        <v>145</v>
      </c>
      <c r="H16" s="8">
        <v>5.0199999999999996</v>
      </c>
      <c r="I16" s="12">
        <v>0</v>
      </c>
    </row>
    <row r="17" spans="2:9" ht="15" customHeight="1" x14ac:dyDescent="0.2">
      <c r="B17" t="s">
        <v>58</v>
      </c>
      <c r="C17" s="12">
        <v>157</v>
      </c>
      <c r="D17" s="8">
        <v>2.88</v>
      </c>
      <c r="E17" s="12">
        <v>105</v>
      </c>
      <c r="F17" s="8">
        <v>4.16</v>
      </c>
      <c r="G17" s="12">
        <v>48</v>
      </c>
      <c r="H17" s="8">
        <v>1.66</v>
      </c>
      <c r="I17" s="12">
        <v>0</v>
      </c>
    </row>
    <row r="18" spans="2:9" ht="15" customHeight="1" x14ac:dyDescent="0.2">
      <c r="B18" t="s">
        <v>59</v>
      </c>
      <c r="C18" s="12">
        <v>239</v>
      </c>
      <c r="D18" s="8">
        <v>4.3899999999999997</v>
      </c>
      <c r="E18" s="12">
        <v>158</v>
      </c>
      <c r="F18" s="8">
        <v>6.26</v>
      </c>
      <c r="G18" s="12">
        <v>68</v>
      </c>
      <c r="H18" s="8">
        <v>2.35</v>
      </c>
      <c r="I18" s="12">
        <v>12</v>
      </c>
    </row>
    <row r="19" spans="2:9" ht="15" customHeight="1" x14ac:dyDescent="0.2">
      <c r="B19" t="s">
        <v>60</v>
      </c>
      <c r="C19" s="12">
        <v>186</v>
      </c>
      <c r="D19" s="8">
        <v>3.42</v>
      </c>
      <c r="E19" s="12">
        <v>53</v>
      </c>
      <c r="F19" s="8">
        <v>2.1</v>
      </c>
      <c r="G19" s="12">
        <v>127</v>
      </c>
      <c r="H19" s="8">
        <v>4.3899999999999997</v>
      </c>
      <c r="I19" s="12">
        <v>4</v>
      </c>
    </row>
    <row r="20" spans="2:9" ht="15" customHeight="1" x14ac:dyDescent="0.2">
      <c r="B20" s="9" t="s">
        <v>191</v>
      </c>
      <c r="C20" s="12">
        <f>SUM(LTBL_22203[総数／事業所数])</f>
        <v>5445</v>
      </c>
      <c r="E20" s="12">
        <f>SUBTOTAL(109,LTBL_22203[個人／事業所数])</f>
        <v>2523</v>
      </c>
      <c r="G20" s="12">
        <f>SUBTOTAL(109,LTBL_22203[法人／事業所数])</f>
        <v>2891</v>
      </c>
      <c r="I20" s="12">
        <f>SUBTOTAL(109,LTBL_22203[法人以外の団体／事業所数])</f>
        <v>18</v>
      </c>
    </row>
    <row r="21" spans="2:9" ht="15" customHeight="1" x14ac:dyDescent="0.2">
      <c r="E21" s="11">
        <f>LTBL_22203[[#Totals],[個人／事業所数]]/LTBL_22203[[#Totals],[総数／事業所数]]</f>
        <v>0.46336088154269972</v>
      </c>
      <c r="G21" s="11">
        <f>LTBL_22203[[#Totals],[法人／事業所数]]/LTBL_22203[[#Totals],[総数／事業所数]]</f>
        <v>0.53094582185491279</v>
      </c>
      <c r="I21" s="11">
        <f>LTBL_22203[[#Totals],[法人以外の団体／事業所数]]/LTBL_22203[[#Totals],[総数／事業所数]]</f>
        <v>3.3057851239669421E-3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625</v>
      </c>
      <c r="D24" s="8">
        <v>11.48</v>
      </c>
      <c r="E24" s="12">
        <v>543</v>
      </c>
      <c r="F24" s="8">
        <v>21.52</v>
      </c>
      <c r="G24" s="12">
        <v>82</v>
      </c>
      <c r="H24" s="8">
        <v>2.84</v>
      </c>
      <c r="I24" s="12">
        <v>0</v>
      </c>
    </row>
    <row r="25" spans="2:9" ht="15" customHeight="1" x14ac:dyDescent="0.2">
      <c r="B25" t="s">
        <v>85</v>
      </c>
      <c r="C25" s="12">
        <v>524</v>
      </c>
      <c r="D25" s="8">
        <v>9.6199999999999992</v>
      </c>
      <c r="E25" s="12">
        <v>437</v>
      </c>
      <c r="F25" s="8">
        <v>17.32</v>
      </c>
      <c r="G25" s="12">
        <v>87</v>
      </c>
      <c r="H25" s="8">
        <v>3.01</v>
      </c>
      <c r="I25" s="12">
        <v>0</v>
      </c>
    </row>
    <row r="26" spans="2:9" ht="15" customHeight="1" x14ac:dyDescent="0.2">
      <c r="B26" t="s">
        <v>81</v>
      </c>
      <c r="C26" s="12">
        <v>406</v>
      </c>
      <c r="D26" s="8">
        <v>7.46</v>
      </c>
      <c r="E26" s="12">
        <v>151</v>
      </c>
      <c r="F26" s="8">
        <v>5.98</v>
      </c>
      <c r="G26" s="12">
        <v>255</v>
      </c>
      <c r="H26" s="8">
        <v>8.82</v>
      </c>
      <c r="I26" s="12">
        <v>0</v>
      </c>
    </row>
    <row r="27" spans="2:9" ht="15" customHeight="1" x14ac:dyDescent="0.2">
      <c r="B27" t="s">
        <v>79</v>
      </c>
      <c r="C27" s="12">
        <v>331</v>
      </c>
      <c r="D27" s="8">
        <v>6.08</v>
      </c>
      <c r="E27" s="12">
        <v>147</v>
      </c>
      <c r="F27" s="8">
        <v>5.83</v>
      </c>
      <c r="G27" s="12">
        <v>184</v>
      </c>
      <c r="H27" s="8">
        <v>6.36</v>
      </c>
      <c r="I27" s="12">
        <v>0</v>
      </c>
    </row>
    <row r="28" spans="2:9" ht="15" customHeight="1" x14ac:dyDescent="0.2">
      <c r="B28" t="s">
        <v>77</v>
      </c>
      <c r="C28" s="12">
        <v>273</v>
      </c>
      <c r="D28" s="8">
        <v>5.01</v>
      </c>
      <c r="E28" s="12">
        <v>161</v>
      </c>
      <c r="F28" s="8">
        <v>6.38</v>
      </c>
      <c r="G28" s="12">
        <v>112</v>
      </c>
      <c r="H28" s="8">
        <v>3.87</v>
      </c>
      <c r="I28" s="12">
        <v>0</v>
      </c>
    </row>
    <row r="29" spans="2:9" ht="15" customHeight="1" x14ac:dyDescent="0.2">
      <c r="B29" t="s">
        <v>69</v>
      </c>
      <c r="C29" s="12">
        <v>259</v>
      </c>
      <c r="D29" s="8">
        <v>4.76</v>
      </c>
      <c r="E29" s="12">
        <v>40</v>
      </c>
      <c r="F29" s="8">
        <v>1.59</v>
      </c>
      <c r="G29" s="12">
        <v>219</v>
      </c>
      <c r="H29" s="8">
        <v>7.58</v>
      </c>
      <c r="I29" s="12">
        <v>0</v>
      </c>
    </row>
    <row r="30" spans="2:9" ht="15" customHeight="1" x14ac:dyDescent="0.2">
      <c r="B30" t="s">
        <v>70</v>
      </c>
      <c r="C30" s="12">
        <v>238</v>
      </c>
      <c r="D30" s="8">
        <v>4.37</v>
      </c>
      <c r="E30" s="12">
        <v>79</v>
      </c>
      <c r="F30" s="8">
        <v>3.13</v>
      </c>
      <c r="G30" s="12">
        <v>159</v>
      </c>
      <c r="H30" s="8">
        <v>5.5</v>
      </c>
      <c r="I30" s="12">
        <v>0</v>
      </c>
    </row>
    <row r="31" spans="2:9" ht="15" customHeight="1" x14ac:dyDescent="0.2">
      <c r="B31" t="s">
        <v>71</v>
      </c>
      <c r="C31" s="12">
        <v>197</v>
      </c>
      <c r="D31" s="8">
        <v>3.62</v>
      </c>
      <c r="E31" s="12">
        <v>29</v>
      </c>
      <c r="F31" s="8">
        <v>1.1499999999999999</v>
      </c>
      <c r="G31" s="12">
        <v>168</v>
      </c>
      <c r="H31" s="8">
        <v>5.81</v>
      </c>
      <c r="I31" s="12">
        <v>0</v>
      </c>
    </row>
    <row r="32" spans="2:9" ht="15" customHeight="1" x14ac:dyDescent="0.2">
      <c r="B32" t="s">
        <v>78</v>
      </c>
      <c r="C32" s="12">
        <v>185</v>
      </c>
      <c r="D32" s="8">
        <v>3.4</v>
      </c>
      <c r="E32" s="12">
        <v>80</v>
      </c>
      <c r="F32" s="8">
        <v>3.17</v>
      </c>
      <c r="G32" s="12">
        <v>105</v>
      </c>
      <c r="H32" s="8">
        <v>3.63</v>
      </c>
      <c r="I32" s="12">
        <v>0</v>
      </c>
    </row>
    <row r="33" spans="2:9" ht="15" customHeight="1" x14ac:dyDescent="0.2">
      <c r="B33" t="s">
        <v>87</v>
      </c>
      <c r="C33" s="12">
        <v>175</v>
      </c>
      <c r="D33" s="8">
        <v>3.21</v>
      </c>
      <c r="E33" s="12">
        <v>158</v>
      </c>
      <c r="F33" s="8">
        <v>6.26</v>
      </c>
      <c r="G33" s="12">
        <v>16</v>
      </c>
      <c r="H33" s="8">
        <v>0.55000000000000004</v>
      </c>
      <c r="I33" s="12">
        <v>1</v>
      </c>
    </row>
    <row r="34" spans="2:9" ht="15" customHeight="1" x14ac:dyDescent="0.2">
      <c r="B34" t="s">
        <v>82</v>
      </c>
      <c r="C34" s="12">
        <v>168</v>
      </c>
      <c r="D34" s="8">
        <v>3.09</v>
      </c>
      <c r="E34" s="12">
        <v>112</v>
      </c>
      <c r="F34" s="8">
        <v>4.4400000000000004</v>
      </c>
      <c r="G34" s="12">
        <v>55</v>
      </c>
      <c r="H34" s="8">
        <v>1.9</v>
      </c>
      <c r="I34" s="12">
        <v>1</v>
      </c>
    </row>
    <row r="35" spans="2:9" ht="15" customHeight="1" x14ac:dyDescent="0.2">
      <c r="B35" t="s">
        <v>86</v>
      </c>
      <c r="C35" s="12">
        <v>157</v>
      </c>
      <c r="D35" s="8">
        <v>2.88</v>
      </c>
      <c r="E35" s="12">
        <v>105</v>
      </c>
      <c r="F35" s="8">
        <v>4.16</v>
      </c>
      <c r="G35" s="12">
        <v>48</v>
      </c>
      <c r="H35" s="8">
        <v>1.66</v>
      </c>
      <c r="I35" s="12">
        <v>0</v>
      </c>
    </row>
    <row r="36" spans="2:9" ht="15" customHeight="1" x14ac:dyDescent="0.2">
      <c r="B36" t="s">
        <v>76</v>
      </c>
      <c r="C36" s="12">
        <v>126</v>
      </c>
      <c r="D36" s="8">
        <v>2.31</v>
      </c>
      <c r="E36" s="12">
        <v>42</v>
      </c>
      <c r="F36" s="8">
        <v>1.66</v>
      </c>
      <c r="G36" s="12">
        <v>84</v>
      </c>
      <c r="H36" s="8">
        <v>2.91</v>
      </c>
      <c r="I36" s="12">
        <v>0</v>
      </c>
    </row>
    <row r="37" spans="2:9" ht="15" customHeight="1" x14ac:dyDescent="0.2">
      <c r="B37" t="s">
        <v>83</v>
      </c>
      <c r="C37" s="12">
        <v>112</v>
      </c>
      <c r="D37" s="8">
        <v>2.06</v>
      </c>
      <c r="E37" s="12">
        <v>41</v>
      </c>
      <c r="F37" s="8">
        <v>1.63</v>
      </c>
      <c r="G37" s="12">
        <v>70</v>
      </c>
      <c r="H37" s="8">
        <v>2.42</v>
      </c>
      <c r="I37" s="12">
        <v>0</v>
      </c>
    </row>
    <row r="38" spans="2:9" ht="15" customHeight="1" x14ac:dyDescent="0.2">
      <c r="B38" t="s">
        <v>80</v>
      </c>
      <c r="C38" s="12">
        <v>92</v>
      </c>
      <c r="D38" s="8">
        <v>1.69</v>
      </c>
      <c r="E38" s="12">
        <v>14</v>
      </c>
      <c r="F38" s="8">
        <v>0.55000000000000004</v>
      </c>
      <c r="G38" s="12">
        <v>78</v>
      </c>
      <c r="H38" s="8">
        <v>2.7</v>
      </c>
      <c r="I38" s="12">
        <v>0</v>
      </c>
    </row>
    <row r="39" spans="2:9" ht="15" customHeight="1" x14ac:dyDescent="0.2">
      <c r="B39" t="s">
        <v>74</v>
      </c>
      <c r="C39" s="12">
        <v>90</v>
      </c>
      <c r="D39" s="8">
        <v>1.65</v>
      </c>
      <c r="E39" s="12">
        <v>7</v>
      </c>
      <c r="F39" s="8">
        <v>0.28000000000000003</v>
      </c>
      <c r="G39" s="12">
        <v>83</v>
      </c>
      <c r="H39" s="8">
        <v>2.87</v>
      </c>
      <c r="I39" s="12">
        <v>0</v>
      </c>
    </row>
    <row r="40" spans="2:9" ht="15" customHeight="1" x14ac:dyDescent="0.2">
      <c r="B40" t="s">
        <v>72</v>
      </c>
      <c r="C40" s="12">
        <v>89</v>
      </c>
      <c r="D40" s="8">
        <v>1.63</v>
      </c>
      <c r="E40" s="12">
        <v>23</v>
      </c>
      <c r="F40" s="8">
        <v>0.91</v>
      </c>
      <c r="G40" s="12">
        <v>66</v>
      </c>
      <c r="H40" s="8">
        <v>2.2799999999999998</v>
      </c>
      <c r="I40" s="12">
        <v>0</v>
      </c>
    </row>
    <row r="41" spans="2:9" ht="15" customHeight="1" x14ac:dyDescent="0.2">
      <c r="B41" t="s">
        <v>100</v>
      </c>
      <c r="C41" s="12">
        <v>87</v>
      </c>
      <c r="D41" s="8">
        <v>1.6</v>
      </c>
      <c r="E41" s="12">
        <v>28</v>
      </c>
      <c r="F41" s="8">
        <v>1.1100000000000001</v>
      </c>
      <c r="G41" s="12">
        <v>59</v>
      </c>
      <c r="H41" s="8">
        <v>2.04</v>
      </c>
      <c r="I41" s="12">
        <v>0</v>
      </c>
    </row>
    <row r="42" spans="2:9" ht="15" customHeight="1" x14ac:dyDescent="0.2">
      <c r="B42" t="s">
        <v>75</v>
      </c>
      <c r="C42" s="12">
        <v>82</v>
      </c>
      <c r="D42" s="8">
        <v>1.51</v>
      </c>
      <c r="E42" s="12">
        <v>10</v>
      </c>
      <c r="F42" s="8">
        <v>0.4</v>
      </c>
      <c r="G42" s="12">
        <v>72</v>
      </c>
      <c r="H42" s="8">
        <v>2.4900000000000002</v>
      </c>
      <c r="I42" s="12">
        <v>0</v>
      </c>
    </row>
    <row r="43" spans="2:9" ht="15" customHeight="1" x14ac:dyDescent="0.2">
      <c r="B43" t="s">
        <v>73</v>
      </c>
      <c r="C43" s="12">
        <v>78</v>
      </c>
      <c r="D43" s="8">
        <v>1.43</v>
      </c>
      <c r="E43" s="12">
        <v>20</v>
      </c>
      <c r="F43" s="8">
        <v>0.79</v>
      </c>
      <c r="G43" s="12">
        <v>58</v>
      </c>
      <c r="H43" s="8">
        <v>2.0099999999999998</v>
      </c>
      <c r="I43" s="12">
        <v>0</v>
      </c>
    </row>
    <row r="44" spans="2:9" ht="15" customHeight="1" x14ac:dyDescent="0.2">
      <c r="B44" t="s">
        <v>93</v>
      </c>
      <c r="C44" s="12">
        <v>78</v>
      </c>
      <c r="D44" s="8">
        <v>1.43</v>
      </c>
      <c r="E44" s="12">
        <v>14</v>
      </c>
      <c r="F44" s="8">
        <v>0.55000000000000004</v>
      </c>
      <c r="G44" s="12">
        <v>64</v>
      </c>
      <c r="H44" s="8">
        <v>2.21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132</v>
      </c>
      <c r="C48" s="12">
        <v>280</v>
      </c>
      <c r="D48" s="8">
        <v>5.14</v>
      </c>
      <c r="E48" s="12">
        <v>244</v>
      </c>
      <c r="F48" s="8">
        <v>9.67</v>
      </c>
      <c r="G48" s="12">
        <v>36</v>
      </c>
      <c r="H48" s="8">
        <v>1.25</v>
      </c>
      <c r="I48" s="12">
        <v>0</v>
      </c>
    </row>
    <row r="49" spans="2:9" ht="15" customHeight="1" x14ac:dyDescent="0.2">
      <c r="B49" t="s">
        <v>126</v>
      </c>
      <c r="C49" s="12">
        <v>234</v>
      </c>
      <c r="D49" s="8">
        <v>4.3</v>
      </c>
      <c r="E49" s="12">
        <v>112</v>
      </c>
      <c r="F49" s="8">
        <v>4.4400000000000004</v>
      </c>
      <c r="G49" s="12">
        <v>122</v>
      </c>
      <c r="H49" s="8">
        <v>4.22</v>
      </c>
      <c r="I49" s="12">
        <v>0</v>
      </c>
    </row>
    <row r="50" spans="2:9" ht="15" customHeight="1" x14ac:dyDescent="0.2">
      <c r="B50" t="s">
        <v>128</v>
      </c>
      <c r="C50" s="12">
        <v>172</v>
      </c>
      <c r="D50" s="8">
        <v>3.16</v>
      </c>
      <c r="E50" s="12">
        <v>142</v>
      </c>
      <c r="F50" s="8">
        <v>5.63</v>
      </c>
      <c r="G50" s="12">
        <v>30</v>
      </c>
      <c r="H50" s="8">
        <v>1.04</v>
      </c>
      <c r="I50" s="12">
        <v>0</v>
      </c>
    </row>
    <row r="51" spans="2:9" ht="15" customHeight="1" x14ac:dyDescent="0.2">
      <c r="B51" t="s">
        <v>129</v>
      </c>
      <c r="C51" s="12">
        <v>166</v>
      </c>
      <c r="D51" s="8">
        <v>3.05</v>
      </c>
      <c r="E51" s="12">
        <v>152</v>
      </c>
      <c r="F51" s="8">
        <v>6.02</v>
      </c>
      <c r="G51" s="12">
        <v>14</v>
      </c>
      <c r="H51" s="8">
        <v>0.48</v>
      </c>
      <c r="I51" s="12">
        <v>0</v>
      </c>
    </row>
    <row r="52" spans="2:9" ht="15" customHeight="1" x14ac:dyDescent="0.2">
      <c r="B52" t="s">
        <v>131</v>
      </c>
      <c r="C52" s="12">
        <v>136</v>
      </c>
      <c r="D52" s="8">
        <v>2.5</v>
      </c>
      <c r="E52" s="12">
        <v>131</v>
      </c>
      <c r="F52" s="8">
        <v>5.19</v>
      </c>
      <c r="G52" s="12">
        <v>5</v>
      </c>
      <c r="H52" s="8">
        <v>0.17</v>
      </c>
      <c r="I52" s="12">
        <v>0</v>
      </c>
    </row>
    <row r="53" spans="2:9" ht="15" customHeight="1" x14ac:dyDescent="0.2">
      <c r="B53" t="s">
        <v>130</v>
      </c>
      <c r="C53" s="12">
        <v>129</v>
      </c>
      <c r="D53" s="8">
        <v>2.37</v>
      </c>
      <c r="E53" s="12">
        <v>125</v>
      </c>
      <c r="F53" s="8">
        <v>4.95</v>
      </c>
      <c r="G53" s="12">
        <v>4</v>
      </c>
      <c r="H53" s="8">
        <v>0.14000000000000001</v>
      </c>
      <c r="I53" s="12">
        <v>0</v>
      </c>
    </row>
    <row r="54" spans="2:9" ht="15" customHeight="1" x14ac:dyDescent="0.2">
      <c r="B54" t="s">
        <v>122</v>
      </c>
      <c r="C54" s="12">
        <v>126</v>
      </c>
      <c r="D54" s="8">
        <v>2.31</v>
      </c>
      <c r="E54" s="12">
        <v>47</v>
      </c>
      <c r="F54" s="8">
        <v>1.86</v>
      </c>
      <c r="G54" s="12">
        <v>79</v>
      </c>
      <c r="H54" s="8">
        <v>2.73</v>
      </c>
      <c r="I54" s="12">
        <v>0</v>
      </c>
    </row>
    <row r="55" spans="2:9" ht="15" customHeight="1" x14ac:dyDescent="0.2">
      <c r="B55" t="s">
        <v>121</v>
      </c>
      <c r="C55" s="12">
        <v>114</v>
      </c>
      <c r="D55" s="8">
        <v>2.09</v>
      </c>
      <c r="E55" s="12">
        <v>56</v>
      </c>
      <c r="F55" s="8">
        <v>2.2200000000000002</v>
      </c>
      <c r="G55" s="12">
        <v>58</v>
      </c>
      <c r="H55" s="8">
        <v>2.0099999999999998</v>
      </c>
      <c r="I55" s="12">
        <v>0</v>
      </c>
    </row>
    <row r="56" spans="2:9" ht="15" customHeight="1" x14ac:dyDescent="0.2">
      <c r="B56" t="s">
        <v>134</v>
      </c>
      <c r="C56" s="12">
        <v>106</v>
      </c>
      <c r="D56" s="8">
        <v>1.95</v>
      </c>
      <c r="E56" s="12">
        <v>90</v>
      </c>
      <c r="F56" s="8">
        <v>3.57</v>
      </c>
      <c r="G56" s="12">
        <v>15</v>
      </c>
      <c r="H56" s="8">
        <v>0.52</v>
      </c>
      <c r="I56" s="12">
        <v>1</v>
      </c>
    </row>
    <row r="57" spans="2:9" ht="15" customHeight="1" x14ac:dyDescent="0.2">
      <c r="B57" t="s">
        <v>125</v>
      </c>
      <c r="C57" s="12">
        <v>100</v>
      </c>
      <c r="D57" s="8">
        <v>1.84</v>
      </c>
      <c r="E57" s="12">
        <v>14</v>
      </c>
      <c r="F57" s="8">
        <v>0.55000000000000004</v>
      </c>
      <c r="G57" s="12">
        <v>86</v>
      </c>
      <c r="H57" s="8">
        <v>2.97</v>
      </c>
      <c r="I57" s="12">
        <v>0</v>
      </c>
    </row>
    <row r="58" spans="2:9" ht="15" customHeight="1" x14ac:dyDescent="0.2">
      <c r="B58" t="s">
        <v>124</v>
      </c>
      <c r="C58" s="12">
        <v>93</v>
      </c>
      <c r="D58" s="8">
        <v>1.71</v>
      </c>
      <c r="E58" s="12">
        <v>56</v>
      </c>
      <c r="F58" s="8">
        <v>2.2200000000000002</v>
      </c>
      <c r="G58" s="12">
        <v>37</v>
      </c>
      <c r="H58" s="8">
        <v>1.28</v>
      </c>
      <c r="I58" s="12">
        <v>0</v>
      </c>
    </row>
    <row r="59" spans="2:9" ht="15" customHeight="1" x14ac:dyDescent="0.2">
      <c r="B59" t="s">
        <v>133</v>
      </c>
      <c r="C59" s="12">
        <v>89</v>
      </c>
      <c r="D59" s="8">
        <v>1.63</v>
      </c>
      <c r="E59" s="12">
        <v>69</v>
      </c>
      <c r="F59" s="8">
        <v>2.73</v>
      </c>
      <c r="G59" s="12">
        <v>20</v>
      </c>
      <c r="H59" s="8">
        <v>0.69</v>
      </c>
      <c r="I59" s="12">
        <v>0</v>
      </c>
    </row>
    <row r="60" spans="2:9" ht="15" customHeight="1" x14ac:dyDescent="0.2">
      <c r="B60" t="s">
        <v>123</v>
      </c>
      <c r="C60" s="12">
        <v>83</v>
      </c>
      <c r="D60" s="8">
        <v>1.52</v>
      </c>
      <c r="E60" s="12">
        <v>26</v>
      </c>
      <c r="F60" s="8">
        <v>1.03</v>
      </c>
      <c r="G60" s="12">
        <v>57</v>
      </c>
      <c r="H60" s="8">
        <v>1.97</v>
      </c>
      <c r="I60" s="12">
        <v>0</v>
      </c>
    </row>
    <row r="61" spans="2:9" ht="15" customHeight="1" x14ac:dyDescent="0.2">
      <c r="B61" t="s">
        <v>135</v>
      </c>
      <c r="C61" s="12">
        <v>77</v>
      </c>
      <c r="D61" s="8">
        <v>1.41</v>
      </c>
      <c r="E61" s="12">
        <v>41</v>
      </c>
      <c r="F61" s="8">
        <v>1.63</v>
      </c>
      <c r="G61" s="12">
        <v>36</v>
      </c>
      <c r="H61" s="8">
        <v>1.25</v>
      </c>
      <c r="I61" s="12">
        <v>0</v>
      </c>
    </row>
    <row r="62" spans="2:9" ht="15" customHeight="1" x14ac:dyDescent="0.2">
      <c r="B62" t="s">
        <v>117</v>
      </c>
      <c r="C62" s="12">
        <v>75</v>
      </c>
      <c r="D62" s="8">
        <v>1.38</v>
      </c>
      <c r="E62" s="12">
        <v>9</v>
      </c>
      <c r="F62" s="8">
        <v>0.36</v>
      </c>
      <c r="G62" s="12">
        <v>66</v>
      </c>
      <c r="H62" s="8">
        <v>2.2799999999999998</v>
      </c>
      <c r="I62" s="12">
        <v>0</v>
      </c>
    </row>
    <row r="63" spans="2:9" ht="15" customHeight="1" x14ac:dyDescent="0.2">
      <c r="B63" t="s">
        <v>119</v>
      </c>
      <c r="C63" s="12">
        <v>73</v>
      </c>
      <c r="D63" s="8">
        <v>1.34</v>
      </c>
      <c r="E63" s="12">
        <v>13</v>
      </c>
      <c r="F63" s="8">
        <v>0.52</v>
      </c>
      <c r="G63" s="12">
        <v>60</v>
      </c>
      <c r="H63" s="8">
        <v>2.08</v>
      </c>
      <c r="I63" s="12">
        <v>0</v>
      </c>
    </row>
    <row r="64" spans="2:9" ht="15" customHeight="1" x14ac:dyDescent="0.2">
      <c r="B64" t="s">
        <v>127</v>
      </c>
      <c r="C64" s="12">
        <v>73</v>
      </c>
      <c r="D64" s="8">
        <v>1.34</v>
      </c>
      <c r="E64" s="12">
        <v>31</v>
      </c>
      <c r="F64" s="8">
        <v>1.23</v>
      </c>
      <c r="G64" s="12">
        <v>41</v>
      </c>
      <c r="H64" s="8">
        <v>1.42</v>
      </c>
      <c r="I64" s="12">
        <v>0</v>
      </c>
    </row>
    <row r="65" spans="2:9" ht="15" customHeight="1" x14ac:dyDescent="0.2">
      <c r="B65" t="s">
        <v>136</v>
      </c>
      <c r="C65" s="12">
        <v>72</v>
      </c>
      <c r="D65" s="8">
        <v>1.32</v>
      </c>
      <c r="E65" s="12">
        <v>49</v>
      </c>
      <c r="F65" s="8">
        <v>1.94</v>
      </c>
      <c r="G65" s="12">
        <v>23</v>
      </c>
      <c r="H65" s="8">
        <v>0.8</v>
      </c>
      <c r="I65" s="12">
        <v>0</v>
      </c>
    </row>
    <row r="66" spans="2:9" ht="15" customHeight="1" x14ac:dyDescent="0.2">
      <c r="B66" t="s">
        <v>116</v>
      </c>
      <c r="C66" s="12">
        <v>69</v>
      </c>
      <c r="D66" s="8">
        <v>1.27</v>
      </c>
      <c r="E66" s="12">
        <v>7</v>
      </c>
      <c r="F66" s="8">
        <v>0.28000000000000003</v>
      </c>
      <c r="G66" s="12">
        <v>62</v>
      </c>
      <c r="H66" s="8">
        <v>2.14</v>
      </c>
      <c r="I66" s="12">
        <v>0</v>
      </c>
    </row>
    <row r="67" spans="2:9" ht="15" customHeight="1" x14ac:dyDescent="0.2">
      <c r="B67" t="s">
        <v>120</v>
      </c>
      <c r="C67" s="12">
        <v>69</v>
      </c>
      <c r="D67" s="8">
        <v>1.27</v>
      </c>
      <c r="E67" s="12">
        <v>16</v>
      </c>
      <c r="F67" s="8">
        <v>0.63</v>
      </c>
      <c r="G67" s="12">
        <v>53</v>
      </c>
      <c r="H67" s="8">
        <v>1.83</v>
      </c>
      <c r="I67" s="12">
        <v>0</v>
      </c>
    </row>
    <row r="68" spans="2:9" ht="15" customHeight="1" x14ac:dyDescent="0.2">
      <c r="B68" t="s">
        <v>140</v>
      </c>
      <c r="C68" s="12">
        <v>69</v>
      </c>
      <c r="D68" s="8">
        <v>1.27</v>
      </c>
      <c r="E68" s="12">
        <v>43</v>
      </c>
      <c r="F68" s="8">
        <v>1.7</v>
      </c>
      <c r="G68" s="12">
        <v>26</v>
      </c>
      <c r="H68" s="8">
        <v>0.9</v>
      </c>
      <c r="I68" s="12">
        <v>0</v>
      </c>
    </row>
    <row r="70" spans="2:9" ht="15" customHeight="1" x14ac:dyDescent="0.2">
      <c r="B70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268EC-553D-4442-8F0D-8236D6DF85A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208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199</v>
      </c>
      <c r="D6" s="8">
        <v>13.07</v>
      </c>
      <c r="E6" s="12">
        <v>60</v>
      </c>
      <c r="F6" s="8">
        <v>7.63</v>
      </c>
      <c r="G6" s="12">
        <v>139</v>
      </c>
      <c r="H6" s="8">
        <v>19.149999999999999</v>
      </c>
      <c r="I6" s="12">
        <v>0</v>
      </c>
    </row>
    <row r="7" spans="2:9" ht="15" customHeight="1" x14ac:dyDescent="0.2">
      <c r="B7" t="s">
        <v>48</v>
      </c>
      <c r="C7" s="12">
        <v>58</v>
      </c>
      <c r="D7" s="8">
        <v>3.81</v>
      </c>
      <c r="E7" s="12">
        <v>22</v>
      </c>
      <c r="F7" s="8">
        <v>2.8</v>
      </c>
      <c r="G7" s="12">
        <v>36</v>
      </c>
      <c r="H7" s="8">
        <v>4.96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0.14000000000000001</v>
      </c>
      <c r="I8" s="12">
        <v>0</v>
      </c>
    </row>
    <row r="9" spans="2:9" ht="15" customHeight="1" x14ac:dyDescent="0.2">
      <c r="B9" t="s">
        <v>50</v>
      </c>
      <c r="C9" s="12">
        <v>14</v>
      </c>
      <c r="D9" s="8">
        <v>0.92</v>
      </c>
      <c r="E9" s="12">
        <v>0</v>
      </c>
      <c r="F9" s="8">
        <v>0</v>
      </c>
      <c r="G9" s="12">
        <v>14</v>
      </c>
      <c r="H9" s="8">
        <v>1.93</v>
      </c>
      <c r="I9" s="12">
        <v>0</v>
      </c>
    </row>
    <row r="10" spans="2:9" ht="15" customHeight="1" x14ac:dyDescent="0.2">
      <c r="B10" t="s">
        <v>51</v>
      </c>
      <c r="C10" s="12">
        <v>8</v>
      </c>
      <c r="D10" s="8">
        <v>0.53</v>
      </c>
      <c r="E10" s="12">
        <v>2</v>
      </c>
      <c r="F10" s="8">
        <v>0.25</v>
      </c>
      <c r="G10" s="12">
        <v>3</v>
      </c>
      <c r="H10" s="8">
        <v>0.41</v>
      </c>
      <c r="I10" s="12">
        <v>3</v>
      </c>
    </row>
    <row r="11" spans="2:9" ht="15" customHeight="1" x14ac:dyDescent="0.2">
      <c r="B11" t="s">
        <v>52</v>
      </c>
      <c r="C11" s="12">
        <v>340</v>
      </c>
      <c r="D11" s="8">
        <v>22.32</v>
      </c>
      <c r="E11" s="12">
        <v>153</v>
      </c>
      <c r="F11" s="8">
        <v>19.47</v>
      </c>
      <c r="G11" s="12">
        <v>187</v>
      </c>
      <c r="H11" s="8">
        <v>25.76</v>
      </c>
      <c r="I11" s="12">
        <v>0</v>
      </c>
    </row>
    <row r="12" spans="2:9" ht="15" customHeight="1" x14ac:dyDescent="0.2">
      <c r="B12" t="s">
        <v>53</v>
      </c>
      <c r="C12" s="12">
        <v>7</v>
      </c>
      <c r="D12" s="8">
        <v>0.46</v>
      </c>
      <c r="E12" s="12">
        <v>2</v>
      </c>
      <c r="F12" s="8">
        <v>0.25</v>
      </c>
      <c r="G12" s="12">
        <v>5</v>
      </c>
      <c r="H12" s="8">
        <v>0.69</v>
      </c>
      <c r="I12" s="12">
        <v>0</v>
      </c>
    </row>
    <row r="13" spans="2:9" ht="15" customHeight="1" x14ac:dyDescent="0.2">
      <c r="B13" t="s">
        <v>54</v>
      </c>
      <c r="C13" s="12">
        <v>216</v>
      </c>
      <c r="D13" s="8">
        <v>14.18</v>
      </c>
      <c r="E13" s="12">
        <v>104</v>
      </c>
      <c r="F13" s="8">
        <v>13.23</v>
      </c>
      <c r="G13" s="12">
        <v>111</v>
      </c>
      <c r="H13" s="8">
        <v>15.29</v>
      </c>
      <c r="I13" s="12">
        <v>1</v>
      </c>
    </row>
    <row r="14" spans="2:9" ht="15" customHeight="1" x14ac:dyDescent="0.2">
      <c r="B14" t="s">
        <v>55</v>
      </c>
      <c r="C14" s="12">
        <v>55</v>
      </c>
      <c r="D14" s="8">
        <v>3.61</v>
      </c>
      <c r="E14" s="12">
        <v>26</v>
      </c>
      <c r="F14" s="8">
        <v>3.31</v>
      </c>
      <c r="G14" s="12">
        <v>29</v>
      </c>
      <c r="H14" s="8">
        <v>3.99</v>
      </c>
      <c r="I14" s="12">
        <v>0</v>
      </c>
    </row>
    <row r="15" spans="2:9" ht="15" customHeight="1" x14ac:dyDescent="0.2">
      <c r="B15" t="s">
        <v>56</v>
      </c>
      <c r="C15" s="12">
        <v>347</v>
      </c>
      <c r="D15" s="8">
        <v>22.78</v>
      </c>
      <c r="E15" s="12">
        <v>250</v>
      </c>
      <c r="F15" s="8">
        <v>31.81</v>
      </c>
      <c r="G15" s="12">
        <v>97</v>
      </c>
      <c r="H15" s="8">
        <v>13.36</v>
      </c>
      <c r="I15" s="12">
        <v>0</v>
      </c>
    </row>
    <row r="16" spans="2:9" ht="15" customHeight="1" x14ac:dyDescent="0.2">
      <c r="B16" t="s">
        <v>57</v>
      </c>
      <c r="C16" s="12">
        <v>166</v>
      </c>
      <c r="D16" s="8">
        <v>10.9</v>
      </c>
      <c r="E16" s="12">
        <v>118</v>
      </c>
      <c r="F16" s="8">
        <v>15.01</v>
      </c>
      <c r="G16" s="12">
        <v>47</v>
      </c>
      <c r="H16" s="8">
        <v>6.47</v>
      </c>
      <c r="I16" s="12">
        <v>1</v>
      </c>
    </row>
    <row r="17" spans="2:9" ht="15" customHeight="1" x14ac:dyDescent="0.2">
      <c r="B17" t="s">
        <v>58</v>
      </c>
      <c r="C17" s="12">
        <v>25</v>
      </c>
      <c r="D17" s="8">
        <v>1.64</v>
      </c>
      <c r="E17" s="12">
        <v>13</v>
      </c>
      <c r="F17" s="8">
        <v>1.65</v>
      </c>
      <c r="G17" s="12">
        <v>9</v>
      </c>
      <c r="H17" s="8">
        <v>1.24</v>
      </c>
      <c r="I17" s="12">
        <v>0</v>
      </c>
    </row>
    <row r="18" spans="2:9" ht="15" customHeight="1" x14ac:dyDescent="0.2">
      <c r="B18" t="s">
        <v>59</v>
      </c>
      <c r="C18" s="12">
        <v>49</v>
      </c>
      <c r="D18" s="8">
        <v>3.22</v>
      </c>
      <c r="E18" s="12">
        <v>30</v>
      </c>
      <c r="F18" s="8">
        <v>3.82</v>
      </c>
      <c r="G18" s="12">
        <v>18</v>
      </c>
      <c r="H18" s="8">
        <v>2.48</v>
      </c>
      <c r="I18" s="12">
        <v>0</v>
      </c>
    </row>
    <row r="19" spans="2:9" ht="15" customHeight="1" x14ac:dyDescent="0.2">
      <c r="B19" t="s">
        <v>60</v>
      </c>
      <c r="C19" s="12">
        <v>38</v>
      </c>
      <c r="D19" s="8">
        <v>2.5</v>
      </c>
      <c r="E19" s="12">
        <v>6</v>
      </c>
      <c r="F19" s="8">
        <v>0.76</v>
      </c>
      <c r="G19" s="12">
        <v>30</v>
      </c>
      <c r="H19" s="8">
        <v>4.13</v>
      </c>
      <c r="I19" s="12">
        <v>1</v>
      </c>
    </row>
    <row r="20" spans="2:9" ht="15" customHeight="1" x14ac:dyDescent="0.2">
      <c r="B20" s="9" t="s">
        <v>191</v>
      </c>
      <c r="C20" s="12">
        <f>SUM(LTBL_22205[総数／事業所数])</f>
        <v>1523</v>
      </c>
      <c r="E20" s="12">
        <f>SUBTOTAL(109,LTBL_22205[個人／事業所数])</f>
        <v>786</v>
      </c>
      <c r="G20" s="12">
        <f>SUBTOTAL(109,LTBL_22205[法人／事業所数])</f>
        <v>726</v>
      </c>
      <c r="I20" s="12">
        <f>SUBTOTAL(109,LTBL_22205[法人以外の団体／事業所数])</f>
        <v>6</v>
      </c>
    </row>
    <row r="21" spans="2:9" ht="15" customHeight="1" x14ac:dyDescent="0.2">
      <c r="E21" s="11">
        <f>LTBL_22205[[#Totals],[個人／事業所数]]/LTBL_22205[[#Totals],[総数／事業所数]]</f>
        <v>0.51608667104399208</v>
      </c>
      <c r="G21" s="11">
        <f>LTBL_22205[[#Totals],[法人／事業所数]]/LTBL_22205[[#Totals],[総数／事業所数]]</f>
        <v>0.4766907419566645</v>
      </c>
      <c r="I21" s="11">
        <f>LTBL_22205[[#Totals],[法人以外の団体／事業所数]]/LTBL_22205[[#Totals],[総数／事業所数]]</f>
        <v>3.939592908732764E-3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286</v>
      </c>
      <c r="D24" s="8">
        <v>18.78</v>
      </c>
      <c r="E24" s="12">
        <v>231</v>
      </c>
      <c r="F24" s="8">
        <v>29.39</v>
      </c>
      <c r="G24" s="12">
        <v>55</v>
      </c>
      <c r="H24" s="8">
        <v>7.58</v>
      </c>
      <c r="I24" s="12">
        <v>0</v>
      </c>
    </row>
    <row r="25" spans="2:9" ht="15" customHeight="1" x14ac:dyDescent="0.2">
      <c r="B25" t="s">
        <v>81</v>
      </c>
      <c r="C25" s="12">
        <v>186</v>
      </c>
      <c r="D25" s="8">
        <v>12.21</v>
      </c>
      <c r="E25" s="12">
        <v>103</v>
      </c>
      <c r="F25" s="8">
        <v>13.1</v>
      </c>
      <c r="G25" s="12">
        <v>82</v>
      </c>
      <c r="H25" s="8">
        <v>11.29</v>
      </c>
      <c r="I25" s="12">
        <v>1</v>
      </c>
    </row>
    <row r="26" spans="2:9" ht="15" customHeight="1" x14ac:dyDescent="0.2">
      <c r="B26" t="s">
        <v>85</v>
      </c>
      <c r="C26" s="12">
        <v>131</v>
      </c>
      <c r="D26" s="8">
        <v>8.6</v>
      </c>
      <c r="E26" s="12">
        <v>103</v>
      </c>
      <c r="F26" s="8">
        <v>13.1</v>
      </c>
      <c r="G26" s="12">
        <v>28</v>
      </c>
      <c r="H26" s="8">
        <v>3.86</v>
      </c>
      <c r="I26" s="12">
        <v>0</v>
      </c>
    </row>
    <row r="27" spans="2:9" ht="15" customHeight="1" x14ac:dyDescent="0.2">
      <c r="B27" t="s">
        <v>77</v>
      </c>
      <c r="C27" s="12">
        <v>129</v>
      </c>
      <c r="D27" s="8">
        <v>8.4700000000000006</v>
      </c>
      <c r="E27" s="12">
        <v>70</v>
      </c>
      <c r="F27" s="8">
        <v>8.91</v>
      </c>
      <c r="G27" s="12">
        <v>59</v>
      </c>
      <c r="H27" s="8">
        <v>8.1300000000000008</v>
      </c>
      <c r="I27" s="12">
        <v>0</v>
      </c>
    </row>
    <row r="28" spans="2:9" ht="15" customHeight="1" x14ac:dyDescent="0.2">
      <c r="B28" t="s">
        <v>69</v>
      </c>
      <c r="C28" s="12">
        <v>76</v>
      </c>
      <c r="D28" s="8">
        <v>4.99</v>
      </c>
      <c r="E28" s="12">
        <v>18</v>
      </c>
      <c r="F28" s="8">
        <v>2.29</v>
      </c>
      <c r="G28" s="12">
        <v>58</v>
      </c>
      <c r="H28" s="8">
        <v>7.99</v>
      </c>
      <c r="I28" s="12">
        <v>0</v>
      </c>
    </row>
    <row r="29" spans="2:9" ht="15" customHeight="1" x14ac:dyDescent="0.2">
      <c r="B29" t="s">
        <v>79</v>
      </c>
      <c r="C29" s="12">
        <v>74</v>
      </c>
      <c r="D29" s="8">
        <v>4.8600000000000003</v>
      </c>
      <c r="E29" s="12">
        <v>32</v>
      </c>
      <c r="F29" s="8">
        <v>4.07</v>
      </c>
      <c r="G29" s="12">
        <v>42</v>
      </c>
      <c r="H29" s="8">
        <v>5.79</v>
      </c>
      <c r="I29" s="12">
        <v>0</v>
      </c>
    </row>
    <row r="30" spans="2:9" ht="15" customHeight="1" x14ac:dyDescent="0.2">
      <c r="B30" t="s">
        <v>70</v>
      </c>
      <c r="C30" s="12">
        <v>67</v>
      </c>
      <c r="D30" s="8">
        <v>4.4000000000000004</v>
      </c>
      <c r="E30" s="12">
        <v>31</v>
      </c>
      <c r="F30" s="8">
        <v>3.94</v>
      </c>
      <c r="G30" s="12">
        <v>36</v>
      </c>
      <c r="H30" s="8">
        <v>4.96</v>
      </c>
      <c r="I30" s="12">
        <v>0</v>
      </c>
    </row>
    <row r="31" spans="2:9" ht="15" customHeight="1" x14ac:dyDescent="0.2">
      <c r="B31" t="s">
        <v>71</v>
      </c>
      <c r="C31" s="12">
        <v>56</v>
      </c>
      <c r="D31" s="8">
        <v>3.68</v>
      </c>
      <c r="E31" s="12">
        <v>11</v>
      </c>
      <c r="F31" s="8">
        <v>1.4</v>
      </c>
      <c r="G31" s="12">
        <v>45</v>
      </c>
      <c r="H31" s="8">
        <v>6.2</v>
      </c>
      <c r="I31" s="12">
        <v>0</v>
      </c>
    </row>
    <row r="32" spans="2:9" ht="15" customHeight="1" x14ac:dyDescent="0.2">
      <c r="B32" t="s">
        <v>99</v>
      </c>
      <c r="C32" s="12">
        <v>54</v>
      </c>
      <c r="D32" s="8">
        <v>3.55</v>
      </c>
      <c r="E32" s="12">
        <v>18</v>
      </c>
      <c r="F32" s="8">
        <v>2.29</v>
      </c>
      <c r="G32" s="12">
        <v>36</v>
      </c>
      <c r="H32" s="8">
        <v>4.96</v>
      </c>
      <c r="I32" s="12">
        <v>0</v>
      </c>
    </row>
    <row r="33" spans="2:9" ht="15" customHeight="1" x14ac:dyDescent="0.2">
      <c r="B33" t="s">
        <v>76</v>
      </c>
      <c r="C33" s="12">
        <v>43</v>
      </c>
      <c r="D33" s="8">
        <v>2.82</v>
      </c>
      <c r="E33" s="12">
        <v>23</v>
      </c>
      <c r="F33" s="8">
        <v>2.93</v>
      </c>
      <c r="G33" s="12">
        <v>20</v>
      </c>
      <c r="H33" s="8">
        <v>2.75</v>
      </c>
      <c r="I33" s="12">
        <v>0</v>
      </c>
    </row>
    <row r="34" spans="2:9" ht="15" customHeight="1" x14ac:dyDescent="0.2">
      <c r="B34" t="s">
        <v>87</v>
      </c>
      <c r="C34" s="12">
        <v>39</v>
      </c>
      <c r="D34" s="8">
        <v>2.56</v>
      </c>
      <c r="E34" s="12">
        <v>30</v>
      </c>
      <c r="F34" s="8">
        <v>3.82</v>
      </c>
      <c r="G34" s="12">
        <v>9</v>
      </c>
      <c r="H34" s="8">
        <v>1.24</v>
      </c>
      <c r="I34" s="12">
        <v>0</v>
      </c>
    </row>
    <row r="35" spans="2:9" ht="15" customHeight="1" x14ac:dyDescent="0.2">
      <c r="B35" t="s">
        <v>93</v>
      </c>
      <c r="C35" s="12">
        <v>33</v>
      </c>
      <c r="D35" s="8">
        <v>2.17</v>
      </c>
      <c r="E35" s="12">
        <v>11</v>
      </c>
      <c r="F35" s="8">
        <v>1.4</v>
      </c>
      <c r="G35" s="12">
        <v>22</v>
      </c>
      <c r="H35" s="8">
        <v>3.03</v>
      </c>
      <c r="I35" s="12">
        <v>0</v>
      </c>
    </row>
    <row r="36" spans="2:9" ht="15" customHeight="1" x14ac:dyDescent="0.2">
      <c r="B36" t="s">
        <v>100</v>
      </c>
      <c r="C36" s="12">
        <v>29</v>
      </c>
      <c r="D36" s="8">
        <v>1.9</v>
      </c>
      <c r="E36" s="12">
        <v>9</v>
      </c>
      <c r="F36" s="8">
        <v>1.1499999999999999</v>
      </c>
      <c r="G36" s="12">
        <v>20</v>
      </c>
      <c r="H36" s="8">
        <v>2.75</v>
      </c>
      <c r="I36" s="12">
        <v>0</v>
      </c>
    </row>
    <row r="37" spans="2:9" ht="15" customHeight="1" x14ac:dyDescent="0.2">
      <c r="B37" t="s">
        <v>78</v>
      </c>
      <c r="C37" s="12">
        <v>28</v>
      </c>
      <c r="D37" s="8">
        <v>1.84</v>
      </c>
      <c r="E37" s="12">
        <v>14</v>
      </c>
      <c r="F37" s="8">
        <v>1.78</v>
      </c>
      <c r="G37" s="12">
        <v>14</v>
      </c>
      <c r="H37" s="8">
        <v>1.93</v>
      </c>
      <c r="I37" s="12">
        <v>0</v>
      </c>
    </row>
    <row r="38" spans="2:9" ht="15" customHeight="1" x14ac:dyDescent="0.2">
      <c r="B38" t="s">
        <v>83</v>
      </c>
      <c r="C38" s="12">
        <v>28</v>
      </c>
      <c r="D38" s="8">
        <v>1.84</v>
      </c>
      <c r="E38" s="12">
        <v>12</v>
      </c>
      <c r="F38" s="8">
        <v>1.53</v>
      </c>
      <c r="G38" s="12">
        <v>16</v>
      </c>
      <c r="H38" s="8">
        <v>2.2000000000000002</v>
      </c>
      <c r="I38" s="12">
        <v>0</v>
      </c>
    </row>
    <row r="39" spans="2:9" ht="15" customHeight="1" x14ac:dyDescent="0.2">
      <c r="B39" t="s">
        <v>82</v>
      </c>
      <c r="C39" s="12">
        <v>26</v>
      </c>
      <c r="D39" s="8">
        <v>1.71</v>
      </c>
      <c r="E39" s="12">
        <v>14</v>
      </c>
      <c r="F39" s="8">
        <v>1.78</v>
      </c>
      <c r="G39" s="12">
        <v>12</v>
      </c>
      <c r="H39" s="8">
        <v>1.65</v>
      </c>
      <c r="I39" s="12">
        <v>0</v>
      </c>
    </row>
    <row r="40" spans="2:9" ht="15" customHeight="1" x14ac:dyDescent="0.2">
      <c r="B40" t="s">
        <v>86</v>
      </c>
      <c r="C40" s="12">
        <v>25</v>
      </c>
      <c r="D40" s="8">
        <v>1.64</v>
      </c>
      <c r="E40" s="12">
        <v>13</v>
      </c>
      <c r="F40" s="8">
        <v>1.65</v>
      </c>
      <c r="G40" s="12">
        <v>9</v>
      </c>
      <c r="H40" s="8">
        <v>1.24</v>
      </c>
      <c r="I40" s="12">
        <v>0</v>
      </c>
    </row>
    <row r="41" spans="2:9" ht="15" customHeight="1" x14ac:dyDescent="0.2">
      <c r="B41" t="s">
        <v>101</v>
      </c>
      <c r="C41" s="12">
        <v>21</v>
      </c>
      <c r="D41" s="8">
        <v>1.38</v>
      </c>
      <c r="E41" s="12">
        <v>13</v>
      </c>
      <c r="F41" s="8">
        <v>1.65</v>
      </c>
      <c r="G41" s="12">
        <v>7</v>
      </c>
      <c r="H41" s="8">
        <v>0.96</v>
      </c>
      <c r="I41" s="12">
        <v>1</v>
      </c>
    </row>
    <row r="42" spans="2:9" ht="15" customHeight="1" x14ac:dyDescent="0.2">
      <c r="B42" t="s">
        <v>80</v>
      </c>
      <c r="C42" s="12">
        <v>19</v>
      </c>
      <c r="D42" s="8">
        <v>1.25</v>
      </c>
      <c r="E42" s="12">
        <v>1</v>
      </c>
      <c r="F42" s="8">
        <v>0.13</v>
      </c>
      <c r="G42" s="12">
        <v>18</v>
      </c>
      <c r="H42" s="8">
        <v>2.48</v>
      </c>
      <c r="I42" s="12">
        <v>0</v>
      </c>
    </row>
    <row r="43" spans="2:9" ht="15" customHeight="1" x14ac:dyDescent="0.2">
      <c r="B43" t="s">
        <v>102</v>
      </c>
      <c r="C43" s="12">
        <v>19</v>
      </c>
      <c r="D43" s="8">
        <v>1.25</v>
      </c>
      <c r="E43" s="12">
        <v>1</v>
      </c>
      <c r="F43" s="8">
        <v>0.13</v>
      </c>
      <c r="G43" s="12">
        <v>17</v>
      </c>
      <c r="H43" s="8">
        <v>2.34</v>
      </c>
      <c r="I43" s="12">
        <v>1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129</v>
      </c>
      <c r="D47" s="8">
        <v>8.4700000000000006</v>
      </c>
      <c r="E47" s="12">
        <v>82</v>
      </c>
      <c r="F47" s="8">
        <v>10.43</v>
      </c>
      <c r="G47" s="12">
        <v>46</v>
      </c>
      <c r="H47" s="8">
        <v>6.34</v>
      </c>
      <c r="I47" s="12">
        <v>1</v>
      </c>
    </row>
    <row r="48" spans="2:9" ht="15" customHeight="1" x14ac:dyDescent="0.2">
      <c r="B48" t="s">
        <v>128</v>
      </c>
      <c r="C48" s="12">
        <v>87</v>
      </c>
      <c r="D48" s="8">
        <v>5.71</v>
      </c>
      <c r="E48" s="12">
        <v>62</v>
      </c>
      <c r="F48" s="8">
        <v>7.89</v>
      </c>
      <c r="G48" s="12">
        <v>25</v>
      </c>
      <c r="H48" s="8">
        <v>3.44</v>
      </c>
      <c r="I48" s="12">
        <v>0</v>
      </c>
    </row>
    <row r="49" spans="2:9" ht="15" customHeight="1" x14ac:dyDescent="0.2">
      <c r="B49" t="s">
        <v>130</v>
      </c>
      <c r="C49" s="12">
        <v>67</v>
      </c>
      <c r="D49" s="8">
        <v>4.4000000000000004</v>
      </c>
      <c r="E49" s="12">
        <v>65</v>
      </c>
      <c r="F49" s="8">
        <v>8.27</v>
      </c>
      <c r="G49" s="12">
        <v>2</v>
      </c>
      <c r="H49" s="8">
        <v>0.28000000000000003</v>
      </c>
      <c r="I49" s="12">
        <v>0</v>
      </c>
    </row>
    <row r="50" spans="2:9" ht="15" customHeight="1" x14ac:dyDescent="0.2">
      <c r="B50" t="s">
        <v>132</v>
      </c>
      <c r="C50" s="12">
        <v>59</v>
      </c>
      <c r="D50" s="8">
        <v>3.87</v>
      </c>
      <c r="E50" s="12">
        <v>51</v>
      </c>
      <c r="F50" s="8">
        <v>6.49</v>
      </c>
      <c r="G50" s="12">
        <v>8</v>
      </c>
      <c r="H50" s="8">
        <v>1.1000000000000001</v>
      </c>
      <c r="I50" s="12">
        <v>0</v>
      </c>
    </row>
    <row r="51" spans="2:9" ht="15" customHeight="1" x14ac:dyDescent="0.2">
      <c r="B51" t="s">
        <v>121</v>
      </c>
      <c r="C51" s="12">
        <v>51</v>
      </c>
      <c r="D51" s="8">
        <v>3.35</v>
      </c>
      <c r="E51" s="12">
        <v>28</v>
      </c>
      <c r="F51" s="8">
        <v>3.56</v>
      </c>
      <c r="G51" s="12">
        <v>23</v>
      </c>
      <c r="H51" s="8">
        <v>3.17</v>
      </c>
      <c r="I51" s="12">
        <v>0</v>
      </c>
    </row>
    <row r="52" spans="2:9" ht="15" customHeight="1" x14ac:dyDescent="0.2">
      <c r="B52" t="s">
        <v>116</v>
      </c>
      <c r="C52" s="12">
        <v>38</v>
      </c>
      <c r="D52" s="8">
        <v>2.5</v>
      </c>
      <c r="E52" s="12">
        <v>8</v>
      </c>
      <c r="F52" s="8">
        <v>1.02</v>
      </c>
      <c r="G52" s="12">
        <v>30</v>
      </c>
      <c r="H52" s="8">
        <v>4.13</v>
      </c>
      <c r="I52" s="12">
        <v>0</v>
      </c>
    </row>
    <row r="53" spans="2:9" ht="15" customHeight="1" x14ac:dyDescent="0.2">
      <c r="B53" t="s">
        <v>139</v>
      </c>
      <c r="C53" s="12">
        <v>38</v>
      </c>
      <c r="D53" s="8">
        <v>2.5</v>
      </c>
      <c r="E53" s="12">
        <v>27</v>
      </c>
      <c r="F53" s="8">
        <v>3.44</v>
      </c>
      <c r="G53" s="12">
        <v>11</v>
      </c>
      <c r="H53" s="8">
        <v>1.52</v>
      </c>
      <c r="I53" s="12">
        <v>0</v>
      </c>
    </row>
    <row r="54" spans="2:9" ht="15" customHeight="1" x14ac:dyDescent="0.2">
      <c r="B54" t="s">
        <v>136</v>
      </c>
      <c r="C54" s="12">
        <v>34</v>
      </c>
      <c r="D54" s="8">
        <v>2.23</v>
      </c>
      <c r="E54" s="12">
        <v>15</v>
      </c>
      <c r="F54" s="8">
        <v>1.91</v>
      </c>
      <c r="G54" s="12">
        <v>19</v>
      </c>
      <c r="H54" s="8">
        <v>2.62</v>
      </c>
      <c r="I54" s="12">
        <v>0</v>
      </c>
    </row>
    <row r="55" spans="2:9" ht="15" customHeight="1" x14ac:dyDescent="0.2">
      <c r="B55" t="s">
        <v>160</v>
      </c>
      <c r="C55" s="12">
        <v>33</v>
      </c>
      <c r="D55" s="8">
        <v>2.17</v>
      </c>
      <c r="E55" s="12">
        <v>16</v>
      </c>
      <c r="F55" s="8">
        <v>2.04</v>
      </c>
      <c r="G55" s="12">
        <v>17</v>
      </c>
      <c r="H55" s="8">
        <v>2.34</v>
      </c>
      <c r="I55" s="12">
        <v>0</v>
      </c>
    </row>
    <row r="56" spans="2:9" ht="15" customHeight="1" x14ac:dyDescent="0.2">
      <c r="B56" t="s">
        <v>129</v>
      </c>
      <c r="C56" s="12">
        <v>32</v>
      </c>
      <c r="D56" s="8">
        <v>2.1</v>
      </c>
      <c r="E56" s="12">
        <v>28</v>
      </c>
      <c r="F56" s="8">
        <v>3.56</v>
      </c>
      <c r="G56" s="12">
        <v>4</v>
      </c>
      <c r="H56" s="8">
        <v>0.55000000000000004</v>
      </c>
      <c r="I56" s="12">
        <v>0</v>
      </c>
    </row>
    <row r="57" spans="2:9" ht="15" customHeight="1" x14ac:dyDescent="0.2">
      <c r="B57" t="s">
        <v>131</v>
      </c>
      <c r="C57" s="12">
        <v>31</v>
      </c>
      <c r="D57" s="8">
        <v>2.04</v>
      </c>
      <c r="E57" s="12">
        <v>28</v>
      </c>
      <c r="F57" s="8">
        <v>3.56</v>
      </c>
      <c r="G57" s="12">
        <v>3</v>
      </c>
      <c r="H57" s="8">
        <v>0.41</v>
      </c>
      <c r="I57" s="12">
        <v>0</v>
      </c>
    </row>
    <row r="58" spans="2:9" ht="15" customHeight="1" x14ac:dyDescent="0.2">
      <c r="B58" t="s">
        <v>120</v>
      </c>
      <c r="C58" s="12">
        <v>30</v>
      </c>
      <c r="D58" s="8">
        <v>1.97</v>
      </c>
      <c r="E58" s="12">
        <v>7</v>
      </c>
      <c r="F58" s="8">
        <v>0.89</v>
      </c>
      <c r="G58" s="12">
        <v>23</v>
      </c>
      <c r="H58" s="8">
        <v>3.17</v>
      </c>
      <c r="I58" s="12">
        <v>0</v>
      </c>
    </row>
    <row r="59" spans="2:9" ht="15" customHeight="1" x14ac:dyDescent="0.2">
      <c r="B59" t="s">
        <v>124</v>
      </c>
      <c r="C59" s="12">
        <v>30</v>
      </c>
      <c r="D59" s="8">
        <v>1.97</v>
      </c>
      <c r="E59" s="12">
        <v>19</v>
      </c>
      <c r="F59" s="8">
        <v>2.42</v>
      </c>
      <c r="G59" s="12">
        <v>11</v>
      </c>
      <c r="H59" s="8">
        <v>1.52</v>
      </c>
      <c r="I59" s="12">
        <v>0</v>
      </c>
    </row>
    <row r="60" spans="2:9" ht="15" customHeight="1" x14ac:dyDescent="0.2">
      <c r="B60" t="s">
        <v>161</v>
      </c>
      <c r="C60" s="12">
        <v>28</v>
      </c>
      <c r="D60" s="8">
        <v>1.84</v>
      </c>
      <c r="E60" s="12">
        <v>24</v>
      </c>
      <c r="F60" s="8">
        <v>3.05</v>
      </c>
      <c r="G60" s="12">
        <v>4</v>
      </c>
      <c r="H60" s="8">
        <v>0.55000000000000004</v>
      </c>
      <c r="I60" s="12">
        <v>0</v>
      </c>
    </row>
    <row r="61" spans="2:9" ht="15" customHeight="1" x14ac:dyDescent="0.2">
      <c r="B61" t="s">
        <v>140</v>
      </c>
      <c r="C61" s="12">
        <v>28</v>
      </c>
      <c r="D61" s="8">
        <v>1.84</v>
      </c>
      <c r="E61" s="12">
        <v>19</v>
      </c>
      <c r="F61" s="8">
        <v>2.42</v>
      </c>
      <c r="G61" s="12">
        <v>9</v>
      </c>
      <c r="H61" s="8">
        <v>1.24</v>
      </c>
      <c r="I61" s="12">
        <v>0</v>
      </c>
    </row>
    <row r="62" spans="2:9" ht="15" customHeight="1" x14ac:dyDescent="0.2">
      <c r="B62" t="s">
        <v>137</v>
      </c>
      <c r="C62" s="12">
        <v>24</v>
      </c>
      <c r="D62" s="8">
        <v>1.58</v>
      </c>
      <c r="E62" s="12">
        <v>16</v>
      </c>
      <c r="F62" s="8">
        <v>2.04</v>
      </c>
      <c r="G62" s="12">
        <v>8</v>
      </c>
      <c r="H62" s="8">
        <v>1.1000000000000001</v>
      </c>
      <c r="I62" s="12">
        <v>0</v>
      </c>
    </row>
    <row r="63" spans="2:9" ht="15" customHeight="1" x14ac:dyDescent="0.2">
      <c r="B63" t="s">
        <v>134</v>
      </c>
      <c r="C63" s="12">
        <v>22</v>
      </c>
      <c r="D63" s="8">
        <v>1.44</v>
      </c>
      <c r="E63" s="12">
        <v>17</v>
      </c>
      <c r="F63" s="8">
        <v>2.16</v>
      </c>
      <c r="G63" s="12">
        <v>5</v>
      </c>
      <c r="H63" s="8">
        <v>0.69</v>
      </c>
      <c r="I63" s="12">
        <v>0</v>
      </c>
    </row>
    <row r="64" spans="2:9" ht="15" customHeight="1" x14ac:dyDescent="0.2">
      <c r="B64" t="s">
        <v>119</v>
      </c>
      <c r="C64" s="12">
        <v>21</v>
      </c>
      <c r="D64" s="8">
        <v>1.38</v>
      </c>
      <c r="E64" s="12">
        <v>4</v>
      </c>
      <c r="F64" s="8">
        <v>0.51</v>
      </c>
      <c r="G64" s="12">
        <v>17</v>
      </c>
      <c r="H64" s="8">
        <v>2.34</v>
      </c>
      <c r="I64" s="12">
        <v>0</v>
      </c>
    </row>
    <row r="65" spans="2:9" ht="15" customHeight="1" x14ac:dyDescent="0.2">
      <c r="B65" t="s">
        <v>147</v>
      </c>
      <c r="C65" s="12">
        <v>21</v>
      </c>
      <c r="D65" s="8">
        <v>1.38</v>
      </c>
      <c r="E65" s="12">
        <v>1</v>
      </c>
      <c r="F65" s="8">
        <v>0.13</v>
      </c>
      <c r="G65" s="12">
        <v>20</v>
      </c>
      <c r="H65" s="8">
        <v>2.75</v>
      </c>
      <c r="I65" s="12">
        <v>0</v>
      </c>
    </row>
    <row r="66" spans="2:9" ht="15" customHeight="1" x14ac:dyDescent="0.2">
      <c r="B66" t="s">
        <v>125</v>
      </c>
      <c r="C66" s="12">
        <v>20</v>
      </c>
      <c r="D66" s="8">
        <v>1.31</v>
      </c>
      <c r="E66" s="12">
        <v>9</v>
      </c>
      <c r="F66" s="8">
        <v>1.1499999999999999</v>
      </c>
      <c r="G66" s="12">
        <v>11</v>
      </c>
      <c r="H66" s="8">
        <v>1.52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A98B1-24AF-4D43-81A4-F94FB2A3E121}">
  <sheetPr>
    <pageSetUpPr fitToPage="1"/>
  </sheetPr>
  <dimension ref="A1:H737"/>
  <sheetViews>
    <sheetView workbookViewId="0"/>
  </sheetViews>
  <sheetFormatPr defaultRowHeight="13.2" x14ac:dyDescent="0.2"/>
  <cols>
    <col min="1" max="1" width="40" bestFit="1" customWidth="1"/>
    <col min="2" max="8" width="10.44140625" customWidth="1"/>
  </cols>
  <sheetData>
    <row r="1" spans="1:8" ht="37.5" customHeight="1" x14ac:dyDescent="0.2">
      <c r="A1" s="6" t="s">
        <v>61</v>
      </c>
      <c r="B1" s="7" t="s">
        <v>62</v>
      </c>
      <c r="C1" s="7" t="s">
        <v>63</v>
      </c>
      <c r="D1" s="7" t="s">
        <v>64</v>
      </c>
      <c r="E1" s="7" t="s">
        <v>65</v>
      </c>
      <c r="F1" s="7" t="s">
        <v>66</v>
      </c>
      <c r="G1" s="7" t="s">
        <v>67</v>
      </c>
      <c r="H1" s="7" t="s">
        <v>68</v>
      </c>
    </row>
    <row r="2" spans="1:8" x14ac:dyDescent="0.2">
      <c r="A2" s="1" t="s">
        <v>0</v>
      </c>
      <c r="B2" s="4">
        <v>96637</v>
      </c>
      <c r="C2" s="5">
        <v>99.99</v>
      </c>
      <c r="D2" s="4">
        <v>51022</v>
      </c>
      <c r="E2" s="5">
        <v>100.01</v>
      </c>
      <c r="F2" s="4">
        <v>44954</v>
      </c>
      <c r="G2" s="5">
        <v>100.00000000000001</v>
      </c>
      <c r="H2" s="4">
        <v>189</v>
      </c>
    </row>
    <row r="3" spans="1:8" x14ac:dyDescent="0.2">
      <c r="A3" s="2" t="s">
        <v>46</v>
      </c>
      <c r="B3" s="4">
        <v>25</v>
      </c>
      <c r="C3" s="5">
        <v>0.03</v>
      </c>
      <c r="D3" s="4">
        <v>3</v>
      </c>
      <c r="E3" s="5">
        <v>0.01</v>
      </c>
      <c r="F3" s="4">
        <v>22</v>
      </c>
      <c r="G3" s="5">
        <v>0.05</v>
      </c>
      <c r="H3" s="4">
        <v>0</v>
      </c>
    </row>
    <row r="4" spans="1:8" x14ac:dyDescent="0.2">
      <c r="A4" s="2" t="s">
        <v>47</v>
      </c>
      <c r="B4" s="4">
        <v>13849</v>
      </c>
      <c r="C4" s="5">
        <v>14.33</v>
      </c>
      <c r="D4" s="4">
        <v>4810</v>
      </c>
      <c r="E4" s="5">
        <v>9.43</v>
      </c>
      <c r="F4" s="4">
        <v>9038</v>
      </c>
      <c r="G4" s="5">
        <v>20.100000000000001</v>
      </c>
      <c r="H4" s="4">
        <v>1</v>
      </c>
    </row>
    <row r="5" spans="1:8" x14ac:dyDescent="0.2">
      <c r="A5" s="2" t="s">
        <v>48</v>
      </c>
      <c r="B5" s="4">
        <v>10720</v>
      </c>
      <c r="C5" s="5">
        <v>11.09</v>
      </c>
      <c r="D5" s="4">
        <v>3812</v>
      </c>
      <c r="E5" s="5">
        <v>7.47</v>
      </c>
      <c r="F5" s="4">
        <v>6892</v>
      </c>
      <c r="G5" s="5">
        <v>15.33</v>
      </c>
      <c r="H5" s="4">
        <v>15</v>
      </c>
    </row>
    <row r="6" spans="1:8" x14ac:dyDescent="0.2">
      <c r="A6" s="2" t="s">
        <v>49</v>
      </c>
      <c r="B6" s="4">
        <v>192</v>
      </c>
      <c r="C6" s="5">
        <v>0.2</v>
      </c>
      <c r="D6" s="4">
        <v>8</v>
      </c>
      <c r="E6" s="5">
        <v>0.02</v>
      </c>
      <c r="F6" s="4">
        <v>175</v>
      </c>
      <c r="G6" s="5">
        <v>0.39</v>
      </c>
      <c r="H6" s="4">
        <v>1</v>
      </c>
    </row>
    <row r="7" spans="1:8" x14ac:dyDescent="0.2">
      <c r="A7" s="2" t="s">
        <v>50</v>
      </c>
      <c r="B7" s="4">
        <v>747</v>
      </c>
      <c r="C7" s="5">
        <v>0.77</v>
      </c>
      <c r="D7" s="4">
        <v>66</v>
      </c>
      <c r="E7" s="5">
        <v>0.13</v>
      </c>
      <c r="F7" s="4">
        <v>680</v>
      </c>
      <c r="G7" s="5">
        <v>1.51</v>
      </c>
      <c r="H7" s="4">
        <v>1</v>
      </c>
    </row>
    <row r="8" spans="1:8" x14ac:dyDescent="0.2">
      <c r="A8" s="2" t="s">
        <v>51</v>
      </c>
      <c r="B8" s="4">
        <v>947</v>
      </c>
      <c r="C8" s="5">
        <v>0.98</v>
      </c>
      <c r="D8" s="4">
        <v>140</v>
      </c>
      <c r="E8" s="5">
        <v>0.27</v>
      </c>
      <c r="F8" s="4">
        <v>789</v>
      </c>
      <c r="G8" s="5">
        <v>1.76</v>
      </c>
      <c r="H8" s="4">
        <v>17</v>
      </c>
    </row>
    <row r="9" spans="1:8" x14ac:dyDescent="0.2">
      <c r="A9" s="2" t="s">
        <v>52</v>
      </c>
      <c r="B9" s="4">
        <v>21699</v>
      </c>
      <c r="C9" s="5">
        <v>22.45</v>
      </c>
      <c r="D9" s="4">
        <v>10237</v>
      </c>
      <c r="E9" s="5">
        <v>20.059999999999999</v>
      </c>
      <c r="F9" s="4">
        <v>11427</v>
      </c>
      <c r="G9" s="5">
        <v>25.42</v>
      </c>
      <c r="H9" s="4">
        <v>34</v>
      </c>
    </row>
    <row r="10" spans="1:8" x14ac:dyDescent="0.2">
      <c r="A10" s="2" t="s">
        <v>53</v>
      </c>
      <c r="B10" s="4">
        <v>697</v>
      </c>
      <c r="C10" s="5">
        <v>0.72</v>
      </c>
      <c r="D10" s="4">
        <v>131</v>
      </c>
      <c r="E10" s="5">
        <v>0.26</v>
      </c>
      <c r="F10" s="4">
        <v>562</v>
      </c>
      <c r="G10" s="5">
        <v>1.25</v>
      </c>
      <c r="H10" s="4">
        <v>4</v>
      </c>
    </row>
    <row r="11" spans="1:8" x14ac:dyDescent="0.2">
      <c r="A11" s="2" t="s">
        <v>54</v>
      </c>
      <c r="B11" s="4">
        <v>9064</v>
      </c>
      <c r="C11" s="5">
        <v>9.3800000000000008</v>
      </c>
      <c r="D11" s="4">
        <v>3956</v>
      </c>
      <c r="E11" s="5">
        <v>7.75</v>
      </c>
      <c r="F11" s="4">
        <v>5096</v>
      </c>
      <c r="G11" s="5">
        <v>11.34</v>
      </c>
      <c r="H11" s="4">
        <v>6</v>
      </c>
    </row>
    <row r="12" spans="1:8" x14ac:dyDescent="0.2">
      <c r="A12" s="2" t="s">
        <v>55</v>
      </c>
      <c r="B12" s="4">
        <v>4849</v>
      </c>
      <c r="C12" s="5">
        <v>5.0199999999999996</v>
      </c>
      <c r="D12" s="4">
        <v>2691</v>
      </c>
      <c r="E12" s="5">
        <v>5.27</v>
      </c>
      <c r="F12" s="4">
        <v>2128</v>
      </c>
      <c r="G12" s="5">
        <v>4.7300000000000004</v>
      </c>
      <c r="H12" s="4">
        <v>2</v>
      </c>
    </row>
    <row r="13" spans="1:8" x14ac:dyDescent="0.2">
      <c r="A13" s="2" t="s">
        <v>56</v>
      </c>
      <c r="B13" s="4">
        <v>11465</v>
      </c>
      <c r="C13" s="5">
        <v>11.86</v>
      </c>
      <c r="D13" s="4">
        <v>9392</v>
      </c>
      <c r="E13" s="5">
        <v>18.41</v>
      </c>
      <c r="F13" s="4">
        <v>2031</v>
      </c>
      <c r="G13" s="5">
        <v>4.5199999999999996</v>
      </c>
      <c r="H13" s="4">
        <v>5</v>
      </c>
    </row>
    <row r="14" spans="1:8" x14ac:dyDescent="0.2">
      <c r="A14" s="2" t="s">
        <v>57</v>
      </c>
      <c r="B14" s="4">
        <v>11461</v>
      </c>
      <c r="C14" s="5">
        <v>11.86</v>
      </c>
      <c r="D14" s="4">
        <v>9213</v>
      </c>
      <c r="E14" s="5">
        <v>18.059999999999999</v>
      </c>
      <c r="F14" s="4">
        <v>2201</v>
      </c>
      <c r="G14" s="5">
        <v>4.9000000000000004</v>
      </c>
      <c r="H14" s="4">
        <v>17</v>
      </c>
    </row>
    <row r="15" spans="1:8" x14ac:dyDescent="0.2">
      <c r="A15" s="2" t="s">
        <v>58</v>
      </c>
      <c r="B15" s="4">
        <v>3559</v>
      </c>
      <c r="C15" s="5">
        <v>3.68</v>
      </c>
      <c r="D15" s="4">
        <v>2682</v>
      </c>
      <c r="E15" s="5">
        <v>5.26</v>
      </c>
      <c r="F15" s="4">
        <v>779</v>
      </c>
      <c r="G15" s="5">
        <v>1.73</v>
      </c>
      <c r="H15" s="4">
        <v>21</v>
      </c>
    </row>
    <row r="16" spans="1:8" x14ac:dyDescent="0.2">
      <c r="A16" s="2" t="s">
        <v>59</v>
      </c>
      <c r="B16" s="4">
        <v>4156</v>
      </c>
      <c r="C16" s="5">
        <v>4.3</v>
      </c>
      <c r="D16" s="4">
        <v>2582</v>
      </c>
      <c r="E16" s="5">
        <v>5.0599999999999996</v>
      </c>
      <c r="F16" s="4">
        <v>1359</v>
      </c>
      <c r="G16" s="5">
        <v>3.02</v>
      </c>
      <c r="H16" s="4">
        <v>35</v>
      </c>
    </row>
    <row r="17" spans="1:8" x14ac:dyDescent="0.2">
      <c r="A17" s="2" t="s">
        <v>60</v>
      </c>
      <c r="B17" s="4">
        <v>3207</v>
      </c>
      <c r="C17" s="5">
        <v>3.32</v>
      </c>
      <c r="D17" s="4">
        <v>1299</v>
      </c>
      <c r="E17" s="5">
        <v>2.5499999999999998</v>
      </c>
      <c r="F17" s="4">
        <v>1775</v>
      </c>
      <c r="G17" s="5">
        <v>3.95</v>
      </c>
      <c r="H17" s="4">
        <v>30</v>
      </c>
    </row>
    <row r="18" spans="1:8" x14ac:dyDescent="0.2">
      <c r="A18" s="1" t="s">
        <v>1</v>
      </c>
      <c r="B18" s="4">
        <v>19486</v>
      </c>
      <c r="C18" s="5">
        <v>100.00999999999998</v>
      </c>
      <c r="D18" s="4">
        <v>10027</v>
      </c>
      <c r="E18" s="5">
        <v>99.999999999999986</v>
      </c>
      <c r="F18" s="4">
        <v>9385</v>
      </c>
      <c r="G18" s="5">
        <v>99.990000000000009</v>
      </c>
      <c r="H18" s="4">
        <v>34</v>
      </c>
    </row>
    <row r="19" spans="1:8" x14ac:dyDescent="0.2">
      <c r="A19" s="2" t="s">
        <v>46</v>
      </c>
      <c r="B19" s="4">
        <v>2</v>
      </c>
      <c r="C19" s="5">
        <v>0.01</v>
      </c>
      <c r="D19" s="4">
        <v>1</v>
      </c>
      <c r="E19" s="5">
        <v>0.01</v>
      </c>
      <c r="F19" s="4">
        <v>1</v>
      </c>
      <c r="G19" s="5">
        <v>0.01</v>
      </c>
      <c r="H19" s="4">
        <v>0</v>
      </c>
    </row>
    <row r="20" spans="1:8" x14ac:dyDescent="0.2">
      <c r="A20" s="2" t="s">
        <v>47</v>
      </c>
      <c r="B20" s="4">
        <v>2517</v>
      </c>
      <c r="C20" s="5">
        <v>12.92</v>
      </c>
      <c r="D20" s="4">
        <v>746</v>
      </c>
      <c r="E20" s="5">
        <v>7.44</v>
      </c>
      <c r="F20" s="4">
        <v>1771</v>
      </c>
      <c r="G20" s="5">
        <v>18.87</v>
      </c>
      <c r="H20" s="4">
        <v>0</v>
      </c>
    </row>
    <row r="21" spans="1:8" x14ac:dyDescent="0.2">
      <c r="A21" s="2" t="s">
        <v>48</v>
      </c>
      <c r="B21" s="4">
        <v>2059</v>
      </c>
      <c r="C21" s="5">
        <v>10.57</v>
      </c>
      <c r="D21" s="4">
        <v>818</v>
      </c>
      <c r="E21" s="5">
        <v>8.16</v>
      </c>
      <c r="F21" s="4">
        <v>1241</v>
      </c>
      <c r="G21" s="5">
        <v>13.22</v>
      </c>
      <c r="H21" s="4">
        <v>0</v>
      </c>
    </row>
    <row r="22" spans="1:8" x14ac:dyDescent="0.2">
      <c r="A22" s="2" t="s">
        <v>49</v>
      </c>
      <c r="B22" s="4">
        <v>17</v>
      </c>
      <c r="C22" s="5">
        <v>0.09</v>
      </c>
      <c r="D22" s="4">
        <v>0</v>
      </c>
      <c r="E22" s="5">
        <v>0</v>
      </c>
      <c r="F22" s="4">
        <v>17</v>
      </c>
      <c r="G22" s="5">
        <v>0.18</v>
      </c>
      <c r="H22" s="4">
        <v>0</v>
      </c>
    </row>
    <row r="23" spans="1:8" x14ac:dyDescent="0.2">
      <c r="A23" s="2" t="s">
        <v>50</v>
      </c>
      <c r="B23" s="4">
        <v>186</v>
      </c>
      <c r="C23" s="5">
        <v>0.95</v>
      </c>
      <c r="D23" s="4">
        <v>21</v>
      </c>
      <c r="E23" s="5">
        <v>0.21</v>
      </c>
      <c r="F23" s="4">
        <v>164</v>
      </c>
      <c r="G23" s="5">
        <v>1.75</v>
      </c>
      <c r="H23" s="4">
        <v>1</v>
      </c>
    </row>
    <row r="24" spans="1:8" x14ac:dyDescent="0.2">
      <c r="A24" s="2" t="s">
        <v>51</v>
      </c>
      <c r="B24" s="4">
        <v>205</v>
      </c>
      <c r="C24" s="5">
        <v>1.05</v>
      </c>
      <c r="D24" s="4">
        <v>30</v>
      </c>
      <c r="E24" s="5">
        <v>0.3</v>
      </c>
      <c r="F24" s="4">
        <v>174</v>
      </c>
      <c r="G24" s="5">
        <v>1.85</v>
      </c>
      <c r="H24" s="4">
        <v>1</v>
      </c>
    </row>
    <row r="25" spans="1:8" x14ac:dyDescent="0.2">
      <c r="A25" s="2" t="s">
        <v>52</v>
      </c>
      <c r="B25" s="4">
        <v>4715</v>
      </c>
      <c r="C25" s="5">
        <v>24.2</v>
      </c>
      <c r="D25" s="4">
        <v>2189</v>
      </c>
      <c r="E25" s="5">
        <v>21.83</v>
      </c>
      <c r="F25" s="4">
        <v>2523</v>
      </c>
      <c r="G25" s="5">
        <v>26.88</v>
      </c>
      <c r="H25" s="4">
        <v>3</v>
      </c>
    </row>
    <row r="26" spans="1:8" x14ac:dyDescent="0.2">
      <c r="A26" s="2" t="s">
        <v>53</v>
      </c>
      <c r="B26" s="4">
        <v>170</v>
      </c>
      <c r="C26" s="5">
        <v>0.87</v>
      </c>
      <c r="D26" s="4">
        <v>30</v>
      </c>
      <c r="E26" s="5">
        <v>0.3</v>
      </c>
      <c r="F26" s="4">
        <v>140</v>
      </c>
      <c r="G26" s="5">
        <v>1.49</v>
      </c>
      <c r="H26" s="4">
        <v>0</v>
      </c>
    </row>
    <row r="27" spans="1:8" x14ac:dyDescent="0.2">
      <c r="A27" s="2" t="s">
        <v>54</v>
      </c>
      <c r="B27" s="4">
        <v>1790</v>
      </c>
      <c r="C27" s="5">
        <v>9.19</v>
      </c>
      <c r="D27" s="4">
        <v>621</v>
      </c>
      <c r="E27" s="5">
        <v>6.19</v>
      </c>
      <c r="F27" s="4">
        <v>1166</v>
      </c>
      <c r="G27" s="5">
        <v>12.42</v>
      </c>
      <c r="H27" s="4">
        <v>2</v>
      </c>
    </row>
    <row r="28" spans="1:8" x14ac:dyDescent="0.2">
      <c r="A28" s="2" t="s">
        <v>55</v>
      </c>
      <c r="B28" s="4">
        <v>1140</v>
      </c>
      <c r="C28" s="5">
        <v>5.85</v>
      </c>
      <c r="D28" s="4">
        <v>577</v>
      </c>
      <c r="E28" s="5">
        <v>5.75</v>
      </c>
      <c r="F28" s="4">
        <v>558</v>
      </c>
      <c r="G28" s="5">
        <v>5.95</v>
      </c>
      <c r="H28" s="4">
        <v>1</v>
      </c>
    </row>
    <row r="29" spans="1:8" x14ac:dyDescent="0.2">
      <c r="A29" s="2" t="s">
        <v>56</v>
      </c>
      <c r="B29" s="4">
        <v>2230</v>
      </c>
      <c r="C29" s="5">
        <v>11.44</v>
      </c>
      <c r="D29" s="4">
        <v>1871</v>
      </c>
      <c r="E29" s="5">
        <v>18.66</v>
      </c>
      <c r="F29" s="4">
        <v>350</v>
      </c>
      <c r="G29" s="5">
        <v>3.73</v>
      </c>
      <c r="H29" s="4">
        <v>1</v>
      </c>
    </row>
    <row r="30" spans="1:8" x14ac:dyDescent="0.2">
      <c r="A30" s="2" t="s">
        <v>57</v>
      </c>
      <c r="B30" s="4">
        <v>2287</v>
      </c>
      <c r="C30" s="5">
        <v>11.74</v>
      </c>
      <c r="D30" s="4">
        <v>1838</v>
      </c>
      <c r="E30" s="5">
        <v>18.329999999999998</v>
      </c>
      <c r="F30" s="4">
        <v>439</v>
      </c>
      <c r="G30" s="5">
        <v>4.68</v>
      </c>
      <c r="H30" s="4">
        <v>2</v>
      </c>
    </row>
    <row r="31" spans="1:8" x14ac:dyDescent="0.2">
      <c r="A31" s="2" t="s">
        <v>58</v>
      </c>
      <c r="B31" s="4">
        <v>662</v>
      </c>
      <c r="C31" s="5">
        <v>3.4</v>
      </c>
      <c r="D31" s="4">
        <v>495</v>
      </c>
      <c r="E31" s="5">
        <v>4.9400000000000004</v>
      </c>
      <c r="F31" s="4">
        <v>155</v>
      </c>
      <c r="G31" s="5">
        <v>1.65</v>
      </c>
      <c r="H31" s="4">
        <v>5</v>
      </c>
    </row>
    <row r="32" spans="1:8" x14ac:dyDescent="0.2">
      <c r="A32" s="2" t="s">
        <v>59</v>
      </c>
      <c r="B32" s="4">
        <v>859</v>
      </c>
      <c r="C32" s="5">
        <v>4.41</v>
      </c>
      <c r="D32" s="4">
        <v>529</v>
      </c>
      <c r="E32" s="5">
        <v>5.28</v>
      </c>
      <c r="F32" s="4">
        <v>311</v>
      </c>
      <c r="G32" s="5">
        <v>3.31</v>
      </c>
      <c r="H32" s="4">
        <v>11</v>
      </c>
    </row>
    <row r="33" spans="1:8" x14ac:dyDescent="0.2">
      <c r="A33" s="2" t="s">
        <v>60</v>
      </c>
      <c r="B33" s="4">
        <v>647</v>
      </c>
      <c r="C33" s="5">
        <v>3.32</v>
      </c>
      <c r="D33" s="4">
        <v>261</v>
      </c>
      <c r="E33" s="5">
        <v>2.6</v>
      </c>
      <c r="F33" s="4">
        <v>375</v>
      </c>
      <c r="G33" s="5">
        <v>4</v>
      </c>
      <c r="H33" s="4">
        <v>7</v>
      </c>
    </row>
    <row r="34" spans="1:8" x14ac:dyDescent="0.2">
      <c r="A34" s="1" t="s">
        <v>2</v>
      </c>
      <c r="B34" s="4">
        <v>7830</v>
      </c>
      <c r="C34" s="5">
        <v>100.00000000000001</v>
      </c>
      <c r="D34" s="4">
        <v>3982</v>
      </c>
      <c r="E34" s="5">
        <v>100.00999999999999</v>
      </c>
      <c r="F34" s="4">
        <v>3804</v>
      </c>
      <c r="G34" s="5">
        <v>99.99</v>
      </c>
      <c r="H34" s="4">
        <v>22</v>
      </c>
    </row>
    <row r="35" spans="1:8" x14ac:dyDescent="0.2">
      <c r="A35" s="2" t="s">
        <v>46</v>
      </c>
      <c r="B35" s="4">
        <v>2</v>
      </c>
      <c r="C35" s="5">
        <v>0.03</v>
      </c>
      <c r="D35" s="4">
        <v>1</v>
      </c>
      <c r="E35" s="5">
        <v>0.03</v>
      </c>
      <c r="F35" s="4">
        <v>1</v>
      </c>
      <c r="G35" s="5">
        <v>0.03</v>
      </c>
      <c r="H35" s="4">
        <v>0</v>
      </c>
    </row>
    <row r="36" spans="1:8" x14ac:dyDescent="0.2">
      <c r="A36" s="2" t="s">
        <v>47</v>
      </c>
      <c r="B36" s="4">
        <v>757</v>
      </c>
      <c r="C36" s="5">
        <v>9.67</v>
      </c>
      <c r="D36" s="4">
        <v>210</v>
      </c>
      <c r="E36" s="5">
        <v>5.27</v>
      </c>
      <c r="F36" s="4">
        <v>547</v>
      </c>
      <c r="G36" s="5">
        <v>14.38</v>
      </c>
      <c r="H36" s="4">
        <v>0</v>
      </c>
    </row>
    <row r="37" spans="1:8" x14ac:dyDescent="0.2">
      <c r="A37" s="2" t="s">
        <v>48</v>
      </c>
      <c r="B37" s="4">
        <v>717</v>
      </c>
      <c r="C37" s="5">
        <v>9.16</v>
      </c>
      <c r="D37" s="4">
        <v>314</v>
      </c>
      <c r="E37" s="5">
        <v>7.89</v>
      </c>
      <c r="F37" s="4">
        <v>403</v>
      </c>
      <c r="G37" s="5">
        <v>10.59</v>
      </c>
      <c r="H37" s="4">
        <v>0</v>
      </c>
    </row>
    <row r="38" spans="1:8" x14ac:dyDescent="0.2">
      <c r="A38" s="2" t="s">
        <v>49</v>
      </c>
      <c r="B38" s="4">
        <v>8</v>
      </c>
      <c r="C38" s="5">
        <v>0.1</v>
      </c>
      <c r="D38" s="4">
        <v>0</v>
      </c>
      <c r="E38" s="5">
        <v>0</v>
      </c>
      <c r="F38" s="4">
        <v>8</v>
      </c>
      <c r="G38" s="5">
        <v>0.21</v>
      </c>
      <c r="H38" s="4">
        <v>0</v>
      </c>
    </row>
    <row r="39" spans="1:8" x14ac:dyDescent="0.2">
      <c r="A39" s="2" t="s">
        <v>50</v>
      </c>
      <c r="B39" s="4">
        <v>93</v>
      </c>
      <c r="C39" s="5">
        <v>1.19</v>
      </c>
      <c r="D39" s="4">
        <v>13</v>
      </c>
      <c r="E39" s="5">
        <v>0.33</v>
      </c>
      <c r="F39" s="4">
        <v>80</v>
      </c>
      <c r="G39" s="5">
        <v>2.1</v>
      </c>
      <c r="H39" s="4">
        <v>0</v>
      </c>
    </row>
    <row r="40" spans="1:8" x14ac:dyDescent="0.2">
      <c r="A40" s="2" t="s">
        <v>51</v>
      </c>
      <c r="B40" s="4">
        <v>50</v>
      </c>
      <c r="C40" s="5">
        <v>0.64</v>
      </c>
      <c r="D40" s="4">
        <v>7</v>
      </c>
      <c r="E40" s="5">
        <v>0.18</v>
      </c>
      <c r="F40" s="4">
        <v>43</v>
      </c>
      <c r="G40" s="5">
        <v>1.1299999999999999</v>
      </c>
      <c r="H40" s="4">
        <v>0</v>
      </c>
    </row>
    <row r="41" spans="1:8" x14ac:dyDescent="0.2">
      <c r="A41" s="2" t="s">
        <v>52</v>
      </c>
      <c r="B41" s="4">
        <v>2008</v>
      </c>
      <c r="C41" s="5">
        <v>25.64</v>
      </c>
      <c r="D41" s="4">
        <v>913</v>
      </c>
      <c r="E41" s="5">
        <v>22.93</v>
      </c>
      <c r="F41" s="4">
        <v>1095</v>
      </c>
      <c r="G41" s="5">
        <v>28.79</v>
      </c>
      <c r="H41" s="4">
        <v>0</v>
      </c>
    </row>
    <row r="42" spans="1:8" x14ac:dyDescent="0.2">
      <c r="A42" s="2" t="s">
        <v>53</v>
      </c>
      <c r="B42" s="4">
        <v>82</v>
      </c>
      <c r="C42" s="5">
        <v>1.05</v>
      </c>
      <c r="D42" s="4">
        <v>10</v>
      </c>
      <c r="E42" s="5">
        <v>0.25</v>
      </c>
      <c r="F42" s="4">
        <v>72</v>
      </c>
      <c r="G42" s="5">
        <v>1.89</v>
      </c>
      <c r="H42" s="4">
        <v>0</v>
      </c>
    </row>
    <row r="43" spans="1:8" x14ac:dyDescent="0.2">
      <c r="A43" s="2" t="s">
        <v>54</v>
      </c>
      <c r="B43" s="4">
        <v>697</v>
      </c>
      <c r="C43" s="5">
        <v>8.9</v>
      </c>
      <c r="D43" s="4">
        <v>192</v>
      </c>
      <c r="E43" s="5">
        <v>4.82</v>
      </c>
      <c r="F43" s="4">
        <v>503</v>
      </c>
      <c r="G43" s="5">
        <v>13.22</v>
      </c>
      <c r="H43" s="4">
        <v>1</v>
      </c>
    </row>
    <row r="44" spans="1:8" x14ac:dyDescent="0.2">
      <c r="A44" s="2" t="s">
        <v>55</v>
      </c>
      <c r="B44" s="4">
        <v>556</v>
      </c>
      <c r="C44" s="5">
        <v>7.1</v>
      </c>
      <c r="D44" s="4">
        <v>287</v>
      </c>
      <c r="E44" s="5">
        <v>7.21</v>
      </c>
      <c r="F44" s="4">
        <v>266</v>
      </c>
      <c r="G44" s="5">
        <v>6.99</v>
      </c>
      <c r="H44" s="4">
        <v>1</v>
      </c>
    </row>
    <row r="45" spans="1:8" x14ac:dyDescent="0.2">
      <c r="A45" s="2" t="s">
        <v>56</v>
      </c>
      <c r="B45" s="4">
        <v>1058</v>
      </c>
      <c r="C45" s="5">
        <v>13.51</v>
      </c>
      <c r="D45" s="4">
        <v>859</v>
      </c>
      <c r="E45" s="5">
        <v>21.57</v>
      </c>
      <c r="F45" s="4">
        <v>194</v>
      </c>
      <c r="G45" s="5">
        <v>5.0999999999999996</v>
      </c>
      <c r="H45" s="4">
        <v>1</v>
      </c>
    </row>
    <row r="46" spans="1:8" x14ac:dyDescent="0.2">
      <c r="A46" s="2" t="s">
        <v>57</v>
      </c>
      <c r="B46" s="4">
        <v>927</v>
      </c>
      <c r="C46" s="5">
        <v>11.84</v>
      </c>
      <c r="D46" s="4">
        <v>707</v>
      </c>
      <c r="E46" s="5">
        <v>17.75</v>
      </c>
      <c r="F46" s="4">
        <v>214</v>
      </c>
      <c r="G46" s="5">
        <v>5.63</v>
      </c>
      <c r="H46" s="4">
        <v>2</v>
      </c>
    </row>
    <row r="47" spans="1:8" x14ac:dyDescent="0.2">
      <c r="A47" s="2" t="s">
        <v>58</v>
      </c>
      <c r="B47" s="4">
        <v>278</v>
      </c>
      <c r="C47" s="5">
        <v>3.55</v>
      </c>
      <c r="D47" s="4">
        <v>186</v>
      </c>
      <c r="E47" s="5">
        <v>4.67</v>
      </c>
      <c r="F47" s="4">
        <v>85</v>
      </c>
      <c r="G47" s="5">
        <v>2.23</v>
      </c>
      <c r="H47" s="4">
        <v>2</v>
      </c>
    </row>
    <row r="48" spans="1:8" x14ac:dyDescent="0.2">
      <c r="A48" s="2" t="s">
        <v>59</v>
      </c>
      <c r="B48" s="4">
        <v>361</v>
      </c>
      <c r="C48" s="5">
        <v>4.6100000000000003</v>
      </c>
      <c r="D48" s="4">
        <v>207</v>
      </c>
      <c r="E48" s="5">
        <v>5.2</v>
      </c>
      <c r="F48" s="4">
        <v>139</v>
      </c>
      <c r="G48" s="5">
        <v>3.65</v>
      </c>
      <c r="H48" s="4">
        <v>11</v>
      </c>
    </row>
    <row r="49" spans="1:8" x14ac:dyDescent="0.2">
      <c r="A49" s="2" t="s">
        <v>60</v>
      </c>
      <c r="B49" s="4">
        <v>236</v>
      </c>
      <c r="C49" s="5">
        <v>3.01</v>
      </c>
      <c r="D49" s="4">
        <v>76</v>
      </c>
      <c r="E49" s="5">
        <v>1.91</v>
      </c>
      <c r="F49" s="4">
        <v>154</v>
      </c>
      <c r="G49" s="5">
        <v>4.05</v>
      </c>
      <c r="H49" s="4">
        <v>4</v>
      </c>
    </row>
    <row r="50" spans="1:8" x14ac:dyDescent="0.2">
      <c r="A50" s="1" t="s">
        <v>3</v>
      </c>
      <c r="B50" s="4">
        <v>5376</v>
      </c>
      <c r="C50" s="5">
        <v>100.02</v>
      </c>
      <c r="D50" s="4">
        <v>2360</v>
      </c>
      <c r="E50" s="5">
        <v>99.97</v>
      </c>
      <c r="F50" s="4">
        <v>3004</v>
      </c>
      <c r="G50" s="5">
        <v>100.00000000000001</v>
      </c>
      <c r="H50" s="4">
        <v>4</v>
      </c>
    </row>
    <row r="51" spans="1:8" x14ac:dyDescent="0.2">
      <c r="A51" s="2" t="s">
        <v>46</v>
      </c>
      <c r="B51" s="4">
        <v>0</v>
      </c>
      <c r="C51" s="5">
        <v>0</v>
      </c>
      <c r="D51" s="4">
        <v>0</v>
      </c>
      <c r="E51" s="5">
        <v>0</v>
      </c>
      <c r="F51" s="4">
        <v>0</v>
      </c>
      <c r="G51" s="5">
        <v>0</v>
      </c>
      <c r="H51" s="4">
        <v>0</v>
      </c>
    </row>
    <row r="52" spans="1:8" x14ac:dyDescent="0.2">
      <c r="A52" s="2" t="s">
        <v>47</v>
      </c>
      <c r="B52" s="4">
        <v>823</v>
      </c>
      <c r="C52" s="5">
        <v>15.31</v>
      </c>
      <c r="D52" s="4">
        <v>161</v>
      </c>
      <c r="E52" s="5">
        <v>6.82</v>
      </c>
      <c r="F52" s="4">
        <v>662</v>
      </c>
      <c r="G52" s="5">
        <v>22.04</v>
      </c>
      <c r="H52" s="4">
        <v>0</v>
      </c>
    </row>
    <row r="53" spans="1:8" x14ac:dyDescent="0.2">
      <c r="A53" s="2" t="s">
        <v>48</v>
      </c>
      <c r="B53" s="4">
        <v>641</v>
      </c>
      <c r="C53" s="5">
        <v>11.92</v>
      </c>
      <c r="D53" s="4">
        <v>228</v>
      </c>
      <c r="E53" s="5">
        <v>9.66</v>
      </c>
      <c r="F53" s="4">
        <v>413</v>
      </c>
      <c r="G53" s="5">
        <v>13.75</v>
      </c>
      <c r="H53" s="4">
        <v>0</v>
      </c>
    </row>
    <row r="54" spans="1:8" x14ac:dyDescent="0.2">
      <c r="A54" s="2" t="s">
        <v>49</v>
      </c>
      <c r="B54" s="4">
        <v>2</v>
      </c>
      <c r="C54" s="5">
        <v>0.04</v>
      </c>
      <c r="D54" s="4">
        <v>0</v>
      </c>
      <c r="E54" s="5">
        <v>0</v>
      </c>
      <c r="F54" s="4">
        <v>2</v>
      </c>
      <c r="G54" s="5">
        <v>7.0000000000000007E-2</v>
      </c>
      <c r="H54" s="4">
        <v>0</v>
      </c>
    </row>
    <row r="55" spans="1:8" x14ac:dyDescent="0.2">
      <c r="A55" s="2" t="s">
        <v>50</v>
      </c>
      <c r="B55" s="4">
        <v>53</v>
      </c>
      <c r="C55" s="5">
        <v>0.99</v>
      </c>
      <c r="D55" s="4">
        <v>1</v>
      </c>
      <c r="E55" s="5">
        <v>0.04</v>
      </c>
      <c r="F55" s="4">
        <v>51</v>
      </c>
      <c r="G55" s="5">
        <v>1.7</v>
      </c>
      <c r="H55" s="4">
        <v>1</v>
      </c>
    </row>
    <row r="56" spans="1:8" x14ac:dyDescent="0.2">
      <c r="A56" s="2" t="s">
        <v>51</v>
      </c>
      <c r="B56" s="4">
        <v>38</v>
      </c>
      <c r="C56" s="5">
        <v>0.71</v>
      </c>
      <c r="D56" s="4">
        <v>5</v>
      </c>
      <c r="E56" s="5">
        <v>0.21</v>
      </c>
      <c r="F56" s="4">
        <v>33</v>
      </c>
      <c r="G56" s="5">
        <v>1.1000000000000001</v>
      </c>
      <c r="H56" s="4">
        <v>0</v>
      </c>
    </row>
    <row r="57" spans="1:8" x14ac:dyDescent="0.2">
      <c r="A57" s="2" t="s">
        <v>52</v>
      </c>
      <c r="B57" s="4">
        <v>1232</v>
      </c>
      <c r="C57" s="5">
        <v>22.92</v>
      </c>
      <c r="D57" s="4">
        <v>456</v>
      </c>
      <c r="E57" s="5">
        <v>19.32</v>
      </c>
      <c r="F57" s="4">
        <v>775</v>
      </c>
      <c r="G57" s="5">
        <v>25.8</v>
      </c>
      <c r="H57" s="4">
        <v>1</v>
      </c>
    </row>
    <row r="58" spans="1:8" x14ac:dyDescent="0.2">
      <c r="A58" s="2" t="s">
        <v>53</v>
      </c>
      <c r="B58" s="4">
        <v>43</v>
      </c>
      <c r="C58" s="5">
        <v>0.8</v>
      </c>
      <c r="D58" s="4">
        <v>10</v>
      </c>
      <c r="E58" s="5">
        <v>0.42</v>
      </c>
      <c r="F58" s="4">
        <v>33</v>
      </c>
      <c r="G58" s="5">
        <v>1.1000000000000001</v>
      </c>
      <c r="H58" s="4">
        <v>0</v>
      </c>
    </row>
    <row r="59" spans="1:8" x14ac:dyDescent="0.2">
      <c r="A59" s="2" t="s">
        <v>54</v>
      </c>
      <c r="B59" s="4">
        <v>618</v>
      </c>
      <c r="C59" s="5">
        <v>11.5</v>
      </c>
      <c r="D59" s="4">
        <v>195</v>
      </c>
      <c r="E59" s="5">
        <v>8.26</v>
      </c>
      <c r="F59" s="4">
        <v>423</v>
      </c>
      <c r="G59" s="5">
        <v>14.08</v>
      </c>
      <c r="H59" s="4">
        <v>0</v>
      </c>
    </row>
    <row r="60" spans="1:8" x14ac:dyDescent="0.2">
      <c r="A60" s="2" t="s">
        <v>55</v>
      </c>
      <c r="B60" s="4">
        <v>305</v>
      </c>
      <c r="C60" s="5">
        <v>5.67</v>
      </c>
      <c r="D60" s="4">
        <v>128</v>
      </c>
      <c r="E60" s="5">
        <v>5.42</v>
      </c>
      <c r="F60" s="4">
        <v>177</v>
      </c>
      <c r="G60" s="5">
        <v>5.89</v>
      </c>
      <c r="H60" s="4">
        <v>0</v>
      </c>
    </row>
    <row r="61" spans="1:8" x14ac:dyDescent="0.2">
      <c r="A61" s="2" t="s">
        <v>56</v>
      </c>
      <c r="B61" s="4">
        <v>452</v>
      </c>
      <c r="C61" s="5">
        <v>8.41</v>
      </c>
      <c r="D61" s="4">
        <v>377</v>
      </c>
      <c r="E61" s="5">
        <v>15.97</v>
      </c>
      <c r="F61" s="4">
        <v>72</v>
      </c>
      <c r="G61" s="5">
        <v>2.4</v>
      </c>
      <c r="H61" s="4">
        <v>0</v>
      </c>
    </row>
    <row r="62" spans="1:8" x14ac:dyDescent="0.2">
      <c r="A62" s="2" t="s">
        <v>57</v>
      </c>
      <c r="B62" s="4">
        <v>587</v>
      </c>
      <c r="C62" s="5">
        <v>10.92</v>
      </c>
      <c r="D62" s="4">
        <v>473</v>
      </c>
      <c r="E62" s="5">
        <v>20.04</v>
      </c>
      <c r="F62" s="4">
        <v>113</v>
      </c>
      <c r="G62" s="5">
        <v>3.76</v>
      </c>
      <c r="H62" s="4">
        <v>0</v>
      </c>
    </row>
    <row r="63" spans="1:8" x14ac:dyDescent="0.2">
      <c r="A63" s="2" t="s">
        <v>58</v>
      </c>
      <c r="B63" s="4">
        <v>160</v>
      </c>
      <c r="C63" s="5">
        <v>2.98</v>
      </c>
      <c r="D63" s="4">
        <v>111</v>
      </c>
      <c r="E63" s="5">
        <v>4.7</v>
      </c>
      <c r="F63" s="4">
        <v>47</v>
      </c>
      <c r="G63" s="5">
        <v>1.56</v>
      </c>
      <c r="H63" s="4">
        <v>1</v>
      </c>
    </row>
    <row r="64" spans="1:8" x14ac:dyDescent="0.2">
      <c r="A64" s="2" t="s">
        <v>59</v>
      </c>
      <c r="B64" s="4">
        <v>227</v>
      </c>
      <c r="C64" s="5">
        <v>4.22</v>
      </c>
      <c r="D64" s="4">
        <v>138</v>
      </c>
      <c r="E64" s="5">
        <v>5.85</v>
      </c>
      <c r="F64" s="4">
        <v>86</v>
      </c>
      <c r="G64" s="5">
        <v>2.86</v>
      </c>
      <c r="H64" s="4">
        <v>0</v>
      </c>
    </row>
    <row r="65" spans="1:8" x14ac:dyDescent="0.2">
      <c r="A65" s="2" t="s">
        <v>60</v>
      </c>
      <c r="B65" s="4">
        <v>195</v>
      </c>
      <c r="C65" s="5">
        <v>3.63</v>
      </c>
      <c r="D65" s="4">
        <v>77</v>
      </c>
      <c r="E65" s="5">
        <v>3.26</v>
      </c>
      <c r="F65" s="4">
        <v>117</v>
      </c>
      <c r="G65" s="5">
        <v>3.89</v>
      </c>
      <c r="H65" s="4">
        <v>1</v>
      </c>
    </row>
    <row r="66" spans="1:8" x14ac:dyDescent="0.2">
      <c r="A66" s="1" t="s">
        <v>4</v>
      </c>
      <c r="B66" s="4">
        <v>6280</v>
      </c>
      <c r="C66" s="5">
        <v>99.999999999999972</v>
      </c>
      <c r="D66" s="4">
        <v>3685</v>
      </c>
      <c r="E66" s="5">
        <v>100.00000000000001</v>
      </c>
      <c r="F66" s="4">
        <v>2577</v>
      </c>
      <c r="G66" s="5">
        <v>100</v>
      </c>
      <c r="H66" s="4">
        <v>8</v>
      </c>
    </row>
    <row r="67" spans="1:8" x14ac:dyDescent="0.2">
      <c r="A67" s="2" t="s">
        <v>46</v>
      </c>
      <c r="B67" s="4">
        <v>0</v>
      </c>
      <c r="C67" s="5">
        <v>0</v>
      </c>
      <c r="D67" s="4">
        <v>0</v>
      </c>
      <c r="E67" s="5">
        <v>0</v>
      </c>
      <c r="F67" s="4">
        <v>0</v>
      </c>
      <c r="G67" s="5">
        <v>0</v>
      </c>
      <c r="H67" s="4">
        <v>0</v>
      </c>
    </row>
    <row r="68" spans="1:8" x14ac:dyDescent="0.2">
      <c r="A68" s="2" t="s">
        <v>47</v>
      </c>
      <c r="B68" s="4">
        <v>937</v>
      </c>
      <c r="C68" s="5">
        <v>14.92</v>
      </c>
      <c r="D68" s="4">
        <v>375</v>
      </c>
      <c r="E68" s="5">
        <v>10.18</v>
      </c>
      <c r="F68" s="4">
        <v>562</v>
      </c>
      <c r="G68" s="5">
        <v>21.81</v>
      </c>
      <c r="H68" s="4">
        <v>0</v>
      </c>
    </row>
    <row r="69" spans="1:8" x14ac:dyDescent="0.2">
      <c r="A69" s="2" t="s">
        <v>48</v>
      </c>
      <c r="B69" s="4">
        <v>701</v>
      </c>
      <c r="C69" s="5">
        <v>11.16</v>
      </c>
      <c r="D69" s="4">
        <v>276</v>
      </c>
      <c r="E69" s="5">
        <v>7.49</v>
      </c>
      <c r="F69" s="4">
        <v>425</v>
      </c>
      <c r="G69" s="5">
        <v>16.489999999999998</v>
      </c>
      <c r="H69" s="4">
        <v>0</v>
      </c>
    </row>
    <row r="70" spans="1:8" x14ac:dyDescent="0.2">
      <c r="A70" s="2" t="s">
        <v>49</v>
      </c>
      <c r="B70" s="4">
        <v>7</v>
      </c>
      <c r="C70" s="5">
        <v>0.11</v>
      </c>
      <c r="D70" s="4">
        <v>0</v>
      </c>
      <c r="E70" s="5">
        <v>0</v>
      </c>
      <c r="F70" s="4">
        <v>7</v>
      </c>
      <c r="G70" s="5">
        <v>0.27</v>
      </c>
      <c r="H70" s="4">
        <v>0</v>
      </c>
    </row>
    <row r="71" spans="1:8" x14ac:dyDescent="0.2">
      <c r="A71" s="2" t="s">
        <v>50</v>
      </c>
      <c r="B71" s="4">
        <v>40</v>
      </c>
      <c r="C71" s="5">
        <v>0.64</v>
      </c>
      <c r="D71" s="4">
        <v>7</v>
      </c>
      <c r="E71" s="5">
        <v>0.19</v>
      </c>
      <c r="F71" s="4">
        <v>33</v>
      </c>
      <c r="G71" s="5">
        <v>1.28</v>
      </c>
      <c r="H71" s="4">
        <v>0</v>
      </c>
    </row>
    <row r="72" spans="1:8" x14ac:dyDescent="0.2">
      <c r="A72" s="2" t="s">
        <v>51</v>
      </c>
      <c r="B72" s="4">
        <v>117</v>
      </c>
      <c r="C72" s="5">
        <v>1.86</v>
      </c>
      <c r="D72" s="4">
        <v>18</v>
      </c>
      <c r="E72" s="5">
        <v>0.49</v>
      </c>
      <c r="F72" s="4">
        <v>98</v>
      </c>
      <c r="G72" s="5">
        <v>3.8</v>
      </c>
      <c r="H72" s="4">
        <v>1</v>
      </c>
    </row>
    <row r="73" spans="1:8" x14ac:dyDescent="0.2">
      <c r="A73" s="2" t="s">
        <v>52</v>
      </c>
      <c r="B73" s="4">
        <v>1475</v>
      </c>
      <c r="C73" s="5">
        <v>23.49</v>
      </c>
      <c r="D73" s="4">
        <v>820</v>
      </c>
      <c r="E73" s="5">
        <v>22.25</v>
      </c>
      <c r="F73" s="4">
        <v>653</v>
      </c>
      <c r="G73" s="5">
        <v>25.34</v>
      </c>
      <c r="H73" s="4">
        <v>2</v>
      </c>
    </row>
    <row r="74" spans="1:8" x14ac:dyDescent="0.2">
      <c r="A74" s="2" t="s">
        <v>53</v>
      </c>
      <c r="B74" s="4">
        <v>45</v>
      </c>
      <c r="C74" s="5">
        <v>0.72</v>
      </c>
      <c r="D74" s="4">
        <v>10</v>
      </c>
      <c r="E74" s="5">
        <v>0.27</v>
      </c>
      <c r="F74" s="4">
        <v>35</v>
      </c>
      <c r="G74" s="5">
        <v>1.36</v>
      </c>
      <c r="H74" s="4">
        <v>0</v>
      </c>
    </row>
    <row r="75" spans="1:8" x14ac:dyDescent="0.2">
      <c r="A75" s="2" t="s">
        <v>54</v>
      </c>
      <c r="B75" s="4">
        <v>475</v>
      </c>
      <c r="C75" s="5">
        <v>7.56</v>
      </c>
      <c r="D75" s="4">
        <v>234</v>
      </c>
      <c r="E75" s="5">
        <v>6.35</v>
      </c>
      <c r="F75" s="4">
        <v>240</v>
      </c>
      <c r="G75" s="5">
        <v>9.31</v>
      </c>
      <c r="H75" s="4">
        <v>1</v>
      </c>
    </row>
    <row r="76" spans="1:8" x14ac:dyDescent="0.2">
      <c r="A76" s="2" t="s">
        <v>55</v>
      </c>
      <c r="B76" s="4">
        <v>279</v>
      </c>
      <c r="C76" s="5">
        <v>4.4400000000000004</v>
      </c>
      <c r="D76" s="4">
        <v>162</v>
      </c>
      <c r="E76" s="5">
        <v>4.4000000000000004</v>
      </c>
      <c r="F76" s="4">
        <v>115</v>
      </c>
      <c r="G76" s="5">
        <v>4.46</v>
      </c>
      <c r="H76" s="4">
        <v>0</v>
      </c>
    </row>
    <row r="77" spans="1:8" x14ac:dyDescent="0.2">
      <c r="A77" s="2" t="s">
        <v>56</v>
      </c>
      <c r="B77" s="4">
        <v>720</v>
      </c>
      <c r="C77" s="5">
        <v>11.46</v>
      </c>
      <c r="D77" s="4">
        <v>635</v>
      </c>
      <c r="E77" s="5">
        <v>17.23</v>
      </c>
      <c r="F77" s="4">
        <v>84</v>
      </c>
      <c r="G77" s="5">
        <v>3.26</v>
      </c>
      <c r="H77" s="4">
        <v>0</v>
      </c>
    </row>
    <row r="78" spans="1:8" x14ac:dyDescent="0.2">
      <c r="A78" s="2" t="s">
        <v>57</v>
      </c>
      <c r="B78" s="4">
        <v>773</v>
      </c>
      <c r="C78" s="5">
        <v>12.31</v>
      </c>
      <c r="D78" s="4">
        <v>658</v>
      </c>
      <c r="E78" s="5">
        <v>17.86</v>
      </c>
      <c r="F78" s="4">
        <v>112</v>
      </c>
      <c r="G78" s="5">
        <v>4.3499999999999996</v>
      </c>
      <c r="H78" s="4">
        <v>0</v>
      </c>
    </row>
    <row r="79" spans="1:8" x14ac:dyDescent="0.2">
      <c r="A79" s="2" t="s">
        <v>58</v>
      </c>
      <c r="B79" s="4">
        <v>224</v>
      </c>
      <c r="C79" s="5">
        <v>3.57</v>
      </c>
      <c r="D79" s="4">
        <v>198</v>
      </c>
      <c r="E79" s="5">
        <v>5.37</v>
      </c>
      <c r="F79" s="4">
        <v>23</v>
      </c>
      <c r="G79" s="5">
        <v>0.89</v>
      </c>
      <c r="H79" s="4">
        <v>2</v>
      </c>
    </row>
    <row r="80" spans="1:8" x14ac:dyDescent="0.2">
      <c r="A80" s="2" t="s">
        <v>59</v>
      </c>
      <c r="B80" s="4">
        <v>271</v>
      </c>
      <c r="C80" s="5">
        <v>4.32</v>
      </c>
      <c r="D80" s="4">
        <v>184</v>
      </c>
      <c r="E80" s="5">
        <v>4.99</v>
      </c>
      <c r="F80" s="4">
        <v>86</v>
      </c>
      <c r="G80" s="5">
        <v>3.34</v>
      </c>
      <c r="H80" s="4">
        <v>0</v>
      </c>
    </row>
    <row r="81" spans="1:8" x14ac:dyDescent="0.2">
      <c r="A81" s="2" t="s">
        <v>60</v>
      </c>
      <c r="B81" s="4">
        <v>216</v>
      </c>
      <c r="C81" s="5">
        <v>3.44</v>
      </c>
      <c r="D81" s="4">
        <v>108</v>
      </c>
      <c r="E81" s="5">
        <v>2.93</v>
      </c>
      <c r="F81" s="4">
        <v>104</v>
      </c>
      <c r="G81" s="5">
        <v>4.04</v>
      </c>
      <c r="H81" s="4">
        <v>2</v>
      </c>
    </row>
    <row r="82" spans="1:8" x14ac:dyDescent="0.2">
      <c r="A82" s="1" t="s">
        <v>5</v>
      </c>
      <c r="B82" s="4">
        <v>19909</v>
      </c>
      <c r="C82" s="5">
        <v>100.00000000000001</v>
      </c>
      <c r="D82" s="4">
        <v>9186</v>
      </c>
      <c r="E82" s="5">
        <v>100</v>
      </c>
      <c r="F82" s="4">
        <v>10656</v>
      </c>
      <c r="G82" s="5">
        <v>100.02000000000002</v>
      </c>
      <c r="H82" s="4">
        <v>24</v>
      </c>
    </row>
    <row r="83" spans="1:8" x14ac:dyDescent="0.2">
      <c r="A83" s="2" t="s">
        <v>46</v>
      </c>
      <c r="B83" s="4">
        <v>7</v>
      </c>
      <c r="C83" s="5">
        <v>0.04</v>
      </c>
      <c r="D83" s="4">
        <v>0</v>
      </c>
      <c r="E83" s="5">
        <v>0</v>
      </c>
      <c r="F83" s="4">
        <v>7</v>
      </c>
      <c r="G83" s="5">
        <v>7.0000000000000007E-2</v>
      </c>
      <c r="H83" s="4">
        <v>0</v>
      </c>
    </row>
    <row r="84" spans="1:8" x14ac:dyDescent="0.2">
      <c r="A84" s="2" t="s">
        <v>47</v>
      </c>
      <c r="B84" s="4">
        <v>2860</v>
      </c>
      <c r="C84" s="5">
        <v>14.37</v>
      </c>
      <c r="D84" s="4">
        <v>768</v>
      </c>
      <c r="E84" s="5">
        <v>8.36</v>
      </c>
      <c r="F84" s="4">
        <v>2091</v>
      </c>
      <c r="G84" s="5">
        <v>19.62</v>
      </c>
      <c r="H84" s="4">
        <v>1</v>
      </c>
    </row>
    <row r="85" spans="1:8" x14ac:dyDescent="0.2">
      <c r="A85" s="2" t="s">
        <v>48</v>
      </c>
      <c r="B85" s="4">
        <v>2501</v>
      </c>
      <c r="C85" s="5">
        <v>12.56</v>
      </c>
      <c r="D85" s="4">
        <v>755</v>
      </c>
      <c r="E85" s="5">
        <v>8.2200000000000006</v>
      </c>
      <c r="F85" s="4">
        <v>1738</v>
      </c>
      <c r="G85" s="5">
        <v>16.309999999999999</v>
      </c>
      <c r="H85" s="4">
        <v>8</v>
      </c>
    </row>
    <row r="86" spans="1:8" x14ac:dyDescent="0.2">
      <c r="A86" s="2" t="s">
        <v>49</v>
      </c>
      <c r="B86" s="4">
        <v>67</v>
      </c>
      <c r="C86" s="5">
        <v>0.34</v>
      </c>
      <c r="D86" s="4">
        <v>0</v>
      </c>
      <c r="E86" s="5">
        <v>0</v>
      </c>
      <c r="F86" s="4">
        <v>66</v>
      </c>
      <c r="G86" s="5">
        <v>0.62</v>
      </c>
      <c r="H86" s="4">
        <v>0</v>
      </c>
    </row>
    <row r="87" spans="1:8" x14ac:dyDescent="0.2">
      <c r="A87" s="2" t="s">
        <v>50</v>
      </c>
      <c r="B87" s="4">
        <v>210</v>
      </c>
      <c r="C87" s="5">
        <v>1.05</v>
      </c>
      <c r="D87" s="4">
        <v>13</v>
      </c>
      <c r="E87" s="5">
        <v>0.14000000000000001</v>
      </c>
      <c r="F87" s="4">
        <v>197</v>
      </c>
      <c r="G87" s="5">
        <v>1.85</v>
      </c>
      <c r="H87" s="4">
        <v>0</v>
      </c>
    </row>
    <row r="88" spans="1:8" x14ac:dyDescent="0.2">
      <c r="A88" s="2" t="s">
        <v>51</v>
      </c>
      <c r="B88" s="4">
        <v>178</v>
      </c>
      <c r="C88" s="5">
        <v>0.89</v>
      </c>
      <c r="D88" s="4">
        <v>32</v>
      </c>
      <c r="E88" s="5">
        <v>0.35</v>
      </c>
      <c r="F88" s="4">
        <v>143</v>
      </c>
      <c r="G88" s="5">
        <v>1.34</v>
      </c>
      <c r="H88" s="4">
        <v>3</v>
      </c>
    </row>
    <row r="89" spans="1:8" x14ac:dyDescent="0.2">
      <c r="A89" s="2" t="s">
        <v>52</v>
      </c>
      <c r="B89" s="4">
        <v>4382</v>
      </c>
      <c r="C89" s="5">
        <v>22.01</v>
      </c>
      <c r="D89" s="4">
        <v>1755</v>
      </c>
      <c r="E89" s="5">
        <v>19.11</v>
      </c>
      <c r="F89" s="4">
        <v>2623</v>
      </c>
      <c r="G89" s="5">
        <v>24.62</v>
      </c>
      <c r="H89" s="4">
        <v>4</v>
      </c>
    </row>
    <row r="90" spans="1:8" x14ac:dyDescent="0.2">
      <c r="A90" s="2" t="s">
        <v>53</v>
      </c>
      <c r="B90" s="4">
        <v>136</v>
      </c>
      <c r="C90" s="5">
        <v>0.68</v>
      </c>
      <c r="D90" s="4">
        <v>18</v>
      </c>
      <c r="E90" s="5">
        <v>0.2</v>
      </c>
      <c r="F90" s="4">
        <v>118</v>
      </c>
      <c r="G90" s="5">
        <v>1.1100000000000001</v>
      </c>
      <c r="H90" s="4">
        <v>0</v>
      </c>
    </row>
    <row r="91" spans="1:8" x14ac:dyDescent="0.2">
      <c r="A91" s="2" t="s">
        <v>54</v>
      </c>
      <c r="B91" s="4">
        <v>1933</v>
      </c>
      <c r="C91" s="5">
        <v>9.7100000000000009</v>
      </c>
      <c r="D91" s="4">
        <v>611</v>
      </c>
      <c r="E91" s="5">
        <v>6.65</v>
      </c>
      <c r="F91" s="4">
        <v>1321</v>
      </c>
      <c r="G91" s="5">
        <v>12.4</v>
      </c>
      <c r="H91" s="4">
        <v>1</v>
      </c>
    </row>
    <row r="92" spans="1:8" x14ac:dyDescent="0.2">
      <c r="A92" s="2" t="s">
        <v>55</v>
      </c>
      <c r="B92" s="4">
        <v>1207</v>
      </c>
      <c r="C92" s="5">
        <v>6.06</v>
      </c>
      <c r="D92" s="4">
        <v>634</v>
      </c>
      <c r="E92" s="5">
        <v>6.9</v>
      </c>
      <c r="F92" s="4">
        <v>567</v>
      </c>
      <c r="G92" s="5">
        <v>5.32</v>
      </c>
      <c r="H92" s="4">
        <v>0</v>
      </c>
    </row>
    <row r="93" spans="1:8" x14ac:dyDescent="0.2">
      <c r="A93" s="2" t="s">
        <v>56</v>
      </c>
      <c r="B93" s="4">
        <v>1913</v>
      </c>
      <c r="C93" s="5">
        <v>9.61</v>
      </c>
      <c r="D93" s="4">
        <v>1495</v>
      </c>
      <c r="E93" s="5">
        <v>16.27</v>
      </c>
      <c r="F93" s="4">
        <v>412</v>
      </c>
      <c r="G93" s="5">
        <v>3.87</v>
      </c>
      <c r="H93" s="4">
        <v>1</v>
      </c>
    </row>
    <row r="94" spans="1:8" x14ac:dyDescent="0.2">
      <c r="A94" s="2" t="s">
        <v>57</v>
      </c>
      <c r="B94" s="4">
        <v>2330</v>
      </c>
      <c r="C94" s="5">
        <v>11.7</v>
      </c>
      <c r="D94" s="4">
        <v>1831</v>
      </c>
      <c r="E94" s="5">
        <v>19.93</v>
      </c>
      <c r="F94" s="4">
        <v>495</v>
      </c>
      <c r="G94" s="5">
        <v>4.6500000000000004</v>
      </c>
      <c r="H94" s="4">
        <v>1</v>
      </c>
    </row>
    <row r="95" spans="1:8" x14ac:dyDescent="0.2">
      <c r="A95" s="2" t="s">
        <v>58</v>
      </c>
      <c r="B95" s="4">
        <v>734</v>
      </c>
      <c r="C95" s="5">
        <v>3.69</v>
      </c>
      <c r="D95" s="4">
        <v>545</v>
      </c>
      <c r="E95" s="5">
        <v>5.93</v>
      </c>
      <c r="F95" s="4">
        <v>173</v>
      </c>
      <c r="G95" s="5">
        <v>1.62</v>
      </c>
      <c r="H95" s="4">
        <v>3</v>
      </c>
    </row>
    <row r="96" spans="1:8" x14ac:dyDescent="0.2">
      <c r="A96" s="2" t="s">
        <v>59</v>
      </c>
      <c r="B96" s="4">
        <v>818</v>
      </c>
      <c r="C96" s="5">
        <v>4.1100000000000003</v>
      </c>
      <c r="D96" s="4">
        <v>515</v>
      </c>
      <c r="E96" s="5">
        <v>5.61</v>
      </c>
      <c r="F96" s="4">
        <v>295</v>
      </c>
      <c r="G96" s="5">
        <v>2.77</v>
      </c>
      <c r="H96" s="4">
        <v>0</v>
      </c>
    </row>
    <row r="97" spans="1:8" x14ac:dyDescent="0.2">
      <c r="A97" s="2" t="s">
        <v>60</v>
      </c>
      <c r="B97" s="4">
        <v>633</v>
      </c>
      <c r="C97" s="5">
        <v>3.18</v>
      </c>
      <c r="D97" s="4">
        <v>214</v>
      </c>
      <c r="E97" s="5">
        <v>2.33</v>
      </c>
      <c r="F97" s="4">
        <v>410</v>
      </c>
      <c r="G97" s="5">
        <v>3.85</v>
      </c>
      <c r="H97" s="4">
        <v>2</v>
      </c>
    </row>
    <row r="98" spans="1:8" x14ac:dyDescent="0.2">
      <c r="A98" s="1" t="s">
        <v>6</v>
      </c>
      <c r="B98" s="4">
        <v>7140</v>
      </c>
      <c r="C98" s="5">
        <v>99.989999999999981</v>
      </c>
      <c r="D98" s="4">
        <v>3181</v>
      </c>
      <c r="E98" s="5">
        <v>99.99</v>
      </c>
      <c r="F98" s="4">
        <v>3947</v>
      </c>
      <c r="G98" s="5">
        <v>100</v>
      </c>
      <c r="H98" s="4">
        <v>3</v>
      </c>
    </row>
    <row r="99" spans="1:8" x14ac:dyDescent="0.2">
      <c r="A99" s="2" t="s">
        <v>46</v>
      </c>
      <c r="B99" s="4">
        <v>0</v>
      </c>
      <c r="C99" s="5">
        <v>0</v>
      </c>
      <c r="D99" s="4">
        <v>0</v>
      </c>
      <c r="E99" s="5">
        <v>0</v>
      </c>
      <c r="F99" s="4">
        <v>0</v>
      </c>
      <c r="G99" s="5">
        <v>0</v>
      </c>
      <c r="H99" s="4">
        <v>0</v>
      </c>
    </row>
    <row r="100" spans="1:8" x14ac:dyDescent="0.2">
      <c r="A100" s="2" t="s">
        <v>47</v>
      </c>
      <c r="B100" s="4">
        <v>677</v>
      </c>
      <c r="C100" s="5">
        <v>9.48</v>
      </c>
      <c r="D100" s="4">
        <v>121</v>
      </c>
      <c r="E100" s="5">
        <v>3.8</v>
      </c>
      <c r="F100" s="4">
        <v>556</v>
      </c>
      <c r="G100" s="5">
        <v>14.09</v>
      </c>
      <c r="H100" s="4">
        <v>0</v>
      </c>
    </row>
    <row r="101" spans="1:8" x14ac:dyDescent="0.2">
      <c r="A101" s="2" t="s">
        <v>48</v>
      </c>
      <c r="B101" s="4">
        <v>545</v>
      </c>
      <c r="C101" s="5">
        <v>7.63</v>
      </c>
      <c r="D101" s="4">
        <v>133</v>
      </c>
      <c r="E101" s="5">
        <v>4.18</v>
      </c>
      <c r="F101" s="4">
        <v>412</v>
      </c>
      <c r="G101" s="5">
        <v>10.44</v>
      </c>
      <c r="H101" s="4">
        <v>0</v>
      </c>
    </row>
    <row r="102" spans="1:8" x14ac:dyDescent="0.2">
      <c r="A102" s="2" t="s">
        <v>49</v>
      </c>
      <c r="B102" s="4">
        <v>16</v>
      </c>
      <c r="C102" s="5">
        <v>0.22</v>
      </c>
      <c r="D102" s="4">
        <v>0</v>
      </c>
      <c r="E102" s="5">
        <v>0</v>
      </c>
      <c r="F102" s="4">
        <v>16</v>
      </c>
      <c r="G102" s="5">
        <v>0.41</v>
      </c>
      <c r="H102" s="4">
        <v>0</v>
      </c>
    </row>
    <row r="103" spans="1:8" x14ac:dyDescent="0.2">
      <c r="A103" s="2" t="s">
        <v>50</v>
      </c>
      <c r="B103" s="4">
        <v>108</v>
      </c>
      <c r="C103" s="5">
        <v>1.51</v>
      </c>
      <c r="D103" s="4">
        <v>6</v>
      </c>
      <c r="E103" s="5">
        <v>0.19</v>
      </c>
      <c r="F103" s="4">
        <v>102</v>
      </c>
      <c r="G103" s="5">
        <v>2.58</v>
      </c>
      <c r="H103" s="4">
        <v>0</v>
      </c>
    </row>
    <row r="104" spans="1:8" x14ac:dyDescent="0.2">
      <c r="A104" s="2" t="s">
        <v>51</v>
      </c>
      <c r="B104" s="4">
        <v>40</v>
      </c>
      <c r="C104" s="5">
        <v>0.56000000000000005</v>
      </c>
      <c r="D104" s="4">
        <v>8</v>
      </c>
      <c r="E104" s="5">
        <v>0.25</v>
      </c>
      <c r="F104" s="4">
        <v>32</v>
      </c>
      <c r="G104" s="5">
        <v>0.81</v>
      </c>
      <c r="H104" s="4">
        <v>0</v>
      </c>
    </row>
    <row r="105" spans="1:8" x14ac:dyDescent="0.2">
      <c r="A105" s="2" t="s">
        <v>52</v>
      </c>
      <c r="B105" s="4">
        <v>1568</v>
      </c>
      <c r="C105" s="5">
        <v>21.96</v>
      </c>
      <c r="D105" s="4">
        <v>564</v>
      </c>
      <c r="E105" s="5">
        <v>17.73</v>
      </c>
      <c r="F105" s="4">
        <v>1003</v>
      </c>
      <c r="G105" s="5">
        <v>25.41</v>
      </c>
      <c r="H105" s="4">
        <v>1</v>
      </c>
    </row>
    <row r="106" spans="1:8" x14ac:dyDescent="0.2">
      <c r="A106" s="2" t="s">
        <v>53</v>
      </c>
      <c r="B106" s="4">
        <v>66</v>
      </c>
      <c r="C106" s="5">
        <v>0.92</v>
      </c>
      <c r="D106" s="4">
        <v>5</v>
      </c>
      <c r="E106" s="5">
        <v>0.16</v>
      </c>
      <c r="F106" s="4">
        <v>61</v>
      </c>
      <c r="G106" s="5">
        <v>1.55</v>
      </c>
      <c r="H106" s="4">
        <v>0</v>
      </c>
    </row>
    <row r="107" spans="1:8" x14ac:dyDescent="0.2">
      <c r="A107" s="2" t="s">
        <v>54</v>
      </c>
      <c r="B107" s="4">
        <v>906</v>
      </c>
      <c r="C107" s="5">
        <v>12.69</v>
      </c>
      <c r="D107" s="4">
        <v>236</v>
      </c>
      <c r="E107" s="5">
        <v>7.42</v>
      </c>
      <c r="F107" s="4">
        <v>670</v>
      </c>
      <c r="G107" s="5">
        <v>16.97</v>
      </c>
      <c r="H107" s="4">
        <v>0</v>
      </c>
    </row>
    <row r="108" spans="1:8" x14ac:dyDescent="0.2">
      <c r="A108" s="2" t="s">
        <v>55</v>
      </c>
      <c r="B108" s="4">
        <v>566</v>
      </c>
      <c r="C108" s="5">
        <v>7.93</v>
      </c>
      <c r="D108" s="4">
        <v>294</v>
      </c>
      <c r="E108" s="5">
        <v>9.24</v>
      </c>
      <c r="F108" s="4">
        <v>270</v>
      </c>
      <c r="G108" s="5">
        <v>6.84</v>
      </c>
      <c r="H108" s="4">
        <v>0</v>
      </c>
    </row>
    <row r="109" spans="1:8" x14ac:dyDescent="0.2">
      <c r="A109" s="2" t="s">
        <v>56</v>
      </c>
      <c r="B109" s="4">
        <v>1025</v>
      </c>
      <c r="C109" s="5">
        <v>14.36</v>
      </c>
      <c r="D109" s="4">
        <v>789</v>
      </c>
      <c r="E109" s="5">
        <v>24.8</v>
      </c>
      <c r="F109" s="4">
        <v>236</v>
      </c>
      <c r="G109" s="5">
        <v>5.98</v>
      </c>
      <c r="H109" s="4">
        <v>0</v>
      </c>
    </row>
    <row r="110" spans="1:8" x14ac:dyDescent="0.2">
      <c r="A110" s="2" t="s">
        <v>57</v>
      </c>
      <c r="B110" s="4">
        <v>869</v>
      </c>
      <c r="C110" s="5">
        <v>12.17</v>
      </c>
      <c r="D110" s="4">
        <v>638</v>
      </c>
      <c r="E110" s="5">
        <v>20.059999999999999</v>
      </c>
      <c r="F110" s="4">
        <v>230</v>
      </c>
      <c r="G110" s="5">
        <v>5.83</v>
      </c>
      <c r="H110" s="4">
        <v>1</v>
      </c>
    </row>
    <row r="111" spans="1:8" x14ac:dyDescent="0.2">
      <c r="A111" s="2" t="s">
        <v>58</v>
      </c>
      <c r="B111" s="4">
        <v>257</v>
      </c>
      <c r="C111" s="5">
        <v>3.6</v>
      </c>
      <c r="D111" s="4">
        <v>167</v>
      </c>
      <c r="E111" s="5">
        <v>5.25</v>
      </c>
      <c r="F111" s="4">
        <v>89</v>
      </c>
      <c r="G111" s="5">
        <v>2.25</v>
      </c>
      <c r="H111" s="4">
        <v>0</v>
      </c>
    </row>
    <row r="112" spans="1:8" x14ac:dyDescent="0.2">
      <c r="A112" s="2" t="s">
        <v>59</v>
      </c>
      <c r="B112" s="4">
        <v>289</v>
      </c>
      <c r="C112" s="5">
        <v>4.05</v>
      </c>
      <c r="D112" s="4">
        <v>182</v>
      </c>
      <c r="E112" s="5">
        <v>5.72</v>
      </c>
      <c r="F112" s="4">
        <v>101</v>
      </c>
      <c r="G112" s="5">
        <v>2.56</v>
      </c>
      <c r="H112" s="4">
        <v>0</v>
      </c>
    </row>
    <row r="113" spans="1:8" x14ac:dyDescent="0.2">
      <c r="A113" s="2" t="s">
        <v>60</v>
      </c>
      <c r="B113" s="4">
        <v>208</v>
      </c>
      <c r="C113" s="5">
        <v>2.91</v>
      </c>
      <c r="D113" s="4">
        <v>38</v>
      </c>
      <c r="E113" s="5">
        <v>1.19</v>
      </c>
      <c r="F113" s="4">
        <v>169</v>
      </c>
      <c r="G113" s="5">
        <v>4.28</v>
      </c>
      <c r="H113" s="4">
        <v>1</v>
      </c>
    </row>
    <row r="114" spans="1:8" x14ac:dyDescent="0.2">
      <c r="A114" s="1" t="s">
        <v>7</v>
      </c>
      <c r="B114" s="4">
        <v>3346</v>
      </c>
      <c r="C114" s="5">
        <v>100.00999999999999</v>
      </c>
      <c r="D114" s="4">
        <v>1383</v>
      </c>
      <c r="E114" s="5">
        <v>99.999999999999986</v>
      </c>
      <c r="F114" s="4">
        <v>1962</v>
      </c>
      <c r="G114" s="5">
        <v>100.01</v>
      </c>
      <c r="H114" s="4">
        <v>0</v>
      </c>
    </row>
    <row r="115" spans="1:8" x14ac:dyDescent="0.2">
      <c r="A115" s="2" t="s">
        <v>46</v>
      </c>
      <c r="B115" s="4">
        <v>2</v>
      </c>
      <c r="C115" s="5">
        <v>0.06</v>
      </c>
      <c r="D115" s="4">
        <v>0</v>
      </c>
      <c r="E115" s="5">
        <v>0</v>
      </c>
      <c r="F115" s="4">
        <v>2</v>
      </c>
      <c r="G115" s="5">
        <v>0.1</v>
      </c>
      <c r="H115" s="4">
        <v>0</v>
      </c>
    </row>
    <row r="116" spans="1:8" x14ac:dyDescent="0.2">
      <c r="A116" s="2" t="s">
        <v>47</v>
      </c>
      <c r="B116" s="4">
        <v>519</v>
      </c>
      <c r="C116" s="5">
        <v>15.51</v>
      </c>
      <c r="D116" s="4">
        <v>109</v>
      </c>
      <c r="E116" s="5">
        <v>7.88</v>
      </c>
      <c r="F116" s="4">
        <v>410</v>
      </c>
      <c r="G116" s="5">
        <v>20.9</v>
      </c>
      <c r="H116" s="4">
        <v>0</v>
      </c>
    </row>
    <row r="117" spans="1:8" x14ac:dyDescent="0.2">
      <c r="A117" s="2" t="s">
        <v>48</v>
      </c>
      <c r="B117" s="4">
        <v>557</v>
      </c>
      <c r="C117" s="5">
        <v>16.649999999999999</v>
      </c>
      <c r="D117" s="4">
        <v>164</v>
      </c>
      <c r="E117" s="5">
        <v>11.86</v>
      </c>
      <c r="F117" s="4">
        <v>393</v>
      </c>
      <c r="G117" s="5">
        <v>20.03</v>
      </c>
      <c r="H117" s="4">
        <v>0</v>
      </c>
    </row>
    <row r="118" spans="1:8" x14ac:dyDescent="0.2">
      <c r="A118" s="2" t="s">
        <v>49</v>
      </c>
      <c r="B118" s="4">
        <v>7</v>
      </c>
      <c r="C118" s="5">
        <v>0.21</v>
      </c>
      <c r="D118" s="4">
        <v>0</v>
      </c>
      <c r="E118" s="5">
        <v>0</v>
      </c>
      <c r="F118" s="4">
        <v>6</v>
      </c>
      <c r="G118" s="5">
        <v>0.31</v>
      </c>
      <c r="H118" s="4">
        <v>0</v>
      </c>
    </row>
    <row r="119" spans="1:8" x14ac:dyDescent="0.2">
      <c r="A119" s="2" t="s">
        <v>50</v>
      </c>
      <c r="B119" s="4">
        <v>29</v>
      </c>
      <c r="C119" s="5">
        <v>0.87</v>
      </c>
      <c r="D119" s="4">
        <v>3</v>
      </c>
      <c r="E119" s="5">
        <v>0.22</v>
      </c>
      <c r="F119" s="4">
        <v>26</v>
      </c>
      <c r="G119" s="5">
        <v>1.33</v>
      </c>
      <c r="H119" s="4">
        <v>0</v>
      </c>
    </row>
    <row r="120" spans="1:8" x14ac:dyDescent="0.2">
      <c r="A120" s="2" t="s">
        <v>51</v>
      </c>
      <c r="B120" s="4">
        <v>47</v>
      </c>
      <c r="C120" s="5">
        <v>1.4</v>
      </c>
      <c r="D120" s="4">
        <v>6</v>
      </c>
      <c r="E120" s="5">
        <v>0.43</v>
      </c>
      <c r="F120" s="4">
        <v>41</v>
      </c>
      <c r="G120" s="5">
        <v>2.09</v>
      </c>
      <c r="H120" s="4">
        <v>0</v>
      </c>
    </row>
    <row r="121" spans="1:8" x14ac:dyDescent="0.2">
      <c r="A121" s="2" t="s">
        <v>52</v>
      </c>
      <c r="B121" s="4">
        <v>751</v>
      </c>
      <c r="C121" s="5">
        <v>22.44</v>
      </c>
      <c r="D121" s="4">
        <v>243</v>
      </c>
      <c r="E121" s="5">
        <v>17.57</v>
      </c>
      <c r="F121" s="4">
        <v>508</v>
      </c>
      <c r="G121" s="5">
        <v>25.89</v>
      </c>
      <c r="H121" s="4">
        <v>0</v>
      </c>
    </row>
    <row r="122" spans="1:8" x14ac:dyDescent="0.2">
      <c r="A122" s="2" t="s">
        <v>53</v>
      </c>
      <c r="B122" s="4">
        <v>18</v>
      </c>
      <c r="C122" s="5">
        <v>0.54</v>
      </c>
      <c r="D122" s="4">
        <v>3</v>
      </c>
      <c r="E122" s="5">
        <v>0.22</v>
      </c>
      <c r="F122" s="4">
        <v>15</v>
      </c>
      <c r="G122" s="5">
        <v>0.76</v>
      </c>
      <c r="H122" s="4">
        <v>0</v>
      </c>
    </row>
    <row r="123" spans="1:8" x14ac:dyDescent="0.2">
      <c r="A123" s="2" t="s">
        <v>54</v>
      </c>
      <c r="B123" s="4">
        <v>295</v>
      </c>
      <c r="C123" s="5">
        <v>8.82</v>
      </c>
      <c r="D123" s="4">
        <v>81</v>
      </c>
      <c r="E123" s="5">
        <v>5.86</v>
      </c>
      <c r="F123" s="4">
        <v>214</v>
      </c>
      <c r="G123" s="5">
        <v>10.91</v>
      </c>
      <c r="H123" s="4">
        <v>0</v>
      </c>
    </row>
    <row r="124" spans="1:8" x14ac:dyDescent="0.2">
      <c r="A124" s="2" t="s">
        <v>55</v>
      </c>
      <c r="B124" s="4">
        <v>191</v>
      </c>
      <c r="C124" s="5">
        <v>5.71</v>
      </c>
      <c r="D124" s="4">
        <v>95</v>
      </c>
      <c r="E124" s="5">
        <v>6.87</v>
      </c>
      <c r="F124" s="4">
        <v>96</v>
      </c>
      <c r="G124" s="5">
        <v>4.8899999999999997</v>
      </c>
      <c r="H124" s="4">
        <v>0</v>
      </c>
    </row>
    <row r="125" spans="1:8" x14ac:dyDescent="0.2">
      <c r="A125" s="2" t="s">
        <v>56</v>
      </c>
      <c r="B125" s="4">
        <v>219</v>
      </c>
      <c r="C125" s="5">
        <v>6.55</v>
      </c>
      <c r="D125" s="4">
        <v>179</v>
      </c>
      <c r="E125" s="5">
        <v>12.94</v>
      </c>
      <c r="F125" s="4">
        <v>40</v>
      </c>
      <c r="G125" s="5">
        <v>2.04</v>
      </c>
      <c r="H125" s="4">
        <v>0</v>
      </c>
    </row>
    <row r="126" spans="1:8" x14ac:dyDescent="0.2">
      <c r="A126" s="2" t="s">
        <v>57</v>
      </c>
      <c r="B126" s="4">
        <v>355</v>
      </c>
      <c r="C126" s="5">
        <v>10.61</v>
      </c>
      <c r="D126" s="4">
        <v>285</v>
      </c>
      <c r="E126" s="5">
        <v>20.61</v>
      </c>
      <c r="F126" s="4">
        <v>70</v>
      </c>
      <c r="G126" s="5">
        <v>3.57</v>
      </c>
      <c r="H126" s="4">
        <v>0</v>
      </c>
    </row>
    <row r="127" spans="1:8" x14ac:dyDescent="0.2">
      <c r="A127" s="2" t="s">
        <v>58</v>
      </c>
      <c r="B127" s="4">
        <v>101</v>
      </c>
      <c r="C127" s="5">
        <v>3.02</v>
      </c>
      <c r="D127" s="4">
        <v>82</v>
      </c>
      <c r="E127" s="5">
        <v>5.93</v>
      </c>
      <c r="F127" s="4">
        <v>19</v>
      </c>
      <c r="G127" s="5">
        <v>0.97</v>
      </c>
      <c r="H127" s="4">
        <v>0</v>
      </c>
    </row>
    <row r="128" spans="1:8" x14ac:dyDescent="0.2">
      <c r="A128" s="2" t="s">
        <v>59</v>
      </c>
      <c r="B128" s="4">
        <v>109</v>
      </c>
      <c r="C128" s="5">
        <v>3.26</v>
      </c>
      <c r="D128" s="4">
        <v>67</v>
      </c>
      <c r="E128" s="5">
        <v>4.84</v>
      </c>
      <c r="F128" s="4">
        <v>42</v>
      </c>
      <c r="G128" s="5">
        <v>2.14</v>
      </c>
      <c r="H128" s="4">
        <v>0</v>
      </c>
    </row>
    <row r="129" spans="1:8" x14ac:dyDescent="0.2">
      <c r="A129" s="2" t="s">
        <v>60</v>
      </c>
      <c r="B129" s="4">
        <v>146</v>
      </c>
      <c r="C129" s="5">
        <v>4.3600000000000003</v>
      </c>
      <c r="D129" s="4">
        <v>66</v>
      </c>
      <c r="E129" s="5">
        <v>4.7699999999999996</v>
      </c>
      <c r="F129" s="4">
        <v>80</v>
      </c>
      <c r="G129" s="5">
        <v>4.08</v>
      </c>
      <c r="H129" s="4">
        <v>0</v>
      </c>
    </row>
    <row r="130" spans="1:8" x14ac:dyDescent="0.2">
      <c r="A130" s="1" t="s">
        <v>8</v>
      </c>
      <c r="B130" s="4">
        <v>2163</v>
      </c>
      <c r="C130" s="5">
        <v>100.00000000000001</v>
      </c>
      <c r="D130" s="4">
        <v>1063</v>
      </c>
      <c r="E130" s="5">
        <v>99.97999999999999</v>
      </c>
      <c r="F130" s="4">
        <v>1096</v>
      </c>
      <c r="G130" s="5">
        <v>99.999999999999986</v>
      </c>
      <c r="H130" s="4">
        <v>2</v>
      </c>
    </row>
    <row r="131" spans="1:8" x14ac:dyDescent="0.2">
      <c r="A131" s="2" t="s">
        <v>46</v>
      </c>
      <c r="B131" s="4">
        <v>2</v>
      </c>
      <c r="C131" s="5">
        <v>0.09</v>
      </c>
      <c r="D131" s="4">
        <v>0</v>
      </c>
      <c r="E131" s="5">
        <v>0</v>
      </c>
      <c r="F131" s="4">
        <v>2</v>
      </c>
      <c r="G131" s="5">
        <v>0.18</v>
      </c>
      <c r="H131" s="4">
        <v>0</v>
      </c>
    </row>
    <row r="132" spans="1:8" x14ac:dyDescent="0.2">
      <c r="A132" s="2" t="s">
        <v>47</v>
      </c>
      <c r="B132" s="4">
        <v>375</v>
      </c>
      <c r="C132" s="5">
        <v>17.34</v>
      </c>
      <c r="D132" s="4">
        <v>113</v>
      </c>
      <c r="E132" s="5">
        <v>10.63</v>
      </c>
      <c r="F132" s="4">
        <v>262</v>
      </c>
      <c r="G132" s="5">
        <v>23.91</v>
      </c>
      <c r="H132" s="4">
        <v>0</v>
      </c>
    </row>
    <row r="133" spans="1:8" x14ac:dyDescent="0.2">
      <c r="A133" s="2" t="s">
        <v>48</v>
      </c>
      <c r="B133" s="4">
        <v>265</v>
      </c>
      <c r="C133" s="5">
        <v>12.25</v>
      </c>
      <c r="D133" s="4">
        <v>95</v>
      </c>
      <c r="E133" s="5">
        <v>8.94</v>
      </c>
      <c r="F133" s="4">
        <v>170</v>
      </c>
      <c r="G133" s="5">
        <v>15.51</v>
      </c>
      <c r="H133" s="4">
        <v>0</v>
      </c>
    </row>
    <row r="134" spans="1:8" x14ac:dyDescent="0.2">
      <c r="A134" s="2" t="s">
        <v>49</v>
      </c>
      <c r="B134" s="4">
        <v>6</v>
      </c>
      <c r="C134" s="5">
        <v>0.28000000000000003</v>
      </c>
      <c r="D134" s="4">
        <v>0</v>
      </c>
      <c r="E134" s="5">
        <v>0</v>
      </c>
      <c r="F134" s="4">
        <v>6</v>
      </c>
      <c r="G134" s="5">
        <v>0.55000000000000004</v>
      </c>
      <c r="H134" s="4">
        <v>0</v>
      </c>
    </row>
    <row r="135" spans="1:8" x14ac:dyDescent="0.2">
      <c r="A135" s="2" t="s">
        <v>50</v>
      </c>
      <c r="B135" s="4">
        <v>19</v>
      </c>
      <c r="C135" s="5">
        <v>0.88</v>
      </c>
      <c r="D135" s="4">
        <v>0</v>
      </c>
      <c r="E135" s="5">
        <v>0</v>
      </c>
      <c r="F135" s="4">
        <v>19</v>
      </c>
      <c r="G135" s="5">
        <v>1.73</v>
      </c>
      <c r="H135" s="4">
        <v>0</v>
      </c>
    </row>
    <row r="136" spans="1:8" x14ac:dyDescent="0.2">
      <c r="A136" s="2" t="s">
        <v>51</v>
      </c>
      <c r="B136" s="4">
        <v>20</v>
      </c>
      <c r="C136" s="5">
        <v>0.92</v>
      </c>
      <c r="D136" s="4">
        <v>6</v>
      </c>
      <c r="E136" s="5">
        <v>0.56000000000000005</v>
      </c>
      <c r="F136" s="4">
        <v>14</v>
      </c>
      <c r="G136" s="5">
        <v>1.28</v>
      </c>
      <c r="H136" s="4">
        <v>0</v>
      </c>
    </row>
    <row r="137" spans="1:8" x14ac:dyDescent="0.2">
      <c r="A137" s="2" t="s">
        <v>52</v>
      </c>
      <c r="B137" s="4">
        <v>495</v>
      </c>
      <c r="C137" s="5">
        <v>22.88</v>
      </c>
      <c r="D137" s="4">
        <v>223</v>
      </c>
      <c r="E137" s="5">
        <v>20.98</v>
      </c>
      <c r="F137" s="4">
        <v>272</v>
      </c>
      <c r="G137" s="5">
        <v>24.82</v>
      </c>
      <c r="H137" s="4">
        <v>0</v>
      </c>
    </row>
    <row r="138" spans="1:8" x14ac:dyDescent="0.2">
      <c r="A138" s="2" t="s">
        <v>53</v>
      </c>
      <c r="B138" s="4">
        <v>10</v>
      </c>
      <c r="C138" s="5">
        <v>0.46</v>
      </c>
      <c r="D138" s="4">
        <v>1</v>
      </c>
      <c r="E138" s="5">
        <v>0.09</v>
      </c>
      <c r="F138" s="4">
        <v>9</v>
      </c>
      <c r="G138" s="5">
        <v>0.82</v>
      </c>
      <c r="H138" s="4">
        <v>0</v>
      </c>
    </row>
    <row r="139" spans="1:8" x14ac:dyDescent="0.2">
      <c r="A139" s="2" t="s">
        <v>54</v>
      </c>
      <c r="B139" s="4">
        <v>184</v>
      </c>
      <c r="C139" s="5">
        <v>8.51</v>
      </c>
      <c r="D139" s="4">
        <v>65</v>
      </c>
      <c r="E139" s="5">
        <v>6.11</v>
      </c>
      <c r="F139" s="4">
        <v>118</v>
      </c>
      <c r="G139" s="5">
        <v>10.77</v>
      </c>
      <c r="H139" s="4">
        <v>1</v>
      </c>
    </row>
    <row r="140" spans="1:8" x14ac:dyDescent="0.2">
      <c r="A140" s="2" t="s">
        <v>55</v>
      </c>
      <c r="B140" s="4">
        <v>110</v>
      </c>
      <c r="C140" s="5">
        <v>5.09</v>
      </c>
      <c r="D140" s="4">
        <v>59</v>
      </c>
      <c r="E140" s="5">
        <v>5.55</v>
      </c>
      <c r="F140" s="4">
        <v>51</v>
      </c>
      <c r="G140" s="5">
        <v>4.6500000000000004</v>
      </c>
      <c r="H140" s="4">
        <v>0</v>
      </c>
    </row>
    <row r="141" spans="1:8" x14ac:dyDescent="0.2">
      <c r="A141" s="2" t="s">
        <v>56</v>
      </c>
      <c r="B141" s="4">
        <v>151</v>
      </c>
      <c r="C141" s="5">
        <v>6.98</v>
      </c>
      <c r="D141" s="4">
        <v>117</v>
      </c>
      <c r="E141" s="5">
        <v>11.01</v>
      </c>
      <c r="F141" s="4">
        <v>33</v>
      </c>
      <c r="G141" s="5">
        <v>3.01</v>
      </c>
      <c r="H141" s="4">
        <v>0</v>
      </c>
    </row>
    <row r="142" spans="1:8" x14ac:dyDescent="0.2">
      <c r="A142" s="2" t="s">
        <v>57</v>
      </c>
      <c r="B142" s="4">
        <v>271</v>
      </c>
      <c r="C142" s="5">
        <v>12.53</v>
      </c>
      <c r="D142" s="4">
        <v>212</v>
      </c>
      <c r="E142" s="5">
        <v>19.940000000000001</v>
      </c>
      <c r="F142" s="4">
        <v>59</v>
      </c>
      <c r="G142" s="5">
        <v>5.38</v>
      </c>
      <c r="H142" s="4">
        <v>0</v>
      </c>
    </row>
    <row r="143" spans="1:8" x14ac:dyDescent="0.2">
      <c r="A143" s="2" t="s">
        <v>58</v>
      </c>
      <c r="B143" s="4">
        <v>91</v>
      </c>
      <c r="C143" s="5">
        <v>4.21</v>
      </c>
      <c r="D143" s="4">
        <v>77</v>
      </c>
      <c r="E143" s="5">
        <v>7.24</v>
      </c>
      <c r="F143" s="4">
        <v>12</v>
      </c>
      <c r="G143" s="5">
        <v>1.0900000000000001</v>
      </c>
      <c r="H143" s="4">
        <v>1</v>
      </c>
    </row>
    <row r="144" spans="1:8" x14ac:dyDescent="0.2">
      <c r="A144" s="2" t="s">
        <v>59</v>
      </c>
      <c r="B144" s="4">
        <v>109</v>
      </c>
      <c r="C144" s="5">
        <v>5.04</v>
      </c>
      <c r="D144" s="4">
        <v>72</v>
      </c>
      <c r="E144" s="5">
        <v>6.77</v>
      </c>
      <c r="F144" s="4">
        <v>37</v>
      </c>
      <c r="G144" s="5">
        <v>3.38</v>
      </c>
      <c r="H144" s="4">
        <v>0</v>
      </c>
    </row>
    <row r="145" spans="1:8" x14ac:dyDescent="0.2">
      <c r="A145" s="2" t="s">
        <v>60</v>
      </c>
      <c r="B145" s="4">
        <v>55</v>
      </c>
      <c r="C145" s="5">
        <v>2.54</v>
      </c>
      <c r="D145" s="4">
        <v>23</v>
      </c>
      <c r="E145" s="5">
        <v>2.16</v>
      </c>
      <c r="F145" s="4">
        <v>32</v>
      </c>
      <c r="G145" s="5">
        <v>2.92</v>
      </c>
      <c r="H145" s="4">
        <v>0</v>
      </c>
    </row>
    <row r="146" spans="1:8" x14ac:dyDescent="0.2">
      <c r="A146" s="1" t="s">
        <v>9</v>
      </c>
      <c r="B146" s="4">
        <v>2186</v>
      </c>
      <c r="C146" s="5">
        <v>100.01</v>
      </c>
      <c r="D146" s="4">
        <v>906</v>
      </c>
      <c r="E146" s="5">
        <v>100.00999999999999</v>
      </c>
      <c r="F146" s="4">
        <v>1276</v>
      </c>
      <c r="G146" s="5">
        <v>100.01</v>
      </c>
      <c r="H146" s="4">
        <v>2</v>
      </c>
    </row>
    <row r="147" spans="1:8" x14ac:dyDescent="0.2">
      <c r="A147" s="2" t="s">
        <v>46</v>
      </c>
      <c r="B147" s="4">
        <v>0</v>
      </c>
      <c r="C147" s="5">
        <v>0</v>
      </c>
      <c r="D147" s="4">
        <v>0</v>
      </c>
      <c r="E147" s="5">
        <v>0</v>
      </c>
      <c r="F147" s="4">
        <v>0</v>
      </c>
      <c r="G147" s="5">
        <v>0</v>
      </c>
      <c r="H147" s="4">
        <v>0</v>
      </c>
    </row>
    <row r="148" spans="1:8" x14ac:dyDescent="0.2">
      <c r="A148" s="2" t="s">
        <v>47</v>
      </c>
      <c r="B148" s="4">
        <v>370</v>
      </c>
      <c r="C148" s="5">
        <v>16.93</v>
      </c>
      <c r="D148" s="4">
        <v>81</v>
      </c>
      <c r="E148" s="5">
        <v>8.94</v>
      </c>
      <c r="F148" s="4">
        <v>289</v>
      </c>
      <c r="G148" s="5">
        <v>22.65</v>
      </c>
      <c r="H148" s="4">
        <v>0</v>
      </c>
    </row>
    <row r="149" spans="1:8" x14ac:dyDescent="0.2">
      <c r="A149" s="2" t="s">
        <v>48</v>
      </c>
      <c r="B149" s="4">
        <v>407</v>
      </c>
      <c r="C149" s="5">
        <v>18.62</v>
      </c>
      <c r="D149" s="4">
        <v>97</v>
      </c>
      <c r="E149" s="5">
        <v>10.71</v>
      </c>
      <c r="F149" s="4">
        <v>310</v>
      </c>
      <c r="G149" s="5">
        <v>24.29</v>
      </c>
      <c r="H149" s="4">
        <v>0</v>
      </c>
    </row>
    <row r="150" spans="1:8" x14ac:dyDescent="0.2">
      <c r="A150" s="2" t="s">
        <v>49</v>
      </c>
      <c r="B150" s="4">
        <v>18</v>
      </c>
      <c r="C150" s="5">
        <v>0.82</v>
      </c>
      <c r="D150" s="4">
        <v>0</v>
      </c>
      <c r="E150" s="5">
        <v>0</v>
      </c>
      <c r="F150" s="4">
        <v>18</v>
      </c>
      <c r="G150" s="5">
        <v>1.41</v>
      </c>
      <c r="H150" s="4">
        <v>0</v>
      </c>
    </row>
    <row r="151" spans="1:8" x14ac:dyDescent="0.2">
      <c r="A151" s="2" t="s">
        <v>50</v>
      </c>
      <c r="B151" s="4">
        <v>17</v>
      </c>
      <c r="C151" s="5">
        <v>0.78</v>
      </c>
      <c r="D151" s="4">
        <v>1</v>
      </c>
      <c r="E151" s="5">
        <v>0.11</v>
      </c>
      <c r="F151" s="4">
        <v>16</v>
      </c>
      <c r="G151" s="5">
        <v>1.25</v>
      </c>
      <c r="H151" s="4">
        <v>0</v>
      </c>
    </row>
    <row r="152" spans="1:8" x14ac:dyDescent="0.2">
      <c r="A152" s="2" t="s">
        <v>51</v>
      </c>
      <c r="B152" s="4">
        <v>21</v>
      </c>
      <c r="C152" s="5">
        <v>0.96</v>
      </c>
      <c r="D152" s="4">
        <v>2</v>
      </c>
      <c r="E152" s="5">
        <v>0.22</v>
      </c>
      <c r="F152" s="4">
        <v>19</v>
      </c>
      <c r="G152" s="5">
        <v>1.49</v>
      </c>
      <c r="H152" s="4">
        <v>0</v>
      </c>
    </row>
    <row r="153" spans="1:8" x14ac:dyDescent="0.2">
      <c r="A153" s="2" t="s">
        <v>52</v>
      </c>
      <c r="B153" s="4">
        <v>442</v>
      </c>
      <c r="C153" s="5">
        <v>20.22</v>
      </c>
      <c r="D153" s="4">
        <v>160</v>
      </c>
      <c r="E153" s="5">
        <v>17.66</v>
      </c>
      <c r="F153" s="4">
        <v>282</v>
      </c>
      <c r="G153" s="5">
        <v>22.1</v>
      </c>
      <c r="H153" s="4">
        <v>0</v>
      </c>
    </row>
    <row r="154" spans="1:8" x14ac:dyDescent="0.2">
      <c r="A154" s="2" t="s">
        <v>53</v>
      </c>
      <c r="B154" s="4">
        <v>17</v>
      </c>
      <c r="C154" s="5">
        <v>0.78</v>
      </c>
      <c r="D154" s="4">
        <v>2</v>
      </c>
      <c r="E154" s="5">
        <v>0.22</v>
      </c>
      <c r="F154" s="4">
        <v>15</v>
      </c>
      <c r="G154" s="5">
        <v>1.18</v>
      </c>
      <c r="H154" s="4">
        <v>0</v>
      </c>
    </row>
    <row r="155" spans="1:8" x14ac:dyDescent="0.2">
      <c r="A155" s="2" t="s">
        <v>54</v>
      </c>
      <c r="B155" s="4">
        <v>166</v>
      </c>
      <c r="C155" s="5">
        <v>7.59</v>
      </c>
      <c r="D155" s="4">
        <v>49</v>
      </c>
      <c r="E155" s="5">
        <v>5.41</v>
      </c>
      <c r="F155" s="4">
        <v>117</v>
      </c>
      <c r="G155" s="5">
        <v>9.17</v>
      </c>
      <c r="H155" s="4">
        <v>0</v>
      </c>
    </row>
    <row r="156" spans="1:8" x14ac:dyDescent="0.2">
      <c r="A156" s="2" t="s">
        <v>55</v>
      </c>
      <c r="B156" s="4">
        <v>121</v>
      </c>
      <c r="C156" s="5">
        <v>5.54</v>
      </c>
      <c r="D156" s="4">
        <v>68</v>
      </c>
      <c r="E156" s="5">
        <v>7.51</v>
      </c>
      <c r="F156" s="4">
        <v>52</v>
      </c>
      <c r="G156" s="5">
        <v>4.08</v>
      </c>
      <c r="H156" s="4">
        <v>0</v>
      </c>
    </row>
    <row r="157" spans="1:8" x14ac:dyDescent="0.2">
      <c r="A157" s="2" t="s">
        <v>56</v>
      </c>
      <c r="B157" s="4">
        <v>131</v>
      </c>
      <c r="C157" s="5">
        <v>5.99</v>
      </c>
      <c r="D157" s="4">
        <v>106</v>
      </c>
      <c r="E157" s="5">
        <v>11.7</v>
      </c>
      <c r="F157" s="4">
        <v>25</v>
      </c>
      <c r="G157" s="5">
        <v>1.96</v>
      </c>
      <c r="H157" s="4">
        <v>0</v>
      </c>
    </row>
    <row r="158" spans="1:8" x14ac:dyDescent="0.2">
      <c r="A158" s="2" t="s">
        <v>57</v>
      </c>
      <c r="B158" s="4">
        <v>240</v>
      </c>
      <c r="C158" s="5">
        <v>10.98</v>
      </c>
      <c r="D158" s="4">
        <v>196</v>
      </c>
      <c r="E158" s="5">
        <v>21.63</v>
      </c>
      <c r="F158" s="4">
        <v>44</v>
      </c>
      <c r="G158" s="5">
        <v>3.45</v>
      </c>
      <c r="H158" s="4">
        <v>0</v>
      </c>
    </row>
    <row r="159" spans="1:8" x14ac:dyDescent="0.2">
      <c r="A159" s="2" t="s">
        <v>58</v>
      </c>
      <c r="B159" s="4">
        <v>83</v>
      </c>
      <c r="C159" s="5">
        <v>3.8</v>
      </c>
      <c r="D159" s="4">
        <v>69</v>
      </c>
      <c r="E159" s="5">
        <v>7.62</v>
      </c>
      <c r="F159" s="4">
        <v>12</v>
      </c>
      <c r="G159" s="5">
        <v>0.94</v>
      </c>
      <c r="H159" s="4">
        <v>1</v>
      </c>
    </row>
    <row r="160" spans="1:8" x14ac:dyDescent="0.2">
      <c r="A160" s="2" t="s">
        <v>59</v>
      </c>
      <c r="B160" s="4">
        <v>73</v>
      </c>
      <c r="C160" s="5">
        <v>3.34</v>
      </c>
      <c r="D160" s="4">
        <v>46</v>
      </c>
      <c r="E160" s="5">
        <v>5.08</v>
      </c>
      <c r="F160" s="4">
        <v>27</v>
      </c>
      <c r="G160" s="5">
        <v>2.12</v>
      </c>
      <c r="H160" s="4">
        <v>0</v>
      </c>
    </row>
    <row r="161" spans="1:8" x14ac:dyDescent="0.2">
      <c r="A161" s="2" t="s">
        <v>60</v>
      </c>
      <c r="B161" s="4">
        <v>80</v>
      </c>
      <c r="C161" s="5">
        <v>3.66</v>
      </c>
      <c r="D161" s="4">
        <v>29</v>
      </c>
      <c r="E161" s="5">
        <v>3.2</v>
      </c>
      <c r="F161" s="4">
        <v>50</v>
      </c>
      <c r="G161" s="5">
        <v>3.92</v>
      </c>
      <c r="H161" s="4">
        <v>1</v>
      </c>
    </row>
    <row r="162" spans="1:8" x14ac:dyDescent="0.2">
      <c r="A162" s="1" t="s">
        <v>10</v>
      </c>
      <c r="B162" s="4">
        <v>2044</v>
      </c>
      <c r="C162" s="5">
        <v>100.00000000000001</v>
      </c>
      <c r="D162" s="4">
        <v>1028</v>
      </c>
      <c r="E162" s="5">
        <v>100.01</v>
      </c>
      <c r="F162" s="4">
        <v>1013</v>
      </c>
      <c r="G162" s="5">
        <v>99.99</v>
      </c>
      <c r="H162" s="4">
        <v>1</v>
      </c>
    </row>
    <row r="163" spans="1:8" x14ac:dyDescent="0.2">
      <c r="A163" s="2" t="s">
        <v>46</v>
      </c>
      <c r="B163" s="4">
        <v>0</v>
      </c>
      <c r="C163" s="5">
        <v>0</v>
      </c>
      <c r="D163" s="4">
        <v>0</v>
      </c>
      <c r="E163" s="5">
        <v>0</v>
      </c>
      <c r="F163" s="4">
        <v>0</v>
      </c>
      <c r="G163" s="5">
        <v>0</v>
      </c>
      <c r="H163" s="4">
        <v>0</v>
      </c>
    </row>
    <row r="164" spans="1:8" x14ac:dyDescent="0.2">
      <c r="A164" s="2" t="s">
        <v>47</v>
      </c>
      <c r="B164" s="4">
        <v>382</v>
      </c>
      <c r="C164" s="5">
        <v>18.690000000000001</v>
      </c>
      <c r="D164" s="4">
        <v>126</v>
      </c>
      <c r="E164" s="5">
        <v>12.26</v>
      </c>
      <c r="F164" s="4">
        <v>256</v>
      </c>
      <c r="G164" s="5">
        <v>25.27</v>
      </c>
      <c r="H164" s="4">
        <v>0</v>
      </c>
    </row>
    <row r="165" spans="1:8" x14ac:dyDescent="0.2">
      <c r="A165" s="2" t="s">
        <v>48</v>
      </c>
      <c r="B165" s="4">
        <v>264</v>
      </c>
      <c r="C165" s="5">
        <v>12.92</v>
      </c>
      <c r="D165" s="4">
        <v>78</v>
      </c>
      <c r="E165" s="5">
        <v>7.59</v>
      </c>
      <c r="F165" s="4">
        <v>186</v>
      </c>
      <c r="G165" s="5">
        <v>18.36</v>
      </c>
      <c r="H165" s="4">
        <v>0</v>
      </c>
    </row>
    <row r="166" spans="1:8" x14ac:dyDescent="0.2">
      <c r="A166" s="2" t="s">
        <v>49</v>
      </c>
      <c r="B166" s="4">
        <v>5</v>
      </c>
      <c r="C166" s="5">
        <v>0.24</v>
      </c>
      <c r="D166" s="4">
        <v>0</v>
      </c>
      <c r="E166" s="5">
        <v>0</v>
      </c>
      <c r="F166" s="4">
        <v>5</v>
      </c>
      <c r="G166" s="5">
        <v>0.49</v>
      </c>
      <c r="H166" s="4">
        <v>0</v>
      </c>
    </row>
    <row r="167" spans="1:8" x14ac:dyDescent="0.2">
      <c r="A167" s="2" t="s">
        <v>50</v>
      </c>
      <c r="B167" s="4">
        <v>21</v>
      </c>
      <c r="C167" s="5">
        <v>1.03</v>
      </c>
      <c r="D167" s="4">
        <v>1</v>
      </c>
      <c r="E167" s="5">
        <v>0.1</v>
      </c>
      <c r="F167" s="4">
        <v>20</v>
      </c>
      <c r="G167" s="5">
        <v>1.97</v>
      </c>
      <c r="H167" s="4">
        <v>0</v>
      </c>
    </row>
    <row r="168" spans="1:8" x14ac:dyDescent="0.2">
      <c r="A168" s="2" t="s">
        <v>51</v>
      </c>
      <c r="B168" s="4">
        <v>18</v>
      </c>
      <c r="C168" s="5">
        <v>0.88</v>
      </c>
      <c r="D168" s="4">
        <v>6</v>
      </c>
      <c r="E168" s="5">
        <v>0.57999999999999996</v>
      </c>
      <c r="F168" s="4">
        <v>11</v>
      </c>
      <c r="G168" s="5">
        <v>1.0900000000000001</v>
      </c>
      <c r="H168" s="4">
        <v>1</v>
      </c>
    </row>
    <row r="169" spans="1:8" x14ac:dyDescent="0.2">
      <c r="A169" s="2" t="s">
        <v>52</v>
      </c>
      <c r="B169" s="4">
        <v>454</v>
      </c>
      <c r="C169" s="5">
        <v>22.21</v>
      </c>
      <c r="D169" s="4">
        <v>222</v>
      </c>
      <c r="E169" s="5">
        <v>21.6</v>
      </c>
      <c r="F169" s="4">
        <v>232</v>
      </c>
      <c r="G169" s="5">
        <v>22.9</v>
      </c>
      <c r="H169" s="4">
        <v>0</v>
      </c>
    </row>
    <row r="170" spans="1:8" x14ac:dyDescent="0.2">
      <c r="A170" s="2" t="s">
        <v>53</v>
      </c>
      <c r="B170" s="4">
        <v>7</v>
      </c>
      <c r="C170" s="5">
        <v>0.34</v>
      </c>
      <c r="D170" s="4">
        <v>0</v>
      </c>
      <c r="E170" s="5">
        <v>0</v>
      </c>
      <c r="F170" s="4">
        <v>7</v>
      </c>
      <c r="G170" s="5">
        <v>0.69</v>
      </c>
      <c r="H170" s="4">
        <v>0</v>
      </c>
    </row>
    <row r="171" spans="1:8" x14ac:dyDescent="0.2">
      <c r="A171" s="2" t="s">
        <v>54</v>
      </c>
      <c r="B171" s="4">
        <v>134</v>
      </c>
      <c r="C171" s="5">
        <v>6.56</v>
      </c>
      <c r="D171" s="4">
        <v>48</v>
      </c>
      <c r="E171" s="5">
        <v>4.67</v>
      </c>
      <c r="F171" s="4">
        <v>86</v>
      </c>
      <c r="G171" s="5">
        <v>8.49</v>
      </c>
      <c r="H171" s="4">
        <v>0</v>
      </c>
    </row>
    <row r="172" spans="1:8" x14ac:dyDescent="0.2">
      <c r="A172" s="2" t="s">
        <v>55</v>
      </c>
      <c r="B172" s="4">
        <v>91</v>
      </c>
      <c r="C172" s="5">
        <v>4.45</v>
      </c>
      <c r="D172" s="4">
        <v>43</v>
      </c>
      <c r="E172" s="5">
        <v>4.18</v>
      </c>
      <c r="F172" s="4">
        <v>47</v>
      </c>
      <c r="G172" s="5">
        <v>4.6399999999999997</v>
      </c>
      <c r="H172" s="4">
        <v>0</v>
      </c>
    </row>
    <row r="173" spans="1:8" x14ac:dyDescent="0.2">
      <c r="A173" s="2" t="s">
        <v>56</v>
      </c>
      <c r="B173" s="4">
        <v>172</v>
      </c>
      <c r="C173" s="5">
        <v>8.41</v>
      </c>
      <c r="D173" s="4">
        <v>130</v>
      </c>
      <c r="E173" s="5">
        <v>12.65</v>
      </c>
      <c r="F173" s="4">
        <v>41</v>
      </c>
      <c r="G173" s="5">
        <v>4.05</v>
      </c>
      <c r="H173" s="4">
        <v>0</v>
      </c>
    </row>
    <row r="174" spans="1:8" x14ac:dyDescent="0.2">
      <c r="A174" s="2" t="s">
        <v>57</v>
      </c>
      <c r="B174" s="4">
        <v>263</v>
      </c>
      <c r="C174" s="5">
        <v>12.87</v>
      </c>
      <c r="D174" s="4">
        <v>225</v>
      </c>
      <c r="E174" s="5">
        <v>21.89</v>
      </c>
      <c r="F174" s="4">
        <v>38</v>
      </c>
      <c r="G174" s="5">
        <v>3.75</v>
      </c>
      <c r="H174" s="4">
        <v>0</v>
      </c>
    </row>
    <row r="175" spans="1:8" x14ac:dyDescent="0.2">
      <c r="A175" s="2" t="s">
        <v>58</v>
      </c>
      <c r="B175" s="4">
        <v>74</v>
      </c>
      <c r="C175" s="5">
        <v>3.62</v>
      </c>
      <c r="D175" s="4">
        <v>54</v>
      </c>
      <c r="E175" s="5">
        <v>5.25</v>
      </c>
      <c r="F175" s="4">
        <v>20</v>
      </c>
      <c r="G175" s="5">
        <v>1.97</v>
      </c>
      <c r="H175" s="4">
        <v>0</v>
      </c>
    </row>
    <row r="176" spans="1:8" x14ac:dyDescent="0.2">
      <c r="A176" s="2" t="s">
        <v>59</v>
      </c>
      <c r="B176" s="4">
        <v>94</v>
      </c>
      <c r="C176" s="5">
        <v>4.5999999999999996</v>
      </c>
      <c r="D176" s="4">
        <v>67</v>
      </c>
      <c r="E176" s="5">
        <v>6.52</v>
      </c>
      <c r="F176" s="4">
        <v>27</v>
      </c>
      <c r="G176" s="5">
        <v>2.67</v>
      </c>
      <c r="H176" s="4">
        <v>0</v>
      </c>
    </row>
    <row r="177" spans="1:8" x14ac:dyDescent="0.2">
      <c r="A177" s="2" t="s">
        <v>60</v>
      </c>
      <c r="B177" s="4">
        <v>65</v>
      </c>
      <c r="C177" s="5">
        <v>3.18</v>
      </c>
      <c r="D177" s="4">
        <v>28</v>
      </c>
      <c r="E177" s="5">
        <v>2.72</v>
      </c>
      <c r="F177" s="4">
        <v>37</v>
      </c>
      <c r="G177" s="5">
        <v>3.65</v>
      </c>
      <c r="H177" s="4">
        <v>0</v>
      </c>
    </row>
    <row r="178" spans="1:8" x14ac:dyDescent="0.2">
      <c r="A178" s="1" t="s">
        <v>11</v>
      </c>
      <c r="B178" s="4">
        <v>2204</v>
      </c>
      <c r="C178" s="5">
        <v>100</v>
      </c>
      <c r="D178" s="4">
        <v>1139</v>
      </c>
      <c r="E178" s="5">
        <v>99.990000000000009</v>
      </c>
      <c r="F178" s="4">
        <v>1060</v>
      </c>
      <c r="G178" s="5">
        <v>100.01</v>
      </c>
      <c r="H178" s="4">
        <v>4</v>
      </c>
    </row>
    <row r="179" spans="1:8" x14ac:dyDescent="0.2">
      <c r="A179" s="2" t="s">
        <v>46</v>
      </c>
      <c r="B179" s="4">
        <v>2</v>
      </c>
      <c r="C179" s="5">
        <v>0.09</v>
      </c>
      <c r="D179" s="4">
        <v>0</v>
      </c>
      <c r="E179" s="5">
        <v>0</v>
      </c>
      <c r="F179" s="4">
        <v>2</v>
      </c>
      <c r="G179" s="5">
        <v>0.19</v>
      </c>
      <c r="H179" s="4">
        <v>0</v>
      </c>
    </row>
    <row r="180" spans="1:8" x14ac:dyDescent="0.2">
      <c r="A180" s="2" t="s">
        <v>47</v>
      </c>
      <c r="B180" s="4">
        <v>395</v>
      </c>
      <c r="C180" s="5">
        <v>17.920000000000002</v>
      </c>
      <c r="D180" s="4">
        <v>148</v>
      </c>
      <c r="E180" s="5">
        <v>12.99</v>
      </c>
      <c r="F180" s="4">
        <v>246</v>
      </c>
      <c r="G180" s="5">
        <v>23.21</v>
      </c>
      <c r="H180" s="4">
        <v>1</v>
      </c>
    </row>
    <row r="181" spans="1:8" x14ac:dyDescent="0.2">
      <c r="A181" s="2" t="s">
        <v>48</v>
      </c>
      <c r="B181" s="4">
        <v>346</v>
      </c>
      <c r="C181" s="5">
        <v>15.7</v>
      </c>
      <c r="D181" s="4">
        <v>133</v>
      </c>
      <c r="E181" s="5">
        <v>11.68</v>
      </c>
      <c r="F181" s="4">
        <v>213</v>
      </c>
      <c r="G181" s="5">
        <v>20.09</v>
      </c>
      <c r="H181" s="4">
        <v>0</v>
      </c>
    </row>
    <row r="182" spans="1:8" x14ac:dyDescent="0.2">
      <c r="A182" s="2" t="s">
        <v>49</v>
      </c>
      <c r="B182" s="4">
        <v>13</v>
      </c>
      <c r="C182" s="5">
        <v>0.59</v>
      </c>
      <c r="D182" s="4">
        <v>0</v>
      </c>
      <c r="E182" s="5">
        <v>0</v>
      </c>
      <c r="F182" s="4">
        <v>13</v>
      </c>
      <c r="G182" s="5">
        <v>1.23</v>
      </c>
      <c r="H182" s="4">
        <v>0</v>
      </c>
    </row>
    <row r="183" spans="1:8" x14ac:dyDescent="0.2">
      <c r="A183" s="2" t="s">
        <v>50</v>
      </c>
      <c r="B183" s="4">
        <v>12</v>
      </c>
      <c r="C183" s="5">
        <v>0.54</v>
      </c>
      <c r="D183" s="4">
        <v>2</v>
      </c>
      <c r="E183" s="5">
        <v>0.18</v>
      </c>
      <c r="F183" s="4">
        <v>10</v>
      </c>
      <c r="G183" s="5">
        <v>0.94</v>
      </c>
      <c r="H183" s="4">
        <v>0</v>
      </c>
    </row>
    <row r="184" spans="1:8" x14ac:dyDescent="0.2">
      <c r="A184" s="2" t="s">
        <v>51</v>
      </c>
      <c r="B184" s="4">
        <v>19</v>
      </c>
      <c r="C184" s="5">
        <v>0.86</v>
      </c>
      <c r="D184" s="4">
        <v>0</v>
      </c>
      <c r="E184" s="5">
        <v>0</v>
      </c>
      <c r="F184" s="4">
        <v>19</v>
      </c>
      <c r="G184" s="5">
        <v>1.79</v>
      </c>
      <c r="H184" s="4">
        <v>0</v>
      </c>
    </row>
    <row r="185" spans="1:8" x14ac:dyDescent="0.2">
      <c r="A185" s="2" t="s">
        <v>52</v>
      </c>
      <c r="B185" s="4">
        <v>459</v>
      </c>
      <c r="C185" s="5">
        <v>20.83</v>
      </c>
      <c r="D185" s="4">
        <v>214</v>
      </c>
      <c r="E185" s="5">
        <v>18.79</v>
      </c>
      <c r="F185" s="4">
        <v>243</v>
      </c>
      <c r="G185" s="5">
        <v>22.92</v>
      </c>
      <c r="H185" s="4">
        <v>2</v>
      </c>
    </row>
    <row r="186" spans="1:8" x14ac:dyDescent="0.2">
      <c r="A186" s="2" t="s">
        <v>53</v>
      </c>
      <c r="B186" s="4">
        <v>16</v>
      </c>
      <c r="C186" s="5">
        <v>0.73</v>
      </c>
      <c r="D186" s="4">
        <v>7</v>
      </c>
      <c r="E186" s="5">
        <v>0.61</v>
      </c>
      <c r="F186" s="4">
        <v>9</v>
      </c>
      <c r="G186" s="5">
        <v>0.85</v>
      </c>
      <c r="H186" s="4">
        <v>0</v>
      </c>
    </row>
    <row r="187" spans="1:8" x14ac:dyDescent="0.2">
      <c r="A187" s="2" t="s">
        <v>54</v>
      </c>
      <c r="B187" s="4">
        <v>210</v>
      </c>
      <c r="C187" s="5">
        <v>9.5299999999999994</v>
      </c>
      <c r="D187" s="4">
        <v>112</v>
      </c>
      <c r="E187" s="5">
        <v>9.83</v>
      </c>
      <c r="F187" s="4">
        <v>98</v>
      </c>
      <c r="G187" s="5">
        <v>9.25</v>
      </c>
      <c r="H187" s="4">
        <v>0</v>
      </c>
    </row>
    <row r="188" spans="1:8" x14ac:dyDescent="0.2">
      <c r="A188" s="2" t="s">
        <v>55</v>
      </c>
      <c r="B188" s="4">
        <v>97</v>
      </c>
      <c r="C188" s="5">
        <v>4.4000000000000004</v>
      </c>
      <c r="D188" s="4">
        <v>58</v>
      </c>
      <c r="E188" s="5">
        <v>5.09</v>
      </c>
      <c r="F188" s="4">
        <v>39</v>
      </c>
      <c r="G188" s="5">
        <v>3.68</v>
      </c>
      <c r="H188" s="4">
        <v>0</v>
      </c>
    </row>
    <row r="189" spans="1:8" x14ac:dyDescent="0.2">
      <c r="A189" s="2" t="s">
        <v>56</v>
      </c>
      <c r="B189" s="4">
        <v>137</v>
      </c>
      <c r="C189" s="5">
        <v>6.22</v>
      </c>
      <c r="D189" s="4">
        <v>107</v>
      </c>
      <c r="E189" s="5">
        <v>9.39</v>
      </c>
      <c r="F189" s="4">
        <v>29</v>
      </c>
      <c r="G189" s="5">
        <v>2.74</v>
      </c>
      <c r="H189" s="4">
        <v>0</v>
      </c>
    </row>
    <row r="190" spans="1:8" x14ac:dyDescent="0.2">
      <c r="A190" s="2" t="s">
        <v>57</v>
      </c>
      <c r="B190" s="4">
        <v>233</v>
      </c>
      <c r="C190" s="5">
        <v>10.57</v>
      </c>
      <c r="D190" s="4">
        <v>189</v>
      </c>
      <c r="E190" s="5">
        <v>16.59</v>
      </c>
      <c r="F190" s="4">
        <v>44</v>
      </c>
      <c r="G190" s="5">
        <v>4.1500000000000004</v>
      </c>
      <c r="H190" s="4">
        <v>0</v>
      </c>
    </row>
    <row r="191" spans="1:8" x14ac:dyDescent="0.2">
      <c r="A191" s="2" t="s">
        <v>58</v>
      </c>
      <c r="B191" s="4">
        <v>103</v>
      </c>
      <c r="C191" s="5">
        <v>4.67</v>
      </c>
      <c r="D191" s="4">
        <v>82</v>
      </c>
      <c r="E191" s="5">
        <v>7.2</v>
      </c>
      <c r="F191" s="4">
        <v>20</v>
      </c>
      <c r="G191" s="5">
        <v>1.89</v>
      </c>
      <c r="H191" s="4">
        <v>1</v>
      </c>
    </row>
    <row r="192" spans="1:8" x14ac:dyDescent="0.2">
      <c r="A192" s="2" t="s">
        <v>59</v>
      </c>
      <c r="B192" s="4">
        <v>106</v>
      </c>
      <c r="C192" s="5">
        <v>4.8099999999999996</v>
      </c>
      <c r="D192" s="4">
        <v>63</v>
      </c>
      <c r="E192" s="5">
        <v>5.53</v>
      </c>
      <c r="F192" s="4">
        <v>43</v>
      </c>
      <c r="G192" s="5">
        <v>4.0599999999999996</v>
      </c>
      <c r="H192" s="4">
        <v>0</v>
      </c>
    </row>
    <row r="193" spans="1:8" x14ac:dyDescent="0.2">
      <c r="A193" s="2" t="s">
        <v>60</v>
      </c>
      <c r="B193" s="4">
        <v>56</v>
      </c>
      <c r="C193" s="5">
        <v>2.54</v>
      </c>
      <c r="D193" s="4">
        <v>24</v>
      </c>
      <c r="E193" s="5">
        <v>2.11</v>
      </c>
      <c r="F193" s="4">
        <v>32</v>
      </c>
      <c r="G193" s="5">
        <v>3.02</v>
      </c>
      <c r="H193" s="4">
        <v>0</v>
      </c>
    </row>
    <row r="194" spans="1:8" x14ac:dyDescent="0.2">
      <c r="A194" s="1" t="s">
        <v>12</v>
      </c>
      <c r="B194" s="4">
        <v>826</v>
      </c>
      <c r="C194" s="5">
        <v>99.97999999999999</v>
      </c>
      <c r="D194" s="4">
        <v>486</v>
      </c>
      <c r="E194" s="5">
        <v>100</v>
      </c>
      <c r="F194" s="4">
        <v>302</v>
      </c>
      <c r="G194" s="5">
        <v>99.97999999999999</v>
      </c>
      <c r="H194" s="4">
        <v>12</v>
      </c>
    </row>
    <row r="195" spans="1:8" x14ac:dyDescent="0.2">
      <c r="A195" s="2" t="s">
        <v>46</v>
      </c>
      <c r="B195" s="4">
        <v>1</v>
      </c>
      <c r="C195" s="5">
        <v>0.12</v>
      </c>
      <c r="D195" s="4">
        <v>0</v>
      </c>
      <c r="E195" s="5">
        <v>0</v>
      </c>
      <c r="F195" s="4">
        <v>1</v>
      </c>
      <c r="G195" s="5">
        <v>0.33</v>
      </c>
      <c r="H195" s="4">
        <v>0</v>
      </c>
    </row>
    <row r="196" spans="1:8" x14ac:dyDescent="0.2">
      <c r="A196" s="2" t="s">
        <v>47</v>
      </c>
      <c r="B196" s="4">
        <v>142</v>
      </c>
      <c r="C196" s="5">
        <v>17.190000000000001</v>
      </c>
      <c r="D196" s="4">
        <v>70</v>
      </c>
      <c r="E196" s="5">
        <v>14.4</v>
      </c>
      <c r="F196" s="4">
        <v>72</v>
      </c>
      <c r="G196" s="5">
        <v>23.84</v>
      </c>
      <c r="H196" s="4">
        <v>0</v>
      </c>
    </row>
    <row r="197" spans="1:8" x14ac:dyDescent="0.2">
      <c r="A197" s="2" t="s">
        <v>48</v>
      </c>
      <c r="B197" s="4">
        <v>117</v>
      </c>
      <c r="C197" s="5">
        <v>14.16</v>
      </c>
      <c r="D197" s="4">
        <v>55</v>
      </c>
      <c r="E197" s="5">
        <v>11.32</v>
      </c>
      <c r="F197" s="4">
        <v>54</v>
      </c>
      <c r="G197" s="5">
        <v>17.88</v>
      </c>
      <c r="H197" s="4">
        <v>8</v>
      </c>
    </row>
    <row r="198" spans="1:8" x14ac:dyDescent="0.2">
      <c r="A198" s="2" t="s">
        <v>49</v>
      </c>
      <c r="B198" s="4">
        <v>2</v>
      </c>
      <c r="C198" s="5">
        <v>0.24</v>
      </c>
      <c r="D198" s="4">
        <v>0</v>
      </c>
      <c r="E198" s="5">
        <v>0</v>
      </c>
      <c r="F198" s="4">
        <v>2</v>
      </c>
      <c r="G198" s="5">
        <v>0.66</v>
      </c>
      <c r="H198" s="4">
        <v>0</v>
      </c>
    </row>
    <row r="199" spans="1:8" x14ac:dyDescent="0.2">
      <c r="A199" s="2" t="s">
        <v>50</v>
      </c>
      <c r="B199" s="4">
        <v>4</v>
      </c>
      <c r="C199" s="5">
        <v>0.48</v>
      </c>
      <c r="D199" s="4">
        <v>0</v>
      </c>
      <c r="E199" s="5">
        <v>0</v>
      </c>
      <c r="F199" s="4">
        <v>4</v>
      </c>
      <c r="G199" s="5">
        <v>1.32</v>
      </c>
      <c r="H199" s="4">
        <v>0</v>
      </c>
    </row>
    <row r="200" spans="1:8" x14ac:dyDescent="0.2">
      <c r="A200" s="2" t="s">
        <v>51</v>
      </c>
      <c r="B200" s="4">
        <v>13</v>
      </c>
      <c r="C200" s="5">
        <v>1.57</v>
      </c>
      <c r="D200" s="4">
        <v>4</v>
      </c>
      <c r="E200" s="5">
        <v>0.82</v>
      </c>
      <c r="F200" s="4">
        <v>7</v>
      </c>
      <c r="G200" s="5">
        <v>2.3199999999999998</v>
      </c>
      <c r="H200" s="4">
        <v>2</v>
      </c>
    </row>
    <row r="201" spans="1:8" x14ac:dyDescent="0.2">
      <c r="A201" s="2" t="s">
        <v>52</v>
      </c>
      <c r="B201" s="4">
        <v>213</v>
      </c>
      <c r="C201" s="5">
        <v>25.79</v>
      </c>
      <c r="D201" s="4">
        <v>129</v>
      </c>
      <c r="E201" s="5">
        <v>26.54</v>
      </c>
      <c r="F201" s="4">
        <v>83</v>
      </c>
      <c r="G201" s="5">
        <v>27.48</v>
      </c>
      <c r="H201" s="4">
        <v>1</v>
      </c>
    </row>
    <row r="202" spans="1:8" x14ac:dyDescent="0.2">
      <c r="A202" s="2" t="s">
        <v>53</v>
      </c>
      <c r="B202" s="4">
        <v>2</v>
      </c>
      <c r="C202" s="5">
        <v>0.24</v>
      </c>
      <c r="D202" s="4">
        <v>0</v>
      </c>
      <c r="E202" s="5">
        <v>0</v>
      </c>
      <c r="F202" s="4">
        <v>2</v>
      </c>
      <c r="G202" s="5">
        <v>0.66</v>
      </c>
      <c r="H202" s="4">
        <v>0</v>
      </c>
    </row>
    <row r="203" spans="1:8" x14ac:dyDescent="0.2">
      <c r="A203" s="2" t="s">
        <v>54</v>
      </c>
      <c r="B203" s="4">
        <v>38</v>
      </c>
      <c r="C203" s="5">
        <v>4.5999999999999996</v>
      </c>
      <c r="D203" s="4">
        <v>20</v>
      </c>
      <c r="E203" s="5">
        <v>4.12</v>
      </c>
      <c r="F203" s="4">
        <v>18</v>
      </c>
      <c r="G203" s="5">
        <v>5.96</v>
      </c>
      <c r="H203" s="4">
        <v>0</v>
      </c>
    </row>
    <row r="204" spans="1:8" x14ac:dyDescent="0.2">
      <c r="A204" s="2" t="s">
        <v>55</v>
      </c>
      <c r="B204" s="4">
        <v>31</v>
      </c>
      <c r="C204" s="5">
        <v>3.75</v>
      </c>
      <c r="D204" s="4">
        <v>17</v>
      </c>
      <c r="E204" s="5">
        <v>3.5</v>
      </c>
      <c r="F204" s="4">
        <v>12</v>
      </c>
      <c r="G204" s="5">
        <v>3.97</v>
      </c>
      <c r="H204" s="4">
        <v>0</v>
      </c>
    </row>
    <row r="205" spans="1:8" x14ac:dyDescent="0.2">
      <c r="A205" s="2" t="s">
        <v>56</v>
      </c>
      <c r="B205" s="4">
        <v>78</v>
      </c>
      <c r="C205" s="5">
        <v>9.44</v>
      </c>
      <c r="D205" s="4">
        <v>67</v>
      </c>
      <c r="E205" s="5">
        <v>13.79</v>
      </c>
      <c r="F205" s="4">
        <v>8</v>
      </c>
      <c r="G205" s="5">
        <v>2.65</v>
      </c>
      <c r="H205" s="4">
        <v>1</v>
      </c>
    </row>
    <row r="206" spans="1:8" x14ac:dyDescent="0.2">
      <c r="A206" s="2" t="s">
        <v>57</v>
      </c>
      <c r="B206" s="4">
        <v>99</v>
      </c>
      <c r="C206" s="5">
        <v>11.99</v>
      </c>
      <c r="D206" s="4">
        <v>86</v>
      </c>
      <c r="E206" s="5">
        <v>17.7</v>
      </c>
      <c r="F206" s="4">
        <v>10</v>
      </c>
      <c r="G206" s="5">
        <v>3.31</v>
      </c>
      <c r="H206" s="4">
        <v>0</v>
      </c>
    </row>
    <row r="207" spans="1:8" x14ac:dyDescent="0.2">
      <c r="A207" s="2" t="s">
        <v>58</v>
      </c>
      <c r="B207" s="4">
        <v>25</v>
      </c>
      <c r="C207" s="5">
        <v>3.03</v>
      </c>
      <c r="D207" s="4">
        <v>14</v>
      </c>
      <c r="E207" s="5">
        <v>2.88</v>
      </c>
      <c r="F207" s="4">
        <v>1</v>
      </c>
      <c r="G207" s="5">
        <v>0.33</v>
      </c>
      <c r="H207" s="4">
        <v>0</v>
      </c>
    </row>
    <row r="208" spans="1:8" x14ac:dyDescent="0.2">
      <c r="A208" s="2" t="s">
        <v>59</v>
      </c>
      <c r="B208" s="4">
        <v>38</v>
      </c>
      <c r="C208" s="5">
        <v>4.5999999999999996</v>
      </c>
      <c r="D208" s="4">
        <v>18</v>
      </c>
      <c r="E208" s="5">
        <v>3.7</v>
      </c>
      <c r="F208" s="4">
        <v>18</v>
      </c>
      <c r="G208" s="5">
        <v>5.96</v>
      </c>
      <c r="H208" s="4">
        <v>0</v>
      </c>
    </row>
    <row r="209" spans="1:8" x14ac:dyDescent="0.2">
      <c r="A209" s="2" t="s">
        <v>60</v>
      </c>
      <c r="B209" s="4">
        <v>23</v>
      </c>
      <c r="C209" s="5">
        <v>2.78</v>
      </c>
      <c r="D209" s="4">
        <v>6</v>
      </c>
      <c r="E209" s="5">
        <v>1.23</v>
      </c>
      <c r="F209" s="4">
        <v>10</v>
      </c>
      <c r="G209" s="5">
        <v>3.31</v>
      </c>
      <c r="H209" s="4">
        <v>0</v>
      </c>
    </row>
    <row r="210" spans="1:8" x14ac:dyDescent="0.2">
      <c r="A210" s="1" t="s">
        <v>13</v>
      </c>
      <c r="B210" s="4">
        <v>5445</v>
      </c>
      <c r="C210" s="5">
        <v>100.02999999999999</v>
      </c>
      <c r="D210" s="4">
        <v>2523</v>
      </c>
      <c r="E210" s="5">
        <v>100.00999999999999</v>
      </c>
      <c r="F210" s="4">
        <v>2891</v>
      </c>
      <c r="G210" s="5">
        <v>99.989999999999981</v>
      </c>
      <c r="H210" s="4">
        <v>18</v>
      </c>
    </row>
    <row r="211" spans="1:8" x14ac:dyDescent="0.2">
      <c r="A211" s="2" t="s">
        <v>46</v>
      </c>
      <c r="B211" s="4">
        <v>0</v>
      </c>
      <c r="C211" s="5">
        <v>0</v>
      </c>
      <c r="D211" s="4">
        <v>0</v>
      </c>
      <c r="E211" s="5">
        <v>0</v>
      </c>
      <c r="F211" s="4">
        <v>0</v>
      </c>
      <c r="G211" s="5">
        <v>0</v>
      </c>
      <c r="H211" s="4">
        <v>0</v>
      </c>
    </row>
    <row r="212" spans="1:8" x14ac:dyDescent="0.2">
      <c r="A212" s="2" t="s">
        <v>47</v>
      </c>
      <c r="B212" s="4">
        <v>694</v>
      </c>
      <c r="C212" s="5">
        <v>12.75</v>
      </c>
      <c r="D212" s="4">
        <v>148</v>
      </c>
      <c r="E212" s="5">
        <v>5.87</v>
      </c>
      <c r="F212" s="4">
        <v>546</v>
      </c>
      <c r="G212" s="5">
        <v>18.89</v>
      </c>
      <c r="H212" s="4">
        <v>0</v>
      </c>
    </row>
    <row r="213" spans="1:8" x14ac:dyDescent="0.2">
      <c r="A213" s="2" t="s">
        <v>48</v>
      </c>
      <c r="B213" s="4">
        <v>617</v>
      </c>
      <c r="C213" s="5">
        <v>11.33</v>
      </c>
      <c r="D213" s="4">
        <v>190</v>
      </c>
      <c r="E213" s="5">
        <v>7.53</v>
      </c>
      <c r="F213" s="4">
        <v>427</v>
      </c>
      <c r="G213" s="5">
        <v>14.77</v>
      </c>
      <c r="H213" s="4">
        <v>0</v>
      </c>
    </row>
    <row r="214" spans="1:8" x14ac:dyDescent="0.2">
      <c r="A214" s="2" t="s">
        <v>49</v>
      </c>
      <c r="B214" s="4">
        <v>3</v>
      </c>
      <c r="C214" s="5">
        <v>0.06</v>
      </c>
      <c r="D214" s="4">
        <v>1</v>
      </c>
      <c r="E214" s="5">
        <v>0.04</v>
      </c>
      <c r="F214" s="4">
        <v>1</v>
      </c>
      <c r="G214" s="5">
        <v>0.03</v>
      </c>
      <c r="H214" s="4">
        <v>0</v>
      </c>
    </row>
    <row r="215" spans="1:8" x14ac:dyDescent="0.2">
      <c r="A215" s="2" t="s">
        <v>50</v>
      </c>
      <c r="B215" s="4">
        <v>45</v>
      </c>
      <c r="C215" s="5">
        <v>0.83</v>
      </c>
      <c r="D215" s="4">
        <v>4</v>
      </c>
      <c r="E215" s="5">
        <v>0.16</v>
      </c>
      <c r="F215" s="4">
        <v>41</v>
      </c>
      <c r="G215" s="5">
        <v>1.42</v>
      </c>
      <c r="H215" s="4">
        <v>0</v>
      </c>
    </row>
    <row r="216" spans="1:8" x14ac:dyDescent="0.2">
      <c r="A216" s="2" t="s">
        <v>51</v>
      </c>
      <c r="B216" s="4">
        <v>44</v>
      </c>
      <c r="C216" s="5">
        <v>0.81</v>
      </c>
      <c r="D216" s="4">
        <v>7</v>
      </c>
      <c r="E216" s="5">
        <v>0.28000000000000003</v>
      </c>
      <c r="F216" s="4">
        <v>35</v>
      </c>
      <c r="G216" s="5">
        <v>1.21</v>
      </c>
      <c r="H216" s="4">
        <v>1</v>
      </c>
    </row>
    <row r="217" spans="1:8" x14ac:dyDescent="0.2">
      <c r="A217" s="2" t="s">
        <v>52</v>
      </c>
      <c r="B217" s="4">
        <v>1269</v>
      </c>
      <c r="C217" s="5">
        <v>23.31</v>
      </c>
      <c r="D217" s="4">
        <v>473</v>
      </c>
      <c r="E217" s="5">
        <v>18.75</v>
      </c>
      <c r="F217" s="4">
        <v>796</v>
      </c>
      <c r="G217" s="5">
        <v>27.53</v>
      </c>
      <c r="H217" s="4">
        <v>0</v>
      </c>
    </row>
    <row r="218" spans="1:8" x14ac:dyDescent="0.2">
      <c r="A218" s="2" t="s">
        <v>53</v>
      </c>
      <c r="B218" s="4">
        <v>57</v>
      </c>
      <c r="C218" s="5">
        <v>1.05</v>
      </c>
      <c r="D218" s="4">
        <v>8</v>
      </c>
      <c r="E218" s="5">
        <v>0.32</v>
      </c>
      <c r="F218" s="4">
        <v>49</v>
      </c>
      <c r="G218" s="5">
        <v>1.69</v>
      </c>
      <c r="H218" s="4">
        <v>0</v>
      </c>
    </row>
    <row r="219" spans="1:8" x14ac:dyDescent="0.2">
      <c r="A219" s="2" t="s">
        <v>54</v>
      </c>
      <c r="B219" s="4">
        <v>529</v>
      </c>
      <c r="C219" s="5">
        <v>9.7200000000000006</v>
      </c>
      <c r="D219" s="4">
        <v>167</v>
      </c>
      <c r="E219" s="5">
        <v>6.62</v>
      </c>
      <c r="F219" s="4">
        <v>362</v>
      </c>
      <c r="G219" s="5">
        <v>12.52</v>
      </c>
      <c r="H219" s="4">
        <v>0</v>
      </c>
    </row>
    <row r="220" spans="1:8" x14ac:dyDescent="0.2">
      <c r="A220" s="2" t="s">
        <v>55</v>
      </c>
      <c r="B220" s="4">
        <v>294</v>
      </c>
      <c r="C220" s="5">
        <v>5.4</v>
      </c>
      <c r="D220" s="4">
        <v>155</v>
      </c>
      <c r="E220" s="5">
        <v>6.14</v>
      </c>
      <c r="F220" s="4">
        <v>137</v>
      </c>
      <c r="G220" s="5">
        <v>4.74</v>
      </c>
      <c r="H220" s="4">
        <v>1</v>
      </c>
    </row>
    <row r="221" spans="1:8" x14ac:dyDescent="0.2">
      <c r="A221" s="2" t="s">
        <v>56</v>
      </c>
      <c r="B221" s="4">
        <v>685</v>
      </c>
      <c r="C221" s="5">
        <v>12.58</v>
      </c>
      <c r="D221" s="4">
        <v>575</v>
      </c>
      <c r="E221" s="5">
        <v>22.79</v>
      </c>
      <c r="F221" s="4">
        <v>109</v>
      </c>
      <c r="G221" s="5">
        <v>3.77</v>
      </c>
      <c r="H221" s="4">
        <v>0</v>
      </c>
    </row>
    <row r="222" spans="1:8" x14ac:dyDescent="0.2">
      <c r="A222" s="2" t="s">
        <v>57</v>
      </c>
      <c r="B222" s="4">
        <v>626</v>
      </c>
      <c r="C222" s="5">
        <v>11.5</v>
      </c>
      <c r="D222" s="4">
        <v>479</v>
      </c>
      <c r="E222" s="5">
        <v>18.989999999999998</v>
      </c>
      <c r="F222" s="4">
        <v>145</v>
      </c>
      <c r="G222" s="5">
        <v>5.0199999999999996</v>
      </c>
      <c r="H222" s="4">
        <v>0</v>
      </c>
    </row>
    <row r="223" spans="1:8" x14ac:dyDescent="0.2">
      <c r="A223" s="2" t="s">
        <v>58</v>
      </c>
      <c r="B223" s="4">
        <v>157</v>
      </c>
      <c r="C223" s="5">
        <v>2.88</v>
      </c>
      <c r="D223" s="4">
        <v>105</v>
      </c>
      <c r="E223" s="5">
        <v>4.16</v>
      </c>
      <c r="F223" s="4">
        <v>48</v>
      </c>
      <c r="G223" s="5">
        <v>1.66</v>
      </c>
      <c r="H223" s="4">
        <v>0</v>
      </c>
    </row>
    <row r="224" spans="1:8" x14ac:dyDescent="0.2">
      <c r="A224" s="2" t="s">
        <v>59</v>
      </c>
      <c r="B224" s="4">
        <v>239</v>
      </c>
      <c r="C224" s="5">
        <v>4.3899999999999997</v>
      </c>
      <c r="D224" s="4">
        <v>158</v>
      </c>
      <c r="E224" s="5">
        <v>6.26</v>
      </c>
      <c r="F224" s="4">
        <v>68</v>
      </c>
      <c r="G224" s="5">
        <v>2.35</v>
      </c>
      <c r="H224" s="4">
        <v>12</v>
      </c>
    </row>
    <row r="225" spans="1:8" x14ac:dyDescent="0.2">
      <c r="A225" s="2" t="s">
        <v>60</v>
      </c>
      <c r="B225" s="4">
        <v>186</v>
      </c>
      <c r="C225" s="5">
        <v>3.42</v>
      </c>
      <c r="D225" s="4">
        <v>53</v>
      </c>
      <c r="E225" s="5">
        <v>2.1</v>
      </c>
      <c r="F225" s="4">
        <v>127</v>
      </c>
      <c r="G225" s="5">
        <v>4.3899999999999997</v>
      </c>
      <c r="H225" s="4">
        <v>4</v>
      </c>
    </row>
    <row r="226" spans="1:8" x14ac:dyDescent="0.2">
      <c r="A226" s="1" t="s">
        <v>14</v>
      </c>
      <c r="B226" s="4">
        <v>1523</v>
      </c>
      <c r="C226" s="5">
        <v>100.01</v>
      </c>
      <c r="D226" s="4">
        <v>786</v>
      </c>
      <c r="E226" s="5">
        <v>99.990000000000009</v>
      </c>
      <c r="F226" s="4">
        <v>726</v>
      </c>
      <c r="G226" s="5">
        <v>99.999999999999986</v>
      </c>
      <c r="H226" s="4">
        <v>6</v>
      </c>
    </row>
    <row r="227" spans="1:8" x14ac:dyDescent="0.2">
      <c r="A227" s="2" t="s">
        <v>46</v>
      </c>
      <c r="B227" s="4">
        <v>0</v>
      </c>
      <c r="C227" s="5">
        <v>0</v>
      </c>
      <c r="D227" s="4">
        <v>0</v>
      </c>
      <c r="E227" s="5">
        <v>0</v>
      </c>
      <c r="F227" s="4">
        <v>0</v>
      </c>
      <c r="G227" s="5">
        <v>0</v>
      </c>
      <c r="H227" s="4">
        <v>0</v>
      </c>
    </row>
    <row r="228" spans="1:8" x14ac:dyDescent="0.2">
      <c r="A228" s="2" t="s">
        <v>47</v>
      </c>
      <c r="B228" s="4">
        <v>199</v>
      </c>
      <c r="C228" s="5">
        <v>13.07</v>
      </c>
      <c r="D228" s="4">
        <v>60</v>
      </c>
      <c r="E228" s="5">
        <v>7.63</v>
      </c>
      <c r="F228" s="4">
        <v>139</v>
      </c>
      <c r="G228" s="5">
        <v>19.149999999999999</v>
      </c>
      <c r="H228" s="4">
        <v>0</v>
      </c>
    </row>
    <row r="229" spans="1:8" x14ac:dyDescent="0.2">
      <c r="A229" s="2" t="s">
        <v>48</v>
      </c>
      <c r="B229" s="4">
        <v>58</v>
      </c>
      <c r="C229" s="5">
        <v>3.81</v>
      </c>
      <c r="D229" s="4">
        <v>22</v>
      </c>
      <c r="E229" s="5">
        <v>2.8</v>
      </c>
      <c r="F229" s="4">
        <v>36</v>
      </c>
      <c r="G229" s="5">
        <v>4.96</v>
      </c>
      <c r="H229" s="4">
        <v>0</v>
      </c>
    </row>
    <row r="230" spans="1:8" x14ac:dyDescent="0.2">
      <c r="A230" s="2" t="s">
        <v>49</v>
      </c>
      <c r="B230" s="4">
        <v>1</v>
      </c>
      <c r="C230" s="5">
        <v>7.0000000000000007E-2</v>
      </c>
      <c r="D230" s="4">
        <v>0</v>
      </c>
      <c r="E230" s="5">
        <v>0</v>
      </c>
      <c r="F230" s="4">
        <v>1</v>
      </c>
      <c r="G230" s="5">
        <v>0.14000000000000001</v>
      </c>
      <c r="H230" s="4">
        <v>0</v>
      </c>
    </row>
    <row r="231" spans="1:8" x14ac:dyDescent="0.2">
      <c r="A231" s="2" t="s">
        <v>50</v>
      </c>
      <c r="B231" s="4">
        <v>14</v>
      </c>
      <c r="C231" s="5">
        <v>0.92</v>
      </c>
      <c r="D231" s="4">
        <v>0</v>
      </c>
      <c r="E231" s="5">
        <v>0</v>
      </c>
      <c r="F231" s="4">
        <v>14</v>
      </c>
      <c r="G231" s="5">
        <v>1.93</v>
      </c>
      <c r="H231" s="4">
        <v>0</v>
      </c>
    </row>
    <row r="232" spans="1:8" x14ac:dyDescent="0.2">
      <c r="A232" s="2" t="s">
        <v>51</v>
      </c>
      <c r="B232" s="4">
        <v>8</v>
      </c>
      <c r="C232" s="5">
        <v>0.53</v>
      </c>
      <c r="D232" s="4">
        <v>2</v>
      </c>
      <c r="E232" s="5">
        <v>0.25</v>
      </c>
      <c r="F232" s="4">
        <v>3</v>
      </c>
      <c r="G232" s="5">
        <v>0.41</v>
      </c>
      <c r="H232" s="4">
        <v>3</v>
      </c>
    </row>
    <row r="233" spans="1:8" x14ac:dyDescent="0.2">
      <c r="A233" s="2" t="s">
        <v>52</v>
      </c>
      <c r="B233" s="4">
        <v>340</v>
      </c>
      <c r="C233" s="5">
        <v>22.32</v>
      </c>
      <c r="D233" s="4">
        <v>153</v>
      </c>
      <c r="E233" s="5">
        <v>19.47</v>
      </c>
      <c r="F233" s="4">
        <v>187</v>
      </c>
      <c r="G233" s="5">
        <v>25.76</v>
      </c>
      <c r="H233" s="4">
        <v>0</v>
      </c>
    </row>
    <row r="234" spans="1:8" x14ac:dyDescent="0.2">
      <c r="A234" s="2" t="s">
        <v>53</v>
      </c>
      <c r="B234" s="4">
        <v>7</v>
      </c>
      <c r="C234" s="5">
        <v>0.46</v>
      </c>
      <c r="D234" s="4">
        <v>2</v>
      </c>
      <c r="E234" s="5">
        <v>0.25</v>
      </c>
      <c r="F234" s="4">
        <v>5</v>
      </c>
      <c r="G234" s="5">
        <v>0.69</v>
      </c>
      <c r="H234" s="4">
        <v>0</v>
      </c>
    </row>
    <row r="235" spans="1:8" x14ac:dyDescent="0.2">
      <c r="A235" s="2" t="s">
        <v>54</v>
      </c>
      <c r="B235" s="4">
        <v>216</v>
      </c>
      <c r="C235" s="5">
        <v>14.18</v>
      </c>
      <c r="D235" s="4">
        <v>104</v>
      </c>
      <c r="E235" s="5">
        <v>13.23</v>
      </c>
      <c r="F235" s="4">
        <v>111</v>
      </c>
      <c r="G235" s="5">
        <v>15.29</v>
      </c>
      <c r="H235" s="4">
        <v>1</v>
      </c>
    </row>
    <row r="236" spans="1:8" x14ac:dyDescent="0.2">
      <c r="A236" s="2" t="s">
        <v>55</v>
      </c>
      <c r="B236" s="4">
        <v>55</v>
      </c>
      <c r="C236" s="5">
        <v>3.61</v>
      </c>
      <c r="D236" s="4">
        <v>26</v>
      </c>
      <c r="E236" s="5">
        <v>3.31</v>
      </c>
      <c r="F236" s="4">
        <v>29</v>
      </c>
      <c r="G236" s="5">
        <v>3.99</v>
      </c>
      <c r="H236" s="4">
        <v>0</v>
      </c>
    </row>
    <row r="237" spans="1:8" x14ac:dyDescent="0.2">
      <c r="A237" s="2" t="s">
        <v>56</v>
      </c>
      <c r="B237" s="4">
        <v>347</v>
      </c>
      <c r="C237" s="5">
        <v>22.78</v>
      </c>
      <c r="D237" s="4">
        <v>250</v>
      </c>
      <c r="E237" s="5">
        <v>31.81</v>
      </c>
      <c r="F237" s="4">
        <v>97</v>
      </c>
      <c r="G237" s="5">
        <v>13.36</v>
      </c>
      <c r="H237" s="4">
        <v>0</v>
      </c>
    </row>
    <row r="238" spans="1:8" x14ac:dyDescent="0.2">
      <c r="A238" s="2" t="s">
        <v>57</v>
      </c>
      <c r="B238" s="4">
        <v>166</v>
      </c>
      <c r="C238" s="5">
        <v>10.9</v>
      </c>
      <c r="D238" s="4">
        <v>118</v>
      </c>
      <c r="E238" s="5">
        <v>15.01</v>
      </c>
      <c r="F238" s="4">
        <v>47</v>
      </c>
      <c r="G238" s="5">
        <v>6.47</v>
      </c>
      <c r="H238" s="4">
        <v>1</v>
      </c>
    </row>
    <row r="239" spans="1:8" x14ac:dyDescent="0.2">
      <c r="A239" s="2" t="s">
        <v>58</v>
      </c>
      <c r="B239" s="4">
        <v>25</v>
      </c>
      <c r="C239" s="5">
        <v>1.64</v>
      </c>
      <c r="D239" s="4">
        <v>13</v>
      </c>
      <c r="E239" s="5">
        <v>1.65</v>
      </c>
      <c r="F239" s="4">
        <v>9</v>
      </c>
      <c r="G239" s="5">
        <v>1.24</v>
      </c>
      <c r="H239" s="4">
        <v>0</v>
      </c>
    </row>
    <row r="240" spans="1:8" x14ac:dyDescent="0.2">
      <c r="A240" s="2" t="s">
        <v>59</v>
      </c>
      <c r="B240" s="4">
        <v>49</v>
      </c>
      <c r="C240" s="5">
        <v>3.22</v>
      </c>
      <c r="D240" s="4">
        <v>30</v>
      </c>
      <c r="E240" s="5">
        <v>3.82</v>
      </c>
      <c r="F240" s="4">
        <v>18</v>
      </c>
      <c r="G240" s="5">
        <v>2.48</v>
      </c>
      <c r="H240" s="4">
        <v>0</v>
      </c>
    </row>
    <row r="241" spans="1:8" x14ac:dyDescent="0.2">
      <c r="A241" s="2" t="s">
        <v>60</v>
      </c>
      <c r="B241" s="4">
        <v>38</v>
      </c>
      <c r="C241" s="5">
        <v>2.5</v>
      </c>
      <c r="D241" s="4">
        <v>6</v>
      </c>
      <c r="E241" s="5">
        <v>0.76</v>
      </c>
      <c r="F241" s="4">
        <v>30</v>
      </c>
      <c r="G241" s="5">
        <v>4.13</v>
      </c>
      <c r="H241" s="4">
        <v>1</v>
      </c>
    </row>
    <row r="242" spans="1:8" x14ac:dyDescent="0.2">
      <c r="A242" s="1" t="s">
        <v>15</v>
      </c>
      <c r="B242" s="4">
        <v>3161</v>
      </c>
      <c r="C242" s="5">
        <v>100.00999999999999</v>
      </c>
      <c r="D242" s="4">
        <v>1726</v>
      </c>
      <c r="E242" s="5">
        <v>100.01</v>
      </c>
      <c r="F242" s="4">
        <v>1396</v>
      </c>
      <c r="G242" s="5">
        <v>99.990000000000009</v>
      </c>
      <c r="H242" s="4">
        <v>11</v>
      </c>
    </row>
    <row r="243" spans="1:8" x14ac:dyDescent="0.2">
      <c r="A243" s="2" t="s">
        <v>46</v>
      </c>
      <c r="B243" s="4">
        <v>0</v>
      </c>
      <c r="C243" s="5">
        <v>0</v>
      </c>
      <c r="D243" s="4">
        <v>0</v>
      </c>
      <c r="E243" s="5">
        <v>0</v>
      </c>
      <c r="F243" s="4">
        <v>0</v>
      </c>
      <c r="G243" s="5">
        <v>0</v>
      </c>
      <c r="H243" s="4">
        <v>0</v>
      </c>
    </row>
    <row r="244" spans="1:8" x14ac:dyDescent="0.2">
      <c r="A244" s="2" t="s">
        <v>47</v>
      </c>
      <c r="B244" s="4">
        <v>367</v>
      </c>
      <c r="C244" s="5">
        <v>11.61</v>
      </c>
      <c r="D244" s="4">
        <v>86</v>
      </c>
      <c r="E244" s="5">
        <v>4.9800000000000004</v>
      </c>
      <c r="F244" s="4">
        <v>281</v>
      </c>
      <c r="G244" s="5">
        <v>20.13</v>
      </c>
      <c r="H244" s="4">
        <v>0</v>
      </c>
    </row>
    <row r="245" spans="1:8" x14ac:dyDescent="0.2">
      <c r="A245" s="2" t="s">
        <v>48</v>
      </c>
      <c r="B245" s="4">
        <v>194</v>
      </c>
      <c r="C245" s="5">
        <v>6.14</v>
      </c>
      <c r="D245" s="4">
        <v>68</v>
      </c>
      <c r="E245" s="5">
        <v>3.94</v>
      </c>
      <c r="F245" s="4">
        <v>126</v>
      </c>
      <c r="G245" s="5">
        <v>9.0299999999999994</v>
      </c>
      <c r="H245" s="4">
        <v>0</v>
      </c>
    </row>
    <row r="246" spans="1:8" x14ac:dyDescent="0.2">
      <c r="A246" s="2" t="s">
        <v>49</v>
      </c>
      <c r="B246" s="4">
        <v>0</v>
      </c>
      <c r="C246" s="5">
        <v>0</v>
      </c>
      <c r="D246" s="4">
        <v>0</v>
      </c>
      <c r="E246" s="5">
        <v>0</v>
      </c>
      <c r="F246" s="4">
        <v>0</v>
      </c>
      <c r="G246" s="5">
        <v>0</v>
      </c>
      <c r="H246" s="4">
        <v>0</v>
      </c>
    </row>
    <row r="247" spans="1:8" x14ac:dyDescent="0.2">
      <c r="A247" s="2" t="s">
        <v>50</v>
      </c>
      <c r="B247" s="4">
        <v>37</v>
      </c>
      <c r="C247" s="5">
        <v>1.17</v>
      </c>
      <c r="D247" s="4">
        <v>1</v>
      </c>
      <c r="E247" s="5">
        <v>0.06</v>
      </c>
      <c r="F247" s="4">
        <v>36</v>
      </c>
      <c r="G247" s="5">
        <v>2.58</v>
      </c>
      <c r="H247" s="4">
        <v>0</v>
      </c>
    </row>
    <row r="248" spans="1:8" x14ac:dyDescent="0.2">
      <c r="A248" s="2" t="s">
        <v>51</v>
      </c>
      <c r="B248" s="4">
        <v>22</v>
      </c>
      <c r="C248" s="5">
        <v>0.7</v>
      </c>
      <c r="D248" s="4">
        <v>2</v>
      </c>
      <c r="E248" s="5">
        <v>0.12</v>
      </c>
      <c r="F248" s="4">
        <v>20</v>
      </c>
      <c r="G248" s="5">
        <v>1.43</v>
      </c>
      <c r="H248" s="4">
        <v>0</v>
      </c>
    </row>
    <row r="249" spans="1:8" x14ac:dyDescent="0.2">
      <c r="A249" s="2" t="s">
        <v>52</v>
      </c>
      <c r="B249" s="4">
        <v>650</v>
      </c>
      <c r="C249" s="5">
        <v>20.56</v>
      </c>
      <c r="D249" s="4">
        <v>286</v>
      </c>
      <c r="E249" s="5">
        <v>16.57</v>
      </c>
      <c r="F249" s="4">
        <v>358</v>
      </c>
      <c r="G249" s="5">
        <v>25.64</v>
      </c>
      <c r="H249" s="4">
        <v>6</v>
      </c>
    </row>
    <row r="250" spans="1:8" x14ac:dyDescent="0.2">
      <c r="A250" s="2" t="s">
        <v>53</v>
      </c>
      <c r="B250" s="4">
        <v>16</v>
      </c>
      <c r="C250" s="5">
        <v>0.51</v>
      </c>
      <c r="D250" s="4">
        <v>2</v>
      </c>
      <c r="E250" s="5">
        <v>0.12</v>
      </c>
      <c r="F250" s="4">
        <v>14</v>
      </c>
      <c r="G250" s="5">
        <v>1</v>
      </c>
      <c r="H250" s="4">
        <v>0</v>
      </c>
    </row>
    <row r="251" spans="1:8" x14ac:dyDescent="0.2">
      <c r="A251" s="2" t="s">
        <v>54</v>
      </c>
      <c r="B251" s="4">
        <v>478</v>
      </c>
      <c r="C251" s="5">
        <v>15.12</v>
      </c>
      <c r="D251" s="4">
        <v>249</v>
      </c>
      <c r="E251" s="5">
        <v>14.43</v>
      </c>
      <c r="F251" s="4">
        <v>229</v>
      </c>
      <c r="G251" s="5">
        <v>16.399999999999999</v>
      </c>
      <c r="H251" s="4">
        <v>0</v>
      </c>
    </row>
    <row r="252" spans="1:8" x14ac:dyDescent="0.2">
      <c r="A252" s="2" t="s">
        <v>55</v>
      </c>
      <c r="B252" s="4">
        <v>181</v>
      </c>
      <c r="C252" s="5">
        <v>5.73</v>
      </c>
      <c r="D252" s="4">
        <v>101</v>
      </c>
      <c r="E252" s="5">
        <v>5.85</v>
      </c>
      <c r="F252" s="4">
        <v>80</v>
      </c>
      <c r="G252" s="5">
        <v>5.73</v>
      </c>
      <c r="H252" s="4">
        <v>0</v>
      </c>
    </row>
    <row r="253" spans="1:8" x14ac:dyDescent="0.2">
      <c r="A253" s="2" t="s">
        <v>56</v>
      </c>
      <c r="B253" s="4">
        <v>453</v>
      </c>
      <c r="C253" s="5">
        <v>14.33</v>
      </c>
      <c r="D253" s="4">
        <v>398</v>
      </c>
      <c r="E253" s="5">
        <v>23.06</v>
      </c>
      <c r="F253" s="4">
        <v>55</v>
      </c>
      <c r="G253" s="5">
        <v>3.94</v>
      </c>
      <c r="H253" s="4">
        <v>0</v>
      </c>
    </row>
    <row r="254" spans="1:8" x14ac:dyDescent="0.2">
      <c r="A254" s="2" t="s">
        <v>57</v>
      </c>
      <c r="B254" s="4">
        <v>349</v>
      </c>
      <c r="C254" s="5">
        <v>11.04</v>
      </c>
      <c r="D254" s="4">
        <v>275</v>
      </c>
      <c r="E254" s="5">
        <v>15.93</v>
      </c>
      <c r="F254" s="4">
        <v>72</v>
      </c>
      <c r="G254" s="5">
        <v>5.16</v>
      </c>
      <c r="H254" s="4">
        <v>1</v>
      </c>
    </row>
    <row r="255" spans="1:8" x14ac:dyDescent="0.2">
      <c r="A255" s="2" t="s">
        <v>58</v>
      </c>
      <c r="B255" s="4">
        <v>145</v>
      </c>
      <c r="C255" s="5">
        <v>4.59</v>
      </c>
      <c r="D255" s="4">
        <v>119</v>
      </c>
      <c r="E255" s="5">
        <v>6.89</v>
      </c>
      <c r="F255" s="4">
        <v>23</v>
      </c>
      <c r="G255" s="5">
        <v>1.65</v>
      </c>
      <c r="H255" s="4">
        <v>1</v>
      </c>
    </row>
    <row r="256" spans="1:8" x14ac:dyDescent="0.2">
      <c r="A256" s="2" t="s">
        <v>59</v>
      </c>
      <c r="B256" s="4">
        <v>178</v>
      </c>
      <c r="C256" s="5">
        <v>5.63</v>
      </c>
      <c r="D256" s="4">
        <v>103</v>
      </c>
      <c r="E256" s="5">
        <v>5.97</v>
      </c>
      <c r="F256" s="4">
        <v>51</v>
      </c>
      <c r="G256" s="5">
        <v>3.65</v>
      </c>
      <c r="H256" s="4">
        <v>0</v>
      </c>
    </row>
    <row r="257" spans="1:8" x14ac:dyDescent="0.2">
      <c r="A257" s="2" t="s">
        <v>60</v>
      </c>
      <c r="B257" s="4">
        <v>91</v>
      </c>
      <c r="C257" s="5">
        <v>2.88</v>
      </c>
      <c r="D257" s="4">
        <v>36</v>
      </c>
      <c r="E257" s="5">
        <v>2.09</v>
      </c>
      <c r="F257" s="4">
        <v>51</v>
      </c>
      <c r="G257" s="5">
        <v>3.65</v>
      </c>
      <c r="H257" s="4">
        <v>3</v>
      </c>
    </row>
    <row r="258" spans="1:8" x14ac:dyDescent="0.2">
      <c r="A258" s="1" t="s">
        <v>16</v>
      </c>
      <c r="B258" s="4">
        <v>3196</v>
      </c>
      <c r="C258" s="5">
        <v>100</v>
      </c>
      <c r="D258" s="4">
        <v>1903</v>
      </c>
      <c r="E258" s="5">
        <v>100</v>
      </c>
      <c r="F258" s="4">
        <v>1282</v>
      </c>
      <c r="G258" s="5">
        <v>100.00000000000001</v>
      </c>
      <c r="H258" s="4">
        <v>2</v>
      </c>
    </row>
    <row r="259" spans="1:8" x14ac:dyDescent="0.2">
      <c r="A259" s="2" t="s">
        <v>46</v>
      </c>
      <c r="B259" s="4">
        <v>1</v>
      </c>
      <c r="C259" s="5">
        <v>0.03</v>
      </c>
      <c r="D259" s="4">
        <v>0</v>
      </c>
      <c r="E259" s="5">
        <v>0</v>
      </c>
      <c r="F259" s="4">
        <v>1</v>
      </c>
      <c r="G259" s="5">
        <v>0.08</v>
      </c>
      <c r="H259" s="4">
        <v>0</v>
      </c>
    </row>
    <row r="260" spans="1:8" x14ac:dyDescent="0.2">
      <c r="A260" s="2" t="s">
        <v>47</v>
      </c>
      <c r="B260" s="4">
        <v>552</v>
      </c>
      <c r="C260" s="5">
        <v>17.27</v>
      </c>
      <c r="D260" s="4">
        <v>245</v>
      </c>
      <c r="E260" s="5">
        <v>12.87</v>
      </c>
      <c r="F260" s="4">
        <v>307</v>
      </c>
      <c r="G260" s="5">
        <v>23.95</v>
      </c>
      <c r="H260" s="4">
        <v>0</v>
      </c>
    </row>
    <row r="261" spans="1:8" x14ac:dyDescent="0.2">
      <c r="A261" s="2" t="s">
        <v>48</v>
      </c>
      <c r="B261" s="4">
        <v>355</v>
      </c>
      <c r="C261" s="5">
        <v>11.11</v>
      </c>
      <c r="D261" s="4">
        <v>135</v>
      </c>
      <c r="E261" s="5">
        <v>7.09</v>
      </c>
      <c r="F261" s="4">
        <v>220</v>
      </c>
      <c r="G261" s="5">
        <v>17.16</v>
      </c>
      <c r="H261" s="4">
        <v>0</v>
      </c>
    </row>
    <row r="262" spans="1:8" x14ac:dyDescent="0.2">
      <c r="A262" s="2" t="s">
        <v>49</v>
      </c>
      <c r="B262" s="4">
        <v>11</v>
      </c>
      <c r="C262" s="5">
        <v>0.34</v>
      </c>
      <c r="D262" s="4">
        <v>0</v>
      </c>
      <c r="E262" s="5">
        <v>0</v>
      </c>
      <c r="F262" s="4">
        <v>11</v>
      </c>
      <c r="G262" s="5">
        <v>0.86</v>
      </c>
      <c r="H262" s="4">
        <v>0</v>
      </c>
    </row>
    <row r="263" spans="1:8" x14ac:dyDescent="0.2">
      <c r="A263" s="2" t="s">
        <v>50</v>
      </c>
      <c r="B263" s="4">
        <v>12</v>
      </c>
      <c r="C263" s="5">
        <v>0.38</v>
      </c>
      <c r="D263" s="4">
        <v>1</v>
      </c>
      <c r="E263" s="5">
        <v>0.05</v>
      </c>
      <c r="F263" s="4">
        <v>11</v>
      </c>
      <c r="G263" s="5">
        <v>0.86</v>
      </c>
      <c r="H263" s="4">
        <v>0</v>
      </c>
    </row>
    <row r="264" spans="1:8" x14ac:dyDescent="0.2">
      <c r="A264" s="2" t="s">
        <v>51</v>
      </c>
      <c r="B264" s="4">
        <v>25</v>
      </c>
      <c r="C264" s="5">
        <v>0.78</v>
      </c>
      <c r="D264" s="4">
        <v>2</v>
      </c>
      <c r="E264" s="5">
        <v>0.11</v>
      </c>
      <c r="F264" s="4">
        <v>23</v>
      </c>
      <c r="G264" s="5">
        <v>1.79</v>
      </c>
      <c r="H264" s="4">
        <v>0</v>
      </c>
    </row>
    <row r="265" spans="1:8" x14ac:dyDescent="0.2">
      <c r="A265" s="2" t="s">
        <v>52</v>
      </c>
      <c r="B265" s="4">
        <v>731</v>
      </c>
      <c r="C265" s="5">
        <v>22.87</v>
      </c>
      <c r="D265" s="4">
        <v>417</v>
      </c>
      <c r="E265" s="5">
        <v>21.91</v>
      </c>
      <c r="F265" s="4">
        <v>314</v>
      </c>
      <c r="G265" s="5">
        <v>24.49</v>
      </c>
      <c r="H265" s="4">
        <v>0</v>
      </c>
    </row>
    <row r="266" spans="1:8" x14ac:dyDescent="0.2">
      <c r="A266" s="2" t="s">
        <v>53</v>
      </c>
      <c r="B266" s="4">
        <v>35</v>
      </c>
      <c r="C266" s="5">
        <v>1.1000000000000001</v>
      </c>
      <c r="D266" s="4">
        <v>8</v>
      </c>
      <c r="E266" s="5">
        <v>0.42</v>
      </c>
      <c r="F266" s="4">
        <v>27</v>
      </c>
      <c r="G266" s="5">
        <v>2.11</v>
      </c>
      <c r="H266" s="4">
        <v>0</v>
      </c>
    </row>
    <row r="267" spans="1:8" x14ac:dyDescent="0.2">
      <c r="A267" s="2" t="s">
        <v>54</v>
      </c>
      <c r="B267" s="4">
        <v>164</v>
      </c>
      <c r="C267" s="5">
        <v>5.13</v>
      </c>
      <c r="D267" s="4">
        <v>62</v>
      </c>
      <c r="E267" s="5">
        <v>3.26</v>
      </c>
      <c r="F267" s="4">
        <v>101</v>
      </c>
      <c r="G267" s="5">
        <v>7.88</v>
      </c>
      <c r="H267" s="4">
        <v>0</v>
      </c>
    </row>
    <row r="268" spans="1:8" x14ac:dyDescent="0.2">
      <c r="A268" s="2" t="s">
        <v>55</v>
      </c>
      <c r="B268" s="4">
        <v>131</v>
      </c>
      <c r="C268" s="5">
        <v>4.0999999999999996</v>
      </c>
      <c r="D268" s="4">
        <v>89</v>
      </c>
      <c r="E268" s="5">
        <v>4.68</v>
      </c>
      <c r="F268" s="4">
        <v>41</v>
      </c>
      <c r="G268" s="5">
        <v>3.2</v>
      </c>
      <c r="H268" s="4">
        <v>0</v>
      </c>
    </row>
    <row r="269" spans="1:8" x14ac:dyDescent="0.2">
      <c r="A269" s="2" t="s">
        <v>56</v>
      </c>
      <c r="B269" s="4">
        <v>442</v>
      </c>
      <c r="C269" s="5">
        <v>13.83</v>
      </c>
      <c r="D269" s="4">
        <v>386</v>
      </c>
      <c r="E269" s="5">
        <v>20.28</v>
      </c>
      <c r="F269" s="4">
        <v>55</v>
      </c>
      <c r="G269" s="5">
        <v>4.29</v>
      </c>
      <c r="H269" s="4">
        <v>0</v>
      </c>
    </row>
    <row r="270" spans="1:8" x14ac:dyDescent="0.2">
      <c r="A270" s="2" t="s">
        <v>57</v>
      </c>
      <c r="B270" s="4">
        <v>367</v>
      </c>
      <c r="C270" s="5">
        <v>11.48</v>
      </c>
      <c r="D270" s="4">
        <v>312</v>
      </c>
      <c r="E270" s="5">
        <v>16.399999999999999</v>
      </c>
      <c r="F270" s="4">
        <v>55</v>
      </c>
      <c r="G270" s="5">
        <v>4.29</v>
      </c>
      <c r="H270" s="4">
        <v>0</v>
      </c>
    </row>
    <row r="271" spans="1:8" x14ac:dyDescent="0.2">
      <c r="A271" s="2" t="s">
        <v>58</v>
      </c>
      <c r="B271" s="4">
        <v>114</v>
      </c>
      <c r="C271" s="5">
        <v>3.57</v>
      </c>
      <c r="D271" s="4">
        <v>85</v>
      </c>
      <c r="E271" s="5">
        <v>4.47</v>
      </c>
      <c r="F271" s="4">
        <v>24</v>
      </c>
      <c r="G271" s="5">
        <v>1.87</v>
      </c>
      <c r="H271" s="4">
        <v>1</v>
      </c>
    </row>
    <row r="272" spans="1:8" x14ac:dyDescent="0.2">
      <c r="A272" s="2" t="s">
        <v>59</v>
      </c>
      <c r="B272" s="4">
        <v>147</v>
      </c>
      <c r="C272" s="5">
        <v>4.5999999999999996</v>
      </c>
      <c r="D272" s="4">
        <v>89</v>
      </c>
      <c r="E272" s="5">
        <v>4.68</v>
      </c>
      <c r="F272" s="4">
        <v>58</v>
      </c>
      <c r="G272" s="5">
        <v>4.5199999999999996</v>
      </c>
      <c r="H272" s="4">
        <v>0</v>
      </c>
    </row>
    <row r="273" spans="1:8" x14ac:dyDescent="0.2">
      <c r="A273" s="2" t="s">
        <v>60</v>
      </c>
      <c r="B273" s="4">
        <v>109</v>
      </c>
      <c r="C273" s="5">
        <v>3.41</v>
      </c>
      <c r="D273" s="4">
        <v>72</v>
      </c>
      <c r="E273" s="5">
        <v>3.78</v>
      </c>
      <c r="F273" s="4">
        <v>34</v>
      </c>
      <c r="G273" s="5">
        <v>2.65</v>
      </c>
      <c r="H273" s="4">
        <v>1</v>
      </c>
    </row>
    <row r="274" spans="1:8" x14ac:dyDescent="0.2">
      <c r="A274" s="1" t="s">
        <v>17</v>
      </c>
      <c r="B274" s="4">
        <v>2588</v>
      </c>
      <c r="C274" s="5">
        <v>100</v>
      </c>
      <c r="D274" s="4">
        <v>1431</v>
      </c>
      <c r="E274" s="5">
        <v>100.01</v>
      </c>
      <c r="F274" s="4">
        <v>1141</v>
      </c>
      <c r="G274" s="5">
        <v>99.97999999999999</v>
      </c>
      <c r="H274" s="4">
        <v>9</v>
      </c>
    </row>
    <row r="275" spans="1:8" x14ac:dyDescent="0.2">
      <c r="A275" s="2" t="s">
        <v>46</v>
      </c>
      <c r="B275" s="4">
        <v>0</v>
      </c>
      <c r="C275" s="5">
        <v>0</v>
      </c>
      <c r="D275" s="4">
        <v>0</v>
      </c>
      <c r="E275" s="5">
        <v>0</v>
      </c>
      <c r="F275" s="4">
        <v>0</v>
      </c>
      <c r="G275" s="5">
        <v>0</v>
      </c>
      <c r="H275" s="4">
        <v>0</v>
      </c>
    </row>
    <row r="276" spans="1:8" x14ac:dyDescent="0.2">
      <c r="A276" s="2" t="s">
        <v>47</v>
      </c>
      <c r="B276" s="4">
        <v>346</v>
      </c>
      <c r="C276" s="5">
        <v>13.37</v>
      </c>
      <c r="D276" s="4">
        <v>119</v>
      </c>
      <c r="E276" s="5">
        <v>8.32</v>
      </c>
      <c r="F276" s="4">
        <v>227</v>
      </c>
      <c r="G276" s="5">
        <v>19.89</v>
      </c>
      <c r="H276" s="4">
        <v>0</v>
      </c>
    </row>
    <row r="277" spans="1:8" x14ac:dyDescent="0.2">
      <c r="A277" s="2" t="s">
        <v>48</v>
      </c>
      <c r="B277" s="4">
        <v>115</v>
      </c>
      <c r="C277" s="5">
        <v>4.4400000000000004</v>
      </c>
      <c r="D277" s="4">
        <v>40</v>
      </c>
      <c r="E277" s="5">
        <v>2.8</v>
      </c>
      <c r="F277" s="4">
        <v>75</v>
      </c>
      <c r="G277" s="5">
        <v>6.57</v>
      </c>
      <c r="H277" s="4">
        <v>0</v>
      </c>
    </row>
    <row r="278" spans="1:8" x14ac:dyDescent="0.2">
      <c r="A278" s="2" t="s">
        <v>49</v>
      </c>
      <c r="B278" s="4">
        <v>6</v>
      </c>
      <c r="C278" s="5">
        <v>0.23</v>
      </c>
      <c r="D278" s="4">
        <v>0</v>
      </c>
      <c r="E278" s="5">
        <v>0</v>
      </c>
      <c r="F278" s="4">
        <v>6</v>
      </c>
      <c r="G278" s="5">
        <v>0.53</v>
      </c>
      <c r="H278" s="4">
        <v>0</v>
      </c>
    </row>
    <row r="279" spans="1:8" x14ac:dyDescent="0.2">
      <c r="A279" s="2" t="s">
        <v>50</v>
      </c>
      <c r="B279" s="4">
        <v>14</v>
      </c>
      <c r="C279" s="5">
        <v>0.54</v>
      </c>
      <c r="D279" s="4">
        <v>2</v>
      </c>
      <c r="E279" s="5">
        <v>0.14000000000000001</v>
      </c>
      <c r="F279" s="4">
        <v>12</v>
      </c>
      <c r="G279" s="5">
        <v>1.05</v>
      </c>
      <c r="H279" s="4">
        <v>0</v>
      </c>
    </row>
    <row r="280" spans="1:8" x14ac:dyDescent="0.2">
      <c r="A280" s="2" t="s">
        <v>51</v>
      </c>
      <c r="B280" s="4">
        <v>9</v>
      </c>
      <c r="C280" s="5">
        <v>0.35</v>
      </c>
      <c r="D280" s="4">
        <v>2</v>
      </c>
      <c r="E280" s="5">
        <v>0.14000000000000001</v>
      </c>
      <c r="F280" s="4">
        <v>7</v>
      </c>
      <c r="G280" s="5">
        <v>0.61</v>
      </c>
      <c r="H280" s="4">
        <v>0</v>
      </c>
    </row>
    <row r="281" spans="1:8" x14ac:dyDescent="0.2">
      <c r="A281" s="2" t="s">
        <v>52</v>
      </c>
      <c r="B281" s="4">
        <v>574</v>
      </c>
      <c r="C281" s="5">
        <v>22.18</v>
      </c>
      <c r="D281" s="4">
        <v>279</v>
      </c>
      <c r="E281" s="5">
        <v>19.5</v>
      </c>
      <c r="F281" s="4">
        <v>295</v>
      </c>
      <c r="G281" s="5">
        <v>25.85</v>
      </c>
      <c r="H281" s="4">
        <v>0</v>
      </c>
    </row>
    <row r="282" spans="1:8" x14ac:dyDescent="0.2">
      <c r="A282" s="2" t="s">
        <v>53</v>
      </c>
      <c r="B282" s="4">
        <v>18</v>
      </c>
      <c r="C282" s="5">
        <v>0.7</v>
      </c>
      <c r="D282" s="4">
        <v>5</v>
      </c>
      <c r="E282" s="5">
        <v>0.35</v>
      </c>
      <c r="F282" s="4">
        <v>12</v>
      </c>
      <c r="G282" s="5">
        <v>1.05</v>
      </c>
      <c r="H282" s="4">
        <v>1</v>
      </c>
    </row>
    <row r="283" spans="1:8" x14ac:dyDescent="0.2">
      <c r="A283" s="2" t="s">
        <v>54</v>
      </c>
      <c r="B283" s="4">
        <v>269</v>
      </c>
      <c r="C283" s="5">
        <v>10.39</v>
      </c>
      <c r="D283" s="4">
        <v>116</v>
      </c>
      <c r="E283" s="5">
        <v>8.11</v>
      </c>
      <c r="F283" s="4">
        <v>153</v>
      </c>
      <c r="G283" s="5">
        <v>13.41</v>
      </c>
      <c r="H283" s="4">
        <v>0</v>
      </c>
    </row>
    <row r="284" spans="1:8" x14ac:dyDescent="0.2">
      <c r="A284" s="2" t="s">
        <v>55</v>
      </c>
      <c r="B284" s="4">
        <v>92</v>
      </c>
      <c r="C284" s="5">
        <v>3.55</v>
      </c>
      <c r="D284" s="4">
        <v>47</v>
      </c>
      <c r="E284" s="5">
        <v>3.28</v>
      </c>
      <c r="F284" s="4">
        <v>45</v>
      </c>
      <c r="G284" s="5">
        <v>3.94</v>
      </c>
      <c r="H284" s="4">
        <v>0</v>
      </c>
    </row>
    <row r="285" spans="1:8" x14ac:dyDescent="0.2">
      <c r="A285" s="2" t="s">
        <v>56</v>
      </c>
      <c r="B285" s="4">
        <v>566</v>
      </c>
      <c r="C285" s="5">
        <v>21.87</v>
      </c>
      <c r="D285" s="4">
        <v>409</v>
      </c>
      <c r="E285" s="5">
        <v>28.58</v>
      </c>
      <c r="F285" s="4">
        <v>156</v>
      </c>
      <c r="G285" s="5">
        <v>13.67</v>
      </c>
      <c r="H285" s="4">
        <v>0</v>
      </c>
    </row>
    <row r="286" spans="1:8" x14ac:dyDescent="0.2">
      <c r="A286" s="2" t="s">
        <v>57</v>
      </c>
      <c r="B286" s="4">
        <v>305</v>
      </c>
      <c r="C286" s="5">
        <v>11.79</v>
      </c>
      <c r="D286" s="4">
        <v>248</v>
      </c>
      <c r="E286" s="5">
        <v>17.329999999999998</v>
      </c>
      <c r="F286" s="4">
        <v>56</v>
      </c>
      <c r="G286" s="5">
        <v>4.91</v>
      </c>
      <c r="H286" s="4">
        <v>1</v>
      </c>
    </row>
    <row r="287" spans="1:8" x14ac:dyDescent="0.2">
      <c r="A287" s="2" t="s">
        <v>58</v>
      </c>
      <c r="B287" s="4">
        <v>84</v>
      </c>
      <c r="C287" s="5">
        <v>3.25</v>
      </c>
      <c r="D287" s="4">
        <v>57</v>
      </c>
      <c r="E287" s="5">
        <v>3.98</v>
      </c>
      <c r="F287" s="4">
        <v>22</v>
      </c>
      <c r="G287" s="5">
        <v>1.93</v>
      </c>
      <c r="H287" s="4">
        <v>4</v>
      </c>
    </row>
    <row r="288" spans="1:8" x14ac:dyDescent="0.2">
      <c r="A288" s="2" t="s">
        <v>59</v>
      </c>
      <c r="B288" s="4">
        <v>120</v>
      </c>
      <c r="C288" s="5">
        <v>4.6399999999999997</v>
      </c>
      <c r="D288" s="4">
        <v>78</v>
      </c>
      <c r="E288" s="5">
        <v>5.45</v>
      </c>
      <c r="F288" s="4">
        <v>37</v>
      </c>
      <c r="G288" s="5">
        <v>3.24</v>
      </c>
      <c r="H288" s="4">
        <v>1</v>
      </c>
    </row>
    <row r="289" spans="1:8" x14ac:dyDescent="0.2">
      <c r="A289" s="2" t="s">
        <v>60</v>
      </c>
      <c r="B289" s="4">
        <v>70</v>
      </c>
      <c r="C289" s="5">
        <v>2.7</v>
      </c>
      <c r="D289" s="4">
        <v>29</v>
      </c>
      <c r="E289" s="5">
        <v>2.0299999999999998</v>
      </c>
      <c r="F289" s="4">
        <v>38</v>
      </c>
      <c r="G289" s="5">
        <v>3.33</v>
      </c>
      <c r="H289" s="4">
        <v>2</v>
      </c>
    </row>
    <row r="290" spans="1:8" x14ac:dyDescent="0.2">
      <c r="A290" s="1" t="s">
        <v>18</v>
      </c>
      <c r="B290" s="4">
        <v>2559</v>
      </c>
      <c r="C290" s="5">
        <v>100</v>
      </c>
      <c r="D290" s="4">
        <v>1598</v>
      </c>
      <c r="E290" s="5">
        <v>100.00999999999999</v>
      </c>
      <c r="F290" s="4">
        <v>939</v>
      </c>
      <c r="G290" s="5">
        <v>99.979999999999976</v>
      </c>
      <c r="H290" s="4">
        <v>5</v>
      </c>
    </row>
    <row r="291" spans="1:8" x14ac:dyDescent="0.2">
      <c r="A291" s="2" t="s">
        <v>46</v>
      </c>
      <c r="B291" s="4">
        <v>3</v>
      </c>
      <c r="C291" s="5">
        <v>0.12</v>
      </c>
      <c r="D291" s="4">
        <v>0</v>
      </c>
      <c r="E291" s="5">
        <v>0</v>
      </c>
      <c r="F291" s="4">
        <v>3</v>
      </c>
      <c r="G291" s="5">
        <v>0.32</v>
      </c>
      <c r="H291" s="4">
        <v>0</v>
      </c>
    </row>
    <row r="292" spans="1:8" x14ac:dyDescent="0.2">
      <c r="A292" s="2" t="s">
        <v>47</v>
      </c>
      <c r="B292" s="4">
        <v>397</v>
      </c>
      <c r="C292" s="5">
        <v>15.51</v>
      </c>
      <c r="D292" s="4">
        <v>207</v>
      </c>
      <c r="E292" s="5">
        <v>12.95</v>
      </c>
      <c r="F292" s="4">
        <v>190</v>
      </c>
      <c r="G292" s="5">
        <v>20.23</v>
      </c>
      <c r="H292" s="4">
        <v>0</v>
      </c>
    </row>
    <row r="293" spans="1:8" x14ac:dyDescent="0.2">
      <c r="A293" s="2" t="s">
        <v>48</v>
      </c>
      <c r="B293" s="4">
        <v>332</v>
      </c>
      <c r="C293" s="5">
        <v>12.97</v>
      </c>
      <c r="D293" s="4">
        <v>130</v>
      </c>
      <c r="E293" s="5">
        <v>8.14</v>
      </c>
      <c r="F293" s="4">
        <v>200</v>
      </c>
      <c r="G293" s="5">
        <v>21.3</v>
      </c>
      <c r="H293" s="4">
        <v>2</v>
      </c>
    </row>
    <row r="294" spans="1:8" x14ac:dyDescent="0.2">
      <c r="A294" s="2" t="s">
        <v>49</v>
      </c>
      <c r="B294" s="4">
        <v>8</v>
      </c>
      <c r="C294" s="5">
        <v>0.31</v>
      </c>
      <c r="D294" s="4">
        <v>3</v>
      </c>
      <c r="E294" s="5">
        <v>0.19</v>
      </c>
      <c r="F294" s="4">
        <v>4</v>
      </c>
      <c r="G294" s="5">
        <v>0.43</v>
      </c>
      <c r="H294" s="4">
        <v>0</v>
      </c>
    </row>
    <row r="295" spans="1:8" x14ac:dyDescent="0.2">
      <c r="A295" s="2" t="s">
        <v>50</v>
      </c>
      <c r="B295" s="4">
        <v>21</v>
      </c>
      <c r="C295" s="5">
        <v>0.82</v>
      </c>
      <c r="D295" s="4">
        <v>3</v>
      </c>
      <c r="E295" s="5">
        <v>0.19</v>
      </c>
      <c r="F295" s="4">
        <v>18</v>
      </c>
      <c r="G295" s="5">
        <v>1.92</v>
      </c>
      <c r="H295" s="4">
        <v>0</v>
      </c>
    </row>
    <row r="296" spans="1:8" x14ac:dyDescent="0.2">
      <c r="A296" s="2" t="s">
        <v>51</v>
      </c>
      <c r="B296" s="4">
        <v>19</v>
      </c>
      <c r="C296" s="5">
        <v>0.74</v>
      </c>
      <c r="D296" s="4">
        <v>4</v>
      </c>
      <c r="E296" s="5">
        <v>0.25</v>
      </c>
      <c r="F296" s="4">
        <v>15</v>
      </c>
      <c r="G296" s="5">
        <v>1.6</v>
      </c>
      <c r="H296" s="4">
        <v>0</v>
      </c>
    </row>
    <row r="297" spans="1:8" x14ac:dyDescent="0.2">
      <c r="A297" s="2" t="s">
        <v>52</v>
      </c>
      <c r="B297" s="4">
        <v>575</v>
      </c>
      <c r="C297" s="5">
        <v>22.47</v>
      </c>
      <c r="D297" s="4">
        <v>357</v>
      </c>
      <c r="E297" s="5">
        <v>22.34</v>
      </c>
      <c r="F297" s="4">
        <v>217</v>
      </c>
      <c r="G297" s="5">
        <v>23.11</v>
      </c>
      <c r="H297" s="4">
        <v>1</v>
      </c>
    </row>
    <row r="298" spans="1:8" x14ac:dyDescent="0.2">
      <c r="A298" s="2" t="s">
        <v>53</v>
      </c>
      <c r="B298" s="4">
        <v>25</v>
      </c>
      <c r="C298" s="5">
        <v>0.98</v>
      </c>
      <c r="D298" s="4">
        <v>5</v>
      </c>
      <c r="E298" s="5">
        <v>0.31</v>
      </c>
      <c r="F298" s="4">
        <v>19</v>
      </c>
      <c r="G298" s="5">
        <v>2.02</v>
      </c>
      <c r="H298" s="4">
        <v>1</v>
      </c>
    </row>
    <row r="299" spans="1:8" x14ac:dyDescent="0.2">
      <c r="A299" s="2" t="s">
        <v>54</v>
      </c>
      <c r="B299" s="4">
        <v>197</v>
      </c>
      <c r="C299" s="5">
        <v>7.7</v>
      </c>
      <c r="D299" s="4">
        <v>143</v>
      </c>
      <c r="E299" s="5">
        <v>8.9499999999999993</v>
      </c>
      <c r="F299" s="4">
        <v>54</v>
      </c>
      <c r="G299" s="5">
        <v>5.75</v>
      </c>
      <c r="H299" s="4">
        <v>0</v>
      </c>
    </row>
    <row r="300" spans="1:8" x14ac:dyDescent="0.2">
      <c r="A300" s="2" t="s">
        <v>55</v>
      </c>
      <c r="B300" s="4">
        <v>121</v>
      </c>
      <c r="C300" s="5">
        <v>4.7300000000000004</v>
      </c>
      <c r="D300" s="4">
        <v>84</v>
      </c>
      <c r="E300" s="5">
        <v>5.26</v>
      </c>
      <c r="F300" s="4">
        <v>36</v>
      </c>
      <c r="G300" s="5">
        <v>3.83</v>
      </c>
      <c r="H300" s="4">
        <v>0</v>
      </c>
    </row>
    <row r="301" spans="1:8" x14ac:dyDescent="0.2">
      <c r="A301" s="2" t="s">
        <v>56</v>
      </c>
      <c r="B301" s="4">
        <v>272</v>
      </c>
      <c r="C301" s="5">
        <v>10.63</v>
      </c>
      <c r="D301" s="4">
        <v>220</v>
      </c>
      <c r="E301" s="5">
        <v>13.77</v>
      </c>
      <c r="F301" s="4">
        <v>50</v>
      </c>
      <c r="G301" s="5">
        <v>5.32</v>
      </c>
      <c r="H301" s="4">
        <v>1</v>
      </c>
    </row>
    <row r="302" spans="1:8" x14ac:dyDescent="0.2">
      <c r="A302" s="2" t="s">
        <v>57</v>
      </c>
      <c r="B302" s="4">
        <v>324</v>
      </c>
      <c r="C302" s="5">
        <v>12.66</v>
      </c>
      <c r="D302" s="4">
        <v>274</v>
      </c>
      <c r="E302" s="5">
        <v>17.149999999999999</v>
      </c>
      <c r="F302" s="4">
        <v>50</v>
      </c>
      <c r="G302" s="5">
        <v>5.32</v>
      </c>
      <c r="H302" s="4">
        <v>0</v>
      </c>
    </row>
    <row r="303" spans="1:8" x14ac:dyDescent="0.2">
      <c r="A303" s="2" t="s">
        <v>58</v>
      </c>
      <c r="B303" s="4">
        <v>87</v>
      </c>
      <c r="C303" s="5">
        <v>3.4</v>
      </c>
      <c r="D303" s="4">
        <v>67</v>
      </c>
      <c r="E303" s="5">
        <v>4.1900000000000004</v>
      </c>
      <c r="F303" s="4">
        <v>16</v>
      </c>
      <c r="G303" s="5">
        <v>1.7</v>
      </c>
      <c r="H303" s="4">
        <v>0</v>
      </c>
    </row>
    <row r="304" spans="1:8" x14ac:dyDescent="0.2">
      <c r="A304" s="2" t="s">
        <v>59</v>
      </c>
      <c r="B304" s="4">
        <v>103</v>
      </c>
      <c r="C304" s="5">
        <v>4.03</v>
      </c>
      <c r="D304" s="4">
        <v>62</v>
      </c>
      <c r="E304" s="5">
        <v>3.88</v>
      </c>
      <c r="F304" s="4">
        <v>36</v>
      </c>
      <c r="G304" s="5">
        <v>3.83</v>
      </c>
      <c r="H304" s="4">
        <v>0</v>
      </c>
    </row>
    <row r="305" spans="1:8" x14ac:dyDescent="0.2">
      <c r="A305" s="2" t="s">
        <v>60</v>
      </c>
      <c r="B305" s="4">
        <v>75</v>
      </c>
      <c r="C305" s="5">
        <v>2.93</v>
      </c>
      <c r="D305" s="4">
        <v>39</v>
      </c>
      <c r="E305" s="5">
        <v>2.44</v>
      </c>
      <c r="F305" s="4">
        <v>31</v>
      </c>
      <c r="G305" s="5">
        <v>3.3</v>
      </c>
      <c r="H305" s="4">
        <v>0</v>
      </c>
    </row>
    <row r="306" spans="1:8" x14ac:dyDescent="0.2">
      <c r="A306" s="1" t="s">
        <v>19</v>
      </c>
      <c r="B306" s="4">
        <v>6789</v>
      </c>
      <c r="C306" s="5">
        <v>99.970000000000013</v>
      </c>
      <c r="D306" s="4">
        <v>3658</v>
      </c>
      <c r="E306" s="5">
        <v>100</v>
      </c>
      <c r="F306" s="4">
        <v>3100</v>
      </c>
      <c r="G306" s="5">
        <v>99.990000000000009</v>
      </c>
      <c r="H306" s="4">
        <v>15</v>
      </c>
    </row>
    <row r="307" spans="1:8" x14ac:dyDescent="0.2">
      <c r="A307" s="2" t="s">
        <v>46</v>
      </c>
      <c r="B307" s="4">
        <v>1</v>
      </c>
      <c r="C307" s="5">
        <v>0.01</v>
      </c>
      <c r="D307" s="4">
        <v>0</v>
      </c>
      <c r="E307" s="5">
        <v>0</v>
      </c>
      <c r="F307" s="4">
        <v>1</v>
      </c>
      <c r="G307" s="5">
        <v>0.03</v>
      </c>
      <c r="H307" s="4">
        <v>0</v>
      </c>
    </row>
    <row r="308" spans="1:8" x14ac:dyDescent="0.2">
      <c r="A308" s="2" t="s">
        <v>47</v>
      </c>
      <c r="B308" s="4">
        <v>1028</v>
      </c>
      <c r="C308" s="5">
        <v>15.14</v>
      </c>
      <c r="D308" s="4">
        <v>334</v>
      </c>
      <c r="E308" s="5">
        <v>9.1300000000000008</v>
      </c>
      <c r="F308" s="4">
        <v>694</v>
      </c>
      <c r="G308" s="5">
        <v>22.39</v>
      </c>
      <c r="H308" s="4">
        <v>0</v>
      </c>
    </row>
    <row r="309" spans="1:8" x14ac:dyDescent="0.2">
      <c r="A309" s="2" t="s">
        <v>48</v>
      </c>
      <c r="B309" s="4">
        <v>763</v>
      </c>
      <c r="C309" s="5">
        <v>11.24</v>
      </c>
      <c r="D309" s="4">
        <v>247</v>
      </c>
      <c r="E309" s="5">
        <v>6.75</v>
      </c>
      <c r="F309" s="4">
        <v>515</v>
      </c>
      <c r="G309" s="5">
        <v>16.61</v>
      </c>
      <c r="H309" s="4">
        <v>1</v>
      </c>
    </row>
    <row r="310" spans="1:8" x14ac:dyDescent="0.2">
      <c r="A310" s="2" t="s">
        <v>49</v>
      </c>
      <c r="B310" s="4">
        <v>6</v>
      </c>
      <c r="C310" s="5">
        <v>0.09</v>
      </c>
      <c r="D310" s="4">
        <v>0</v>
      </c>
      <c r="E310" s="5">
        <v>0</v>
      </c>
      <c r="F310" s="4">
        <v>6</v>
      </c>
      <c r="G310" s="5">
        <v>0.19</v>
      </c>
      <c r="H310" s="4">
        <v>0</v>
      </c>
    </row>
    <row r="311" spans="1:8" x14ac:dyDescent="0.2">
      <c r="A311" s="2" t="s">
        <v>50</v>
      </c>
      <c r="B311" s="4">
        <v>41</v>
      </c>
      <c r="C311" s="5">
        <v>0.6</v>
      </c>
      <c r="D311" s="4">
        <v>1</v>
      </c>
      <c r="E311" s="5">
        <v>0.03</v>
      </c>
      <c r="F311" s="4">
        <v>40</v>
      </c>
      <c r="G311" s="5">
        <v>1.29</v>
      </c>
      <c r="H311" s="4">
        <v>0</v>
      </c>
    </row>
    <row r="312" spans="1:8" x14ac:dyDescent="0.2">
      <c r="A312" s="2" t="s">
        <v>51</v>
      </c>
      <c r="B312" s="4">
        <v>96</v>
      </c>
      <c r="C312" s="5">
        <v>1.41</v>
      </c>
      <c r="D312" s="4">
        <v>6</v>
      </c>
      <c r="E312" s="5">
        <v>0.16</v>
      </c>
      <c r="F312" s="4">
        <v>90</v>
      </c>
      <c r="G312" s="5">
        <v>2.9</v>
      </c>
      <c r="H312" s="4">
        <v>0</v>
      </c>
    </row>
    <row r="313" spans="1:8" x14ac:dyDescent="0.2">
      <c r="A313" s="2" t="s">
        <v>52</v>
      </c>
      <c r="B313" s="4">
        <v>1418</v>
      </c>
      <c r="C313" s="5">
        <v>20.89</v>
      </c>
      <c r="D313" s="4">
        <v>696</v>
      </c>
      <c r="E313" s="5">
        <v>19.03</v>
      </c>
      <c r="F313" s="4">
        <v>711</v>
      </c>
      <c r="G313" s="5">
        <v>22.94</v>
      </c>
      <c r="H313" s="4">
        <v>11</v>
      </c>
    </row>
    <row r="314" spans="1:8" x14ac:dyDescent="0.2">
      <c r="A314" s="2" t="s">
        <v>53</v>
      </c>
      <c r="B314" s="4">
        <v>63</v>
      </c>
      <c r="C314" s="5">
        <v>0.93</v>
      </c>
      <c r="D314" s="4">
        <v>13</v>
      </c>
      <c r="E314" s="5">
        <v>0.36</v>
      </c>
      <c r="F314" s="4">
        <v>49</v>
      </c>
      <c r="G314" s="5">
        <v>1.58</v>
      </c>
      <c r="H314" s="4">
        <v>1</v>
      </c>
    </row>
    <row r="315" spans="1:8" x14ac:dyDescent="0.2">
      <c r="A315" s="2" t="s">
        <v>54</v>
      </c>
      <c r="B315" s="4">
        <v>762</v>
      </c>
      <c r="C315" s="5">
        <v>11.22</v>
      </c>
      <c r="D315" s="4">
        <v>394</v>
      </c>
      <c r="E315" s="5">
        <v>10.77</v>
      </c>
      <c r="F315" s="4">
        <v>368</v>
      </c>
      <c r="G315" s="5">
        <v>11.87</v>
      </c>
      <c r="H315" s="4">
        <v>0</v>
      </c>
    </row>
    <row r="316" spans="1:8" x14ac:dyDescent="0.2">
      <c r="A316" s="2" t="s">
        <v>55</v>
      </c>
      <c r="B316" s="4">
        <v>333</v>
      </c>
      <c r="C316" s="5">
        <v>4.9000000000000004</v>
      </c>
      <c r="D316" s="4">
        <v>205</v>
      </c>
      <c r="E316" s="5">
        <v>5.6</v>
      </c>
      <c r="F316" s="4">
        <v>125</v>
      </c>
      <c r="G316" s="5">
        <v>4.03</v>
      </c>
      <c r="H316" s="4">
        <v>0</v>
      </c>
    </row>
    <row r="317" spans="1:8" x14ac:dyDescent="0.2">
      <c r="A317" s="2" t="s">
        <v>56</v>
      </c>
      <c r="B317" s="4">
        <v>705</v>
      </c>
      <c r="C317" s="5">
        <v>10.38</v>
      </c>
      <c r="D317" s="4">
        <v>599</v>
      </c>
      <c r="E317" s="5">
        <v>16.38</v>
      </c>
      <c r="F317" s="4">
        <v>105</v>
      </c>
      <c r="G317" s="5">
        <v>3.39</v>
      </c>
      <c r="H317" s="4">
        <v>1</v>
      </c>
    </row>
    <row r="318" spans="1:8" x14ac:dyDescent="0.2">
      <c r="A318" s="2" t="s">
        <v>57</v>
      </c>
      <c r="B318" s="4">
        <v>759</v>
      </c>
      <c r="C318" s="5">
        <v>11.18</v>
      </c>
      <c r="D318" s="4">
        <v>607</v>
      </c>
      <c r="E318" s="5">
        <v>16.59</v>
      </c>
      <c r="F318" s="4">
        <v>152</v>
      </c>
      <c r="G318" s="5">
        <v>4.9000000000000004</v>
      </c>
      <c r="H318" s="4">
        <v>0</v>
      </c>
    </row>
    <row r="319" spans="1:8" x14ac:dyDescent="0.2">
      <c r="A319" s="2" t="s">
        <v>58</v>
      </c>
      <c r="B319" s="4">
        <v>282</v>
      </c>
      <c r="C319" s="5">
        <v>4.1500000000000004</v>
      </c>
      <c r="D319" s="4">
        <v>223</v>
      </c>
      <c r="E319" s="5">
        <v>6.1</v>
      </c>
      <c r="F319" s="4">
        <v>57</v>
      </c>
      <c r="G319" s="5">
        <v>1.84</v>
      </c>
      <c r="H319" s="4">
        <v>0</v>
      </c>
    </row>
    <row r="320" spans="1:8" x14ac:dyDescent="0.2">
      <c r="A320" s="2" t="s">
        <v>59</v>
      </c>
      <c r="B320" s="4">
        <v>269</v>
      </c>
      <c r="C320" s="5">
        <v>3.96</v>
      </c>
      <c r="D320" s="4">
        <v>192</v>
      </c>
      <c r="E320" s="5">
        <v>5.25</v>
      </c>
      <c r="F320" s="4">
        <v>66</v>
      </c>
      <c r="G320" s="5">
        <v>2.13</v>
      </c>
      <c r="H320" s="4">
        <v>1</v>
      </c>
    </row>
    <row r="321" spans="1:8" x14ac:dyDescent="0.2">
      <c r="A321" s="2" t="s">
        <v>60</v>
      </c>
      <c r="B321" s="4">
        <v>263</v>
      </c>
      <c r="C321" s="5">
        <v>3.87</v>
      </c>
      <c r="D321" s="4">
        <v>141</v>
      </c>
      <c r="E321" s="5">
        <v>3.85</v>
      </c>
      <c r="F321" s="4">
        <v>121</v>
      </c>
      <c r="G321" s="5">
        <v>3.9</v>
      </c>
      <c r="H321" s="4">
        <v>0</v>
      </c>
    </row>
    <row r="322" spans="1:8" x14ac:dyDescent="0.2">
      <c r="A322" s="1" t="s">
        <v>20</v>
      </c>
      <c r="B322" s="4">
        <v>3528</v>
      </c>
      <c r="C322" s="5">
        <v>99.97999999999999</v>
      </c>
      <c r="D322" s="4">
        <v>1828</v>
      </c>
      <c r="E322" s="5">
        <v>99.99</v>
      </c>
      <c r="F322" s="4">
        <v>1610</v>
      </c>
      <c r="G322" s="5">
        <v>100.02000000000001</v>
      </c>
      <c r="H322" s="4">
        <v>3</v>
      </c>
    </row>
    <row r="323" spans="1:8" x14ac:dyDescent="0.2">
      <c r="A323" s="2" t="s">
        <v>46</v>
      </c>
      <c r="B323" s="4">
        <v>5</v>
      </c>
      <c r="C323" s="5">
        <v>0.14000000000000001</v>
      </c>
      <c r="D323" s="4">
        <v>0</v>
      </c>
      <c r="E323" s="5">
        <v>0</v>
      </c>
      <c r="F323" s="4">
        <v>5</v>
      </c>
      <c r="G323" s="5">
        <v>0.31</v>
      </c>
      <c r="H323" s="4">
        <v>0</v>
      </c>
    </row>
    <row r="324" spans="1:8" x14ac:dyDescent="0.2">
      <c r="A324" s="2" t="s">
        <v>47</v>
      </c>
      <c r="B324" s="4">
        <v>482</v>
      </c>
      <c r="C324" s="5">
        <v>13.66</v>
      </c>
      <c r="D324" s="4">
        <v>184</v>
      </c>
      <c r="E324" s="5">
        <v>10.07</v>
      </c>
      <c r="F324" s="4">
        <v>298</v>
      </c>
      <c r="G324" s="5">
        <v>18.510000000000002</v>
      </c>
      <c r="H324" s="4">
        <v>0</v>
      </c>
    </row>
    <row r="325" spans="1:8" x14ac:dyDescent="0.2">
      <c r="A325" s="2" t="s">
        <v>48</v>
      </c>
      <c r="B325" s="4">
        <v>535</v>
      </c>
      <c r="C325" s="5">
        <v>15.16</v>
      </c>
      <c r="D325" s="4">
        <v>205</v>
      </c>
      <c r="E325" s="5">
        <v>11.21</v>
      </c>
      <c r="F325" s="4">
        <v>330</v>
      </c>
      <c r="G325" s="5">
        <v>20.5</v>
      </c>
      <c r="H325" s="4">
        <v>0</v>
      </c>
    </row>
    <row r="326" spans="1:8" x14ac:dyDescent="0.2">
      <c r="A326" s="2" t="s">
        <v>49</v>
      </c>
      <c r="B326" s="4">
        <v>12</v>
      </c>
      <c r="C326" s="5">
        <v>0.34</v>
      </c>
      <c r="D326" s="4">
        <v>0</v>
      </c>
      <c r="E326" s="5">
        <v>0</v>
      </c>
      <c r="F326" s="4">
        <v>12</v>
      </c>
      <c r="G326" s="5">
        <v>0.75</v>
      </c>
      <c r="H326" s="4">
        <v>0</v>
      </c>
    </row>
    <row r="327" spans="1:8" x14ac:dyDescent="0.2">
      <c r="A327" s="2" t="s">
        <v>50</v>
      </c>
      <c r="B327" s="4">
        <v>19</v>
      </c>
      <c r="C327" s="5">
        <v>0.54</v>
      </c>
      <c r="D327" s="4">
        <v>1</v>
      </c>
      <c r="E327" s="5">
        <v>0.05</v>
      </c>
      <c r="F327" s="4">
        <v>18</v>
      </c>
      <c r="G327" s="5">
        <v>1.1200000000000001</v>
      </c>
      <c r="H327" s="4">
        <v>0</v>
      </c>
    </row>
    <row r="328" spans="1:8" x14ac:dyDescent="0.2">
      <c r="A328" s="2" t="s">
        <v>51</v>
      </c>
      <c r="B328" s="4">
        <v>29</v>
      </c>
      <c r="C328" s="5">
        <v>0.82</v>
      </c>
      <c r="D328" s="4">
        <v>10</v>
      </c>
      <c r="E328" s="5">
        <v>0.55000000000000004</v>
      </c>
      <c r="F328" s="4">
        <v>18</v>
      </c>
      <c r="G328" s="5">
        <v>1.1200000000000001</v>
      </c>
      <c r="H328" s="4">
        <v>1</v>
      </c>
    </row>
    <row r="329" spans="1:8" x14ac:dyDescent="0.2">
      <c r="A329" s="2" t="s">
        <v>52</v>
      </c>
      <c r="B329" s="4">
        <v>734</v>
      </c>
      <c r="C329" s="5">
        <v>20.8</v>
      </c>
      <c r="D329" s="4">
        <v>334</v>
      </c>
      <c r="E329" s="5">
        <v>18.27</v>
      </c>
      <c r="F329" s="4">
        <v>399</v>
      </c>
      <c r="G329" s="5">
        <v>24.78</v>
      </c>
      <c r="H329" s="4">
        <v>1</v>
      </c>
    </row>
    <row r="330" spans="1:8" x14ac:dyDescent="0.2">
      <c r="A330" s="2" t="s">
        <v>53</v>
      </c>
      <c r="B330" s="4">
        <v>20</v>
      </c>
      <c r="C330" s="5">
        <v>0.56999999999999995</v>
      </c>
      <c r="D330" s="4">
        <v>5</v>
      </c>
      <c r="E330" s="5">
        <v>0.27</v>
      </c>
      <c r="F330" s="4">
        <v>15</v>
      </c>
      <c r="G330" s="5">
        <v>0.93</v>
      </c>
      <c r="H330" s="4">
        <v>0</v>
      </c>
    </row>
    <row r="331" spans="1:8" x14ac:dyDescent="0.2">
      <c r="A331" s="2" t="s">
        <v>54</v>
      </c>
      <c r="B331" s="4">
        <v>319</v>
      </c>
      <c r="C331" s="5">
        <v>9.0399999999999991</v>
      </c>
      <c r="D331" s="4">
        <v>159</v>
      </c>
      <c r="E331" s="5">
        <v>8.6999999999999993</v>
      </c>
      <c r="F331" s="4">
        <v>160</v>
      </c>
      <c r="G331" s="5">
        <v>9.94</v>
      </c>
      <c r="H331" s="4">
        <v>0</v>
      </c>
    </row>
    <row r="332" spans="1:8" x14ac:dyDescent="0.2">
      <c r="A332" s="2" t="s">
        <v>55</v>
      </c>
      <c r="B332" s="4">
        <v>151</v>
      </c>
      <c r="C332" s="5">
        <v>4.28</v>
      </c>
      <c r="D332" s="4">
        <v>81</v>
      </c>
      <c r="E332" s="5">
        <v>4.43</v>
      </c>
      <c r="F332" s="4">
        <v>70</v>
      </c>
      <c r="G332" s="5">
        <v>4.3499999999999996</v>
      </c>
      <c r="H332" s="4">
        <v>0</v>
      </c>
    </row>
    <row r="333" spans="1:8" x14ac:dyDescent="0.2">
      <c r="A333" s="2" t="s">
        <v>56</v>
      </c>
      <c r="B333" s="4">
        <v>304</v>
      </c>
      <c r="C333" s="5">
        <v>8.6199999999999992</v>
      </c>
      <c r="D333" s="4">
        <v>249</v>
      </c>
      <c r="E333" s="5">
        <v>13.62</v>
      </c>
      <c r="F333" s="4">
        <v>52</v>
      </c>
      <c r="G333" s="5">
        <v>3.23</v>
      </c>
      <c r="H333" s="4">
        <v>0</v>
      </c>
    </row>
    <row r="334" spans="1:8" x14ac:dyDescent="0.2">
      <c r="A334" s="2" t="s">
        <v>57</v>
      </c>
      <c r="B334" s="4">
        <v>426</v>
      </c>
      <c r="C334" s="5">
        <v>12.07</v>
      </c>
      <c r="D334" s="4">
        <v>339</v>
      </c>
      <c r="E334" s="5">
        <v>18.54</v>
      </c>
      <c r="F334" s="4">
        <v>85</v>
      </c>
      <c r="G334" s="5">
        <v>5.28</v>
      </c>
      <c r="H334" s="4">
        <v>0</v>
      </c>
    </row>
    <row r="335" spans="1:8" x14ac:dyDescent="0.2">
      <c r="A335" s="2" t="s">
        <v>58</v>
      </c>
      <c r="B335" s="4">
        <v>136</v>
      </c>
      <c r="C335" s="5">
        <v>3.85</v>
      </c>
      <c r="D335" s="4">
        <v>104</v>
      </c>
      <c r="E335" s="5">
        <v>5.69</v>
      </c>
      <c r="F335" s="4">
        <v>29</v>
      </c>
      <c r="G335" s="5">
        <v>1.8</v>
      </c>
      <c r="H335" s="4">
        <v>0</v>
      </c>
    </row>
    <row r="336" spans="1:8" x14ac:dyDescent="0.2">
      <c r="A336" s="2" t="s">
        <v>59</v>
      </c>
      <c r="B336" s="4">
        <v>213</v>
      </c>
      <c r="C336" s="5">
        <v>6.04</v>
      </c>
      <c r="D336" s="4">
        <v>107</v>
      </c>
      <c r="E336" s="5">
        <v>5.85</v>
      </c>
      <c r="F336" s="4">
        <v>50</v>
      </c>
      <c r="G336" s="5">
        <v>3.11</v>
      </c>
      <c r="H336" s="4">
        <v>0</v>
      </c>
    </row>
    <row r="337" spans="1:8" x14ac:dyDescent="0.2">
      <c r="A337" s="2" t="s">
        <v>60</v>
      </c>
      <c r="B337" s="4">
        <v>143</v>
      </c>
      <c r="C337" s="5">
        <v>4.05</v>
      </c>
      <c r="D337" s="4">
        <v>50</v>
      </c>
      <c r="E337" s="5">
        <v>2.74</v>
      </c>
      <c r="F337" s="4">
        <v>69</v>
      </c>
      <c r="G337" s="5">
        <v>4.29</v>
      </c>
      <c r="H337" s="4">
        <v>1</v>
      </c>
    </row>
    <row r="338" spans="1:8" x14ac:dyDescent="0.2">
      <c r="A338" s="1" t="s">
        <v>21</v>
      </c>
      <c r="B338" s="4">
        <v>3631</v>
      </c>
      <c r="C338" s="5">
        <v>100.00999999999999</v>
      </c>
      <c r="D338" s="4">
        <v>2041</v>
      </c>
      <c r="E338" s="5">
        <v>99.99</v>
      </c>
      <c r="F338" s="4">
        <v>1583</v>
      </c>
      <c r="G338" s="5">
        <v>99.98</v>
      </c>
      <c r="H338" s="4">
        <v>5</v>
      </c>
    </row>
    <row r="339" spans="1:8" x14ac:dyDescent="0.2">
      <c r="A339" s="2" t="s">
        <v>46</v>
      </c>
      <c r="B339" s="4">
        <v>1</v>
      </c>
      <c r="C339" s="5">
        <v>0.03</v>
      </c>
      <c r="D339" s="4">
        <v>1</v>
      </c>
      <c r="E339" s="5">
        <v>0.05</v>
      </c>
      <c r="F339" s="4">
        <v>0</v>
      </c>
      <c r="G339" s="5">
        <v>0</v>
      </c>
      <c r="H339" s="4">
        <v>0</v>
      </c>
    </row>
    <row r="340" spans="1:8" x14ac:dyDescent="0.2">
      <c r="A340" s="2" t="s">
        <v>47</v>
      </c>
      <c r="B340" s="4">
        <v>500</v>
      </c>
      <c r="C340" s="5">
        <v>13.77</v>
      </c>
      <c r="D340" s="4">
        <v>203</v>
      </c>
      <c r="E340" s="5">
        <v>9.9499999999999993</v>
      </c>
      <c r="F340" s="4">
        <v>297</v>
      </c>
      <c r="G340" s="5">
        <v>18.760000000000002</v>
      </c>
      <c r="H340" s="4">
        <v>0</v>
      </c>
    </row>
    <row r="341" spans="1:8" x14ac:dyDescent="0.2">
      <c r="A341" s="2" t="s">
        <v>48</v>
      </c>
      <c r="B341" s="4">
        <v>529</v>
      </c>
      <c r="C341" s="5">
        <v>14.57</v>
      </c>
      <c r="D341" s="4">
        <v>187</v>
      </c>
      <c r="E341" s="5">
        <v>9.16</v>
      </c>
      <c r="F341" s="4">
        <v>342</v>
      </c>
      <c r="G341" s="5">
        <v>21.6</v>
      </c>
      <c r="H341" s="4">
        <v>0</v>
      </c>
    </row>
    <row r="342" spans="1:8" x14ac:dyDescent="0.2">
      <c r="A342" s="2" t="s">
        <v>49</v>
      </c>
      <c r="B342" s="4">
        <v>5</v>
      </c>
      <c r="C342" s="5">
        <v>0.14000000000000001</v>
      </c>
      <c r="D342" s="4">
        <v>1</v>
      </c>
      <c r="E342" s="5">
        <v>0.05</v>
      </c>
      <c r="F342" s="4">
        <v>4</v>
      </c>
      <c r="G342" s="5">
        <v>0.25</v>
      </c>
      <c r="H342" s="4">
        <v>0</v>
      </c>
    </row>
    <row r="343" spans="1:8" x14ac:dyDescent="0.2">
      <c r="A343" s="2" t="s">
        <v>50</v>
      </c>
      <c r="B343" s="4">
        <v>21</v>
      </c>
      <c r="C343" s="5">
        <v>0.57999999999999996</v>
      </c>
      <c r="D343" s="4">
        <v>3</v>
      </c>
      <c r="E343" s="5">
        <v>0.15</v>
      </c>
      <c r="F343" s="4">
        <v>18</v>
      </c>
      <c r="G343" s="5">
        <v>1.1399999999999999</v>
      </c>
      <c r="H343" s="4">
        <v>0</v>
      </c>
    </row>
    <row r="344" spans="1:8" x14ac:dyDescent="0.2">
      <c r="A344" s="2" t="s">
        <v>51</v>
      </c>
      <c r="B344" s="4">
        <v>59</v>
      </c>
      <c r="C344" s="5">
        <v>1.62</v>
      </c>
      <c r="D344" s="4">
        <v>5</v>
      </c>
      <c r="E344" s="5">
        <v>0.24</v>
      </c>
      <c r="F344" s="4">
        <v>54</v>
      </c>
      <c r="G344" s="5">
        <v>3.41</v>
      </c>
      <c r="H344" s="4">
        <v>0</v>
      </c>
    </row>
    <row r="345" spans="1:8" x14ac:dyDescent="0.2">
      <c r="A345" s="2" t="s">
        <v>52</v>
      </c>
      <c r="B345" s="4">
        <v>887</v>
      </c>
      <c r="C345" s="5">
        <v>24.43</v>
      </c>
      <c r="D345" s="4">
        <v>448</v>
      </c>
      <c r="E345" s="5">
        <v>21.95</v>
      </c>
      <c r="F345" s="4">
        <v>438</v>
      </c>
      <c r="G345" s="5">
        <v>27.67</v>
      </c>
      <c r="H345" s="4">
        <v>1</v>
      </c>
    </row>
    <row r="346" spans="1:8" x14ac:dyDescent="0.2">
      <c r="A346" s="2" t="s">
        <v>53</v>
      </c>
      <c r="B346" s="4">
        <v>24</v>
      </c>
      <c r="C346" s="5">
        <v>0.66</v>
      </c>
      <c r="D346" s="4">
        <v>10</v>
      </c>
      <c r="E346" s="5">
        <v>0.49</v>
      </c>
      <c r="F346" s="4">
        <v>14</v>
      </c>
      <c r="G346" s="5">
        <v>0.88</v>
      </c>
      <c r="H346" s="4">
        <v>0</v>
      </c>
    </row>
    <row r="347" spans="1:8" x14ac:dyDescent="0.2">
      <c r="A347" s="2" t="s">
        <v>54</v>
      </c>
      <c r="B347" s="4">
        <v>235</v>
      </c>
      <c r="C347" s="5">
        <v>6.47</v>
      </c>
      <c r="D347" s="4">
        <v>125</v>
      </c>
      <c r="E347" s="5">
        <v>6.12</v>
      </c>
      <c r="F347" s="4">
        <v>110</v>
      </c>
      <c r="G347" s="5">
        <v>6.95</v>
      </c>
      <c r="H347" s="4">
        <v>0</v>
      </c>
    </row>
    <row r="348" spans="1:8" x14ac:dyDescent="0.2">
      <c r="A348" s="2" t="s">
        <v>55</v>
      </c>
      <c r="B348" s="4">
        <v>135</v>
      </c>
      <c r="C348" s="5">
        <v>3.72</v>
      </c>
      <c r="D348" s="4">
        <v>93</v>
      </c>
      <c r="E348" s="5">
        <v>4.5599999999999996</v>
      </c>
      <c r="F348" s="4">
        <v>42</v>
      </c>
      <c r="G348" s="5">
        <v>2.65</v>
      </c>
      <c r="H348" s="4">
        <v>0</v>
      </c>
    </row>
    <row r="349" spans="1:8" x14ac:dyDescent="0.2">
      <c r="A349" s="2" t="s">
        <v>56</v>
      </c>
      <c r="B349" s="4">
        <v>362</v>
      </c>
      <c r="C349" s="5">
        <v>9.9700000000000006</v>
      </c>
      <c r="D349" s="4">
        <v>317</v>
      </c>
      <c r="E349" s="5">
        <v>15.53</v>
      </c>
      <c r="F349" s="4">
        <v>45</v>
      </c>
      <c r="G349" s="5">
        <v>2.84</v>
      </c>
      <c r="H349" s="4">
        <v>0</v>
      </c>
    </row>
    <row r="350" spans="1:8" x14ac:dyDescent="0.2">
      <c r="A350" s="2" t="s">
        <v>57</v>
      </c>
      <c r="B350" s="4">
        <v>442</v>
      </c>
      <c r="C350" s="5">
        <v>12.17</v>
      </c>
      <c r="D350" s="4">
        <v>365</v>
      </c>
      <c r="E350" s="5">
        <v>17.88</v>
      </c>
      <c r="F350" s="4">
        <v>77</v>
      </c>
      <c r="G350" s="5">
        <v>4.8600000000000003</v>
      </c>
      <c r="H350" s="4">
        <v>0</v>
      </c>
    </row>
    <row r="351" spans="1:8" x14ac:dyDescent="0.2">
      <c r="A351" s="2" t="s">
        <v>58</v>
      </c>
      <c r="B351" s="4">
        <v>163</v>
      </c>
      <c r="C351" s="5">
        <v>4.49</v>
      </c>
      <c r="D351" s="4">
        <v>136</v>
      </c>
      <c r="E351" s="5">
        <v>6.66</v>
      </c>
      <c r="F351" s="4">
        <v>26</v>
      </c>
      <c r="G351" s="5">
        <v>1.64</v>
      </c>
      <c r="H351" s="4">
        <v>1</v>
      </c>
    </row>
    <row r="352" spans="1:8" x14ac:dyDescent="0.2">
      <c r="A352" s="2" t="s">
        <v>59</v>
      </c>
      <c r="B352" s="4">
        <v>144</v>
      </c>
      <c r="C352" s="5">
        <v>3.97</v>
      </c>
      <c r="D352" s="4">
        <v>95</v>
      </c>
      <c r="E352" s="5">
        <v>4.6500000000000004</v>
      </c>
      <c r="F352" s="4">
        <v>49</v>
      </c>
      <c r="G352" s="5">
        <v>3.1</v>
      </c>
      <c r="H352" s="4">
        <v>0</v>
      </c>
    </row>
    <row r="353" spans="1:8" x14ac:dyDescent="0.2">
      <c r="A353" s="2" t="s">
        <v>60</v>
      </c>
      <c r="B353" s="4">
        <v>124</v>
      </c>
      <c r="C353" s="5">
        <v>3.42</v>
      </c>
      <c r="D353" s="4">
        <v>52</v>
      </c>
      <c r="E353" s="5">
        <v>2.5499999999999998</v>
      </c>
      <c r="F353" s="4">
        <v>67</v>
      </c>
      <c r="G353" s="5">
        <v>4.2300000000000004</v>
      </c>
      <c r="H353" s="4">
        <v>3</v>
      </c>
    </row>
    <row r="354" spans="1:8" x14ac:dyDescent="0.2">
      <c r="A354" s="1" t="s">
        <v>22</v>
      </c>
      <c r="B354" s="4">
        <v>2515</v>
      </c>
      <c r="C354" s="5">
        <v>100.01</v>
      </c>
      <c r="D354" s="4">
        <v>1398</v>
      </c>
      <c r="E354" s="5">
        <v>99.989999999999981</v>
      </c>
      <c r="F354" s="4">
        <v>1100</v>
      </c>
      <c r="G354" s="5">
        <v>100.01000000000002</v>
      </c>
      <c r="H354" s="4">
        <v>5</v>
      </c>
    </row>
    <row r="355" spans="1:8" x14ac:dyDescent="0.2">
      <c r="A355" s="2" t="s">
        <v>46</v>
      </c>
      <c r="B355" s="4">
        <v>0</v>
      </c>
      <c r="C355" s="5">
        <v>0</v>
      </c>
      <c r="D355" s="4">
        <v>0</v>
      </c>
      <c r="E355" s="5">
        <v>0</v>
      </c>
      <c r="F355" s="4">
        <v>0</v>
      </c>
      <c r="G355" s="5">
        <v>0</v>
      </c>
      <c r="H355" s="4">
        <v>0</v>
      </c>
    </row>
    <row r="356" spans="1:8" x14ac:dyDescent="0.2">
      <c r="A356" s="2" t="s">
        <v>47</v>
      </c>
      <c r="B356" s="4">
        <v>403</v>
      </c>
      <c r="C356" s="5">
        <v>16.02</v>
      </c>
      <c r="D356" s="4">
        <v>163</v>
      </c>
      <c r="E356" s="5">
        <v>11.66</v>
      </c>
      <c r="F356" s="4">
        <v>240</v>
      </c>
      <c r="G356" s="5">
        <v>21.82</v>
      </c>
      <c r="H356" s="4">
        <v>0</v>
      </c>
    </row>
    <row r="357" spans="1:8" x14ac:dyDescent="0.2">
      <c r="A357" s="2" t="s">
        <v>48</v>
      </c>
      <c r="B357" s="4">
        <v>280</v>
      </c>
      <c r="C357" s="5">
        <v>11.13</v>
      </c>
      <c r="D357" s="4">
        <v>94</v>
      </c>
      <c r="E357" s="5">
        <v>6.72</v>
      </c>
      <c r="F357" s="4">
        <v>186</v>
      </c>
      <c r="G357" s="5">
        <v>16.91</v>
      </c>
      <c r="H357" s="4">
        <v>0</v>
      </c>
    </row>
    <row r="358" spans="1:8" x14ac:dyDescent="0.2">
      <c r="A358" s="2" t="s">
        <v>49</v>
      </c>
      <c r="B358" s="4">
        <v>9</v>
      </c>
      <c r="C358" s="5">
        <v>0.36</v>
      </c>
      <c r="D358" s="4">
        <v>1</v>
      </c>
      <c r="E358" s="5">
        <v>7.0000000000000007E-2</v>
      </c>
      <c r="F358" s="4">
        <v>8</v>
      </c>
      <c r="G358" s="5">
        <v>0.73</v>
      </c>
      <c r="H358" s="4">
        <v>0</v>
      </c>
    </row>
    <row r="359" spans="1:8" x14ac:dyDescent="0.2">
      <c r="A359" s="2" t="s">
        <v>50</v>
      </c>
      <c r="B359" s="4">
        <v>15</v>
      </c>
      <c r="C359" s="5">
        <v>0.6</v>
      </c>
      <c r="D359" s="4">
        <v>3</v>
      </c>
      <c r="E359" s="5">
        <v>0.21</v>
      </c>
      <c r="F359" s="4">
        <v>12</v>
      </c>
      <c r="G359" s="5">
        <v>1.0900000000000001</v>
      </c>
      <c r="H359" s="4">
        <v>0</v>
      </c>
    </row>
    <row r="360" spans="1:8" x14ac:dyDescent="0.2">
      <c r="A360" s="2" t="s">
        <v>51</v>
      </c>
      <c r="B360" s="4">
        <v>16</v>
      </c>
      <c r="C360" s="5">
        <v>0.64</v>
      </c>
      <c r="D360" s="4">
        <v>4</v>
      </c>
      <c r="E360" s="5">
        <v>0.28999999999999998</v>
      </c>
      <c r="F360" s="4">
        <v>12</v>
      </c>
      <c r="G360" s="5">
        <v>1.0900000000000001</v>
      </c>
      <c r="H360" s="4">
        <v>0</v>
      </c>
    </row>
    <row r="361" spans="1:8" x14ac:dyDescent="0.2">
      <c r="A361" s="2" t="s">
        <v>52</v>
      </c>
      <c r="B361" s="4">
        <v>562</v>
      </c>
      <c r="C361" s="5">
        <v>22.35</v>
      </c>
      <c r="D361" s="4">
        <v>295</v>
      </c>
      <c r="E361" s="5">
        <v>21.1</v>
      </c>
      <c r="F361" s="4">
        <v>267</v>
      </c>
      <c r="G361" s="5">
        <v>24.27</v>
      </c>
      <c r="H361" s="4">
        <v>0</v>
      </c>
    </row>
    <row r="362" spans="1:8" x14ac:dyDescent="0.2">
      <c r="A362" s="2" t="s">
        <v>53</v>
      </c>
      <c r="B362" s="4">
        <v>9</v>
      </c>
      <c r="C362" s="5">
        <v>0.36</v>
      </c>
      <c r="D362" s="4">
        <v>1</v>
      </c>
      <c r="E362" s="5">
        <v>7.0000000000000007E-2</v>
      </c>
      <c r="F362" s="4">
        <v>8</v>
      </c>
      <c r="G362" s="5">
        <v>0.73</v>
      </c>
      <c r="H362" s="4">
        <v>0</v>
      </c>
    </row>
    <row r="363" spans="1:8" x14ac:dyDescent="0.2">
      <c r="A363" s="2" t="s">
        <v>54</v>
      </c>
      <c r="B363" s="4">
        <v>127</v>
      </c>
      <c r="C363" s="5">
        <v>5.05</v>
      </c>
      <c r="D363" s="4">
        <v>21</v>
      </c>
      <c r="E363" s="5">
        <v>1.5</v>
      </c>
      <c r="F363" s="4">
        <v>106</v>
      </c>
      <c r="G363" s="5">
        <v>9.64</v>
      </c>
      <c r="H363" s="4">
        <v>0</v>
      </c>
    </row>
    <row r="364" spans="1:8" x14ac:dyDescent="0.2">
      <c r="A364" s="2" t="s">
        <v>55</v>
      </c>
      <c r="B364" s="4">
        <v>137</v>
      </c>
      <c r="C364" s="5">
        <v>5.45</v>
      </c>
      <c r="D364" s="4">
        <v>76</v>
      </c>
      <c r="E364" s="5">
        <v>5.44</v>
      </c>
      <c r="F364" s="4">
        <v>61</v>
      </c>
      <c r="G364" s="5">
        <v>5.55</v>
      </c>
      <c r="H364" s="4">
        <v>0</v>
      </c>
    </row>
    <row r="365" spans="1:8" x14ac:dyDescent="0.2">
      <c r="A365" s="2" t="s">
        <v>56</v>
      </c>
      <c r="B365" s="4">
        <v>335</v>
      </c>
      <c r="C365" s="5">
        <v>13.32</v>
      </c>
      <c r="D365" s="4">
        <v>278</v>
      </c>
      <c r="E365" s="5">
        <v>19.89</v>
      </c>
      <c r="F365" s="4">
        <v>54</v>
      </c>
      <c r="G365" s="5">
        <v>4.91</v>
      </c>
      <c r="H365" s="4">
        <v>0</v>
      </c>
    </row>
    <row r="366" spans="1:8" x14ac:dyDescent="0.2">
      <c r="A366" s="2" t="s">
        <v>57</v>
      </c>
      <c r="B366" s="4">
        <v>343</v>
      </c>
      <c r="C366" s="5">
        <v>13.64</v>
      </c>
      <c r="D366" s="4">
        <v>280</v>
      </c>
      <c r="E366" s="5">
        <v>20.03</v>
      </c>
      <c r="F366" s="4">
        <v>63</v>
      </c>
      <c r="G366" s="5">
        <v>5.73</v>
      </c>
      <c r="H366" s="4">
        <v>0</v>
      </c>
    </row>
    <row r="367" spans="1:8" x14ac:dyDescent="0.2">
      <c r="A367" s="2" t="s">
        <v>58</v>
      </c>
      <c r="B367" s="4">
        <v>102</v>
      </c>
      <c r="C367" s="5">
        <v>4.0599999999999996</v>
      </c>
      <c r="D367" s="4">
        <v>80</v>
      </c>
      <c r="E367" s="5">
        <v>5.72</v>
      </c>
      <c r="F367" s="4">
        <v>15</v>
      </c>
      <c r="G367" s="5">
        <v>1.36</v>
      </c>
      <c r="H367" s="4">
        <v>4</v>
      </c>
    </row>
    <row r="368" spans="1:8" x14ac:dyDescent="0.2">
      <c r="A368" s="2" t="s">
        <v>59</v>
      </c>
      <c r="B368" s="4">
        <v>113</v>
      </c>
      <c r="C368" s="5">
        <v>4.49</v>
      </c>
      <c r="D368" s="4">
        <v>73</v>
      </c>
      <c r="E368" s="5">
        <v>5.22</v>
      </c>
      <c r="F368" s="4">
        <v>35</v>
      </c>
      <c r="G368" s="5">
        <v>3.18</v>
      </c>
      <c r="H368" s="4">
        <v>1</v>
      </c>
    </row>
    <row r="369" spans="1:8" x14ac:dyDescent="0.2">
      <c r="A369" s="2" t="s">
        <v>60</v>
      </c>
      <c r="B369" s="4">
        <v>64</v>
      </c>
      <c r="C369" s="5">
        <v>2.54</v>
      </c>
      <c r="D369" s="4">
        <v>29</v>
      </c>
      <c r="E369" s="5">
        <v>2.0699999999999998</v>
      </c>
      <c r="F369" s="4">
        <v>33</v>
      </c>
      <c r="G369" s="5">
        <v>3</v>
      </c>
      <c r="H369" s="4">
        <v>0</v>
      </c>
    </row>
    <row r="370" spans="1:8" x14ac:dyDescent="0.2">
      <c r="A370" s="1" t="s">
        <v>23</v>
      </c>
      <c r="B370" s="4">
        <v>3257</v>
      </c>
      <c r="C370" s="5">
        <v>100.01</v>
      </c>
      <c r="D370" s="4">
        <v>1947</v>
      </c>
      <c r="E370" s="5">
        <v>99.99</v>
      </c>
      <c r="F370" s="4">
        <v>1296</v>
      </c>
      <c r="G370" s="5">
        <v>100.00000000000001</v>
      </c>
      <c r="H370" s="4">
        <v>6</v>
      </c>
    </row>
    <row r="371" spans="1:8" x14ac:dyDescent="0.2">
      <c r="A371" s="2" t="s">
        <v>46</v>
      </c>
      <c r="B371" s="4">
        <v>0</v>
      </c>
      <c r="C371" s="5">
        <v>0</v>
      </c>
      <c r="D371" s="4">
        <v>0</v>
      </c>
      <c r="E371" s="5">
        <v>0</v>
      </c>
      <c r="F371" s="4">
        <v>0</v>
      </c>
      <c r="G371" s="5">
        <v>0</v>
      </c>
      <c r="H371" s="4">
        <v>0</v>
      </c>
    </row>
    <row r="372" spans="1:8" x14ac:dyDescent="0.2">
      <c r="A372" s="2" t="s">
        <v>47</v>
      </c>
      <c r="B372" s="4">
        <v>506</v>
      </c>
      <c r="C372" s="5">
        <v>15.54</v>
      </c>
      <c r="D372" s="4">
        <v>222</v>
      </c>
      <c r="E372" s="5">
        <v>11.4</v>
      </c>
      <c r="F372" s="4">
        <v>284</v>
      </c>
      <c r="G372" s="5">
        <v>21.91</v>
      </c>
      <c r="H372" s="4">
        <v>0</v>
      </c>
    </row>
    <row r="373" spans="1:8" x14ac:dyDescent="0.2">
      <c r="A373" s="2" t="s">
        <v>48</v>
      </c>
      <c r="B373" s="4">
        <v>371</v>
      </c>
      <c r="C373" s="5">
        <v>11.39</v>
      </c>
      <c r="D373" s="4">
        <v>156</v>
      </c>
      <c r="E373" s="5">
        <v>8.01</v>
      </c>
      <c r="F373" s="4">
        <v>214</v>
      </c>
      <c r="G373" s="5">
        <v>16.510000000000002</v>
      </c>
      <c r="H373" s="4">
        <v>1</v>
      </c>
    </row>
    <row r="374" spans="1:8" x14ac:dyDescent="0.2">
      <c r="A374" s="2" t="s">
        <v>49</v>
      </c>
      <c r="B374" s="4">
        <v>1</v>
      </c>
      <c r="C374" s="5">
        <v>0.03</v>
      </c>
      <c r="D374" s="4">
        <v>0</v>
      </c>
      <c r="E374" s="5">
        <v>0</v>
      </c>
      <c r="F374" s="4">
        <v>1</v>
      </c>
      <c r="G374" s="5">
        <v>0.08</v>
      </c>
      <c r="H374" s="4">
        <v>0</v>
      </c>
    </row>
    <row r="375" spans="1:8" x14ac:dyDescent="0.2">
      <c r="A375" s="2" t="s">
        <v>50</v>
      </c>
      <c r="B375" s="4">
        <v>17</v>
      </c>
      <c r="C375" s="5">
        <v>0.52</v>
      </c>
      <c r="D375" s="4">
        <v>2</v>
      </c>
      <c r="E375" s="5">
        <v>0.1</v>
      </c>
      <c r="F375" s="4">
        <v>15</v>
      </c>
      <c r="G375" s="5">
        <v>1.1599999999999999</v>
      </c>
      <c r="H375" s="4">
        <v>0</v>
      </c>
    </row>
    <row r="376" spans="1:8" x14ac:dyDescent="0.2">
      <c r="A376" s="2" t="s">
        <v>51</v>
      </c>
      <c r="B376" s="4">
        <v>25</v>
      </c>
      <c r="C376" s="5">
        <v>0.77</v>
      </c>
      <c r="D376" s="4">
        <v>5</v>
      </c>
      <c r="E376" s="5">
        <v>0.26</v>
      </c>
      <c r="F376" s="4">
        <v>20</v>
      </c>
      <c r="G376" s="5">
        <v>1.54</v>
      </c>
      <c r="H376" s="4">
        <v>0</v>
      </c>
    </row>
    <row r="377" spans="1:8" x14ac:dyDescent="0.2">
      <c r="A377" s="2" t="s">
        <v>52</v>
      </c>
      <c r="B377" s="4">
        <v>752</v>
      </c>
      <c r="C377" s="5">
        <v>23.09</v>
      </c>
      <c r="D377" s="4">
        <v>430</v>
      </c>
      <c r="E377" s="5">
        <v>22.09</v>
      </c>
      <c r="F377" s="4">
        <v>321</v>
      </c>
      <c r="G377" s="5">
        <v>24.77</v>
      </c>
      <c r="H377" s="4">
        <v>1</v>
      </c>
    </row>
    <row r="378" spans="1:8" x14ac:dyDescent="0.2">
      <c r="A378" s="2" t="s">
        <v>53</v>
      </c>
      <c r="B378" s="4">
        <v>27</v>
      </c>
      <c r="C378" s="5">
        <v>0.83</v>
      </c>
      <c r="D378" s="4">
        <v>8</v>
      </c>
      <c r="E378" s="5">
        <v>0.41</v>
      </c>
      <c r="F378" s="4">
        <v>18</v>
      </c>
      <c r="G378" s="5">
        <v>1.39</v>
      </c>
      <c r="H378" s="4">
        <v>1</v>
      </c>
    </row>
    <row r="379" spans="1:8" x14ac:dyDescent="0.2">
      <c r="A379" s="2" t="s">
        <v>54</v>
      </c>
      <c r="B379" s="4">
        <v>260</v>
      </c>
      <c r="C379" s="5">
        <v>7.98</v>
      </c>
      <c r="D379" s="4">
        <v>139</v>
      </c>
      <c r="E379" s="5">
        <v>7.14</v>
      </c>
      <c r="F379" s="4">
        <v>120</v>
      </c>
      <c r="G379" s="5">
        <v>9.26</v>
      </c>
      <c r="H379" s="4">
        <v>1</v>
      </c>
    </row>
    <row r="380" spans="1:8" x14ac:dyDescent="0.2">
      <c r="A380" s="2" t="s">
        <v>55</v>
      </c>
      <c r="B380" s="4">
        <v>154</v>
      </c>
      <c r="C380" s="5">
        <v>4.7300000000000004</v>
      </c>
      <c r="D380" s="4">
        <v>103</v>
      </c>
      <c r="E380" s="5">
        <v>5.29</v>
      </c>
      <c r="F380" s="4">
        <v>51</v>
      </c>
      <c r="G380" s="5">
        <v>3.94</v>
      </c>
      <c r="H380" s="4">
        <v>0</v>
      </c>
    </row>
    <row r="381" spans="1:8" x14ac:dyDescent="0.2">
      <c r="A381" s="2" t="s">
        <v>56</v>
      </c>
      <c r="B381" s="4">
        <v>321</v>
      </c>
      <c r="C381" s="5">
        <v>9.86</v>
      </c>
      <c r="D381" s="4">
        <v>273</v>
      </c>
      <c r="E381" s="5">
        <v>14.02</v>
      </c>
      <c r="F381" s="4">
        <v>48</v>
      </c>
      <c r="G381" s="5">
        <v>3.7</v>
      </c>
      <c r="H381" s="4">
        <v>0</v>
      </c>
    </row>
    <row r="382" spans="1:8" x14ac:dyDescent="0.2">
      <c r="A382" s="2" t="s">
        <v>57</v>
      </c>
      <c r="B382" s="4">
        <v>426</v>
      </c>
      <c r="C382" s="5">
        <v>13.08</v>
      </c>
      <c r="D382" s="4">
        <v>341</v>
      </c>
      <c r="E382" s="5">
        <v>17.510000000000002</v>
      </c>
      <c r="F382" s="4">
        <v>83</v>
      </c>
      <c r="G382" s="5">
        <v>6.4</v>
      </c>
      <c r="H382" s="4">
        <v>2</v>
      </c>
    </row>
    <row r="383" spans="1:8" x14ac:dyDescent="0.2">
      <c r="A383" s="2" t="s">
        <v>58</v>
      </c>
      <c r="B383" s="4">
        <v>169</v>
      </c>
      <c r="C383" s="5">
        <v>5.19</v>
      </c>
      <c r="D383" s="4">
        <v>134</v>
      </c>
      <c r="E383" s="5">
        <v>6.88</v>
      </c>
      <c r="F383" s="4">
        <v>34</v>
      </c>
      <c r="G383" s="5">
        <v>2.62</v>
      </c>
      <c r="H383" s="4">
        <v>0</v>
      </c>
    </row>
    <row r="384" spans="1:8" x14ac:dyDescent="0.2">
      <c r="A384" s="2" t="s">
        <v>59</v>
      </c>
      <c r="B384" s="4">
        <v>137</v>
      </c>
      <c r="C384" s="5">
        <v>4.21</v>
      </c>
      <c r="D384" s="4">
        <v>91</v>
      </c>
      <c r="E384" s="5">
        <v>4.67</v>
      </c>
      <c r="F384" s="4">
        <v>43</v>
      </c>
      <c r="G384" s="5">
        <v>3.32</v>
      </c>
      <c r="H384" s="4">
        <v>0</v>
      </c>
    </row>
    <row r="385" spans="1:8" x14ac:dyDescent="0.2">
      <c r="A385" s="2" t="s">
        <v>60</v>
      </c>
      <c r="B385" s="4">
        <v>91</v>
      </c>
      <c r="C385" s="5">
        <v>2.79</v>
      </c>
      <c r="D385" s="4">
        <v>43</v>
      </c>
      <c r="E385" s="5">
        <v>2.21</v>
      </c>
      <c r="F385" s="4">
        <v>44</v>
      </c>
      <c r="G385" s="5">
        <v>3.4</v>
      </c>
      <c r="H385" s="4">
        <v>0</v>
      </c>
    </row>
    <row r="386" spans="1:8" x14ac:dyDescent="0.2">
      <c r="A386" s="1" t="s">
        <v>24</v>
      </c>
      <c r="B386" s="4">
        <v>1832</v>
      </c>
      <c r="C386" s="5">
        <v>99.97999999999999</v>
      </c>
      <c r="D386" s="4">
        <v>875</v>
      </c>
      <c r="E386" s="5">
        <v>99.99</v>
      </c>
      <c r="F386" s="4">
        <v>951</v>
      </c>
      <c r="G386" s="5">
        <v>100.00000000000001</v>
      </c>
      <c r="H386" s="4">
        <v>3</v>
      </c>
    </row>
    <row r="387" spans="1:8" x14ac:dyDescent="0.2">
      <c r="A387" s="2" t="s">
        <v>46</v>
      </c>
      <c r="B387" s="4">
        <v>0</v>
      </c>
      <c r="C387" s="5">
        <v>0</v>
      </c>
      <c r="D387" s="4">
        <v>0</v>
      </c>
      <c r="E387" s="5">
        <v>0</v>
      </c>
      <c r="F387" s="4">
        <v>0</v>
      </c>
      <c r="G387" s="5">
        <v>0</v>
      </c>
      <c r="H387" s="4">
        <v>0</v>
      </c>
    </row>
    <row r="388" spans="1:8" x14ac:dyDescent="0.2">
      <c r="A388" s="2" t="s">
        <v>47</v>
      </c>
      <c r="B388" s="4">
        <v>267</v>
      </c>
      <c r="C388" s="5">
        <v>14.57</v>
      </c>
      <c r="D388" s="4">
        <v>92</v>
      </c>
      <c r="E388" s="5">
        <v>10.51</v>
      </c>
      <c r="F388" s="4">
        <v>175</v>
      </c>
      <c r="G388" s="5">
        <v>18.399999999999999</v>
      </c>
      <c r="H388" s="4">
        <v>0</v>
      </c>
    </row>
    <row r="389" spans="1:8" x14ac:dyDescent="0.2">
      <c r="A389" s="2" t="s">
        <v>48</v>
      </c>
      <c r="B389" s="4">
        <v>125</v>
      </c>
      <c r="C389" s="5">
        <v>6.82</v>
      </c>
      <c r="D389" s="4">
        <v>21</v>
      </c>
      <c r="E389" s="5">
        <v>2.4</v>
      </c>
      <c r="F389" s="4">
        <v>104</v>
      </c>
      <c r="G389" s="5">
        <v>10.94</v>
      </c>
      <c r="H389" s="4">
        <v>0</v>
      </c>
    </row>
    <row r="390" spans="1:8" x14ac:dyDescent="0.2">
      <c r="A390" s="2" t="s">
        <v>49</v>
      </c>
      <c r="B390" s="4">
        <v>0</v>
      </c>
      <c r="C390" s="5">
        <v>0</v>
      </c>
      <c r="D390" s="4">
        <v>0</v>
      </c>
      <c r="E390" s="5">
        <v>0</v>
      </c>
      <c r="F390" s="4">
        <v>0</v>
      </c>
      <c r="G390" s="5">
        <v>0</v>
      </c>
      <c r="H390" s="4">
        <v>0</v>
      </c>
    </row>
    <row r="391" spans="1:8" x14ac:dyDescent="0.2">
      <c r="A391" s="2" t="s">
        <v>50</v>
      </c>
      <c r="B391" s="4">
        <v>10</v>
      </c>
      <c r="C391" s="5">
        <v>0.55000000000000004</v>
      </c>
      <c r="D391" s="4">
        <v>1</v>
      </c>
      <c r="E391" s="5">
        <v>0.11</v>
      </c>
      <c r="F391" s="4">
        <v>9</v>
      </c>
      <c r="G391" s="5">
        <v>0.95</v>
      </c>
      <c r="H391" s="4">
        <v>0</v>
      </c>
    </row>
    <row r="392" spans="1:8" x14ac:dyDescent="0.2">
      <c r="A392" s="2" t="s">
        <v>51</v>
      </c>
      <c r="B392" s="4">
        <v>18</v>
      </c>
      <c r="C392" s="5">
        <v>0.98</v>
      </c>
      <c r="D392" s="4">
        <v>2</v>
      </c>
      <c r="E392" s="5">
        <v>0.23</v>
      </c>
      <c r="F392" s="4">
        <v>16</v>
      </c>
      <c r="G392" s="5">
        <v>1.68</v>
      </c>
      <c r="H392" s="4">
        <v>0</v>
      </c>
    </row>
    <row r="393" spans="1:8" x14ac:dyDescent="0.2">
      <c r="A393" s="2" t="s">
        <v>52</v>
      </c>
      <c r="B393" s="4">
        <v>408</v>
      </c>
      <c r="C393" s="5">
        <v>22.27</v>
      </c>
      <c r="D393" s="4">
        <v>152</v>
      </c>
      <c r="E393" s="5">
        <v>17.37</v>
      </c>
      <c r="F393" s="4">
        <v>256</v>
      </c>
      <c r="G393" s="5">
        <v>26.92</v>
      </c>
      <c r="H393" s="4">
        <v>0</v>
      </c>
    </row>
    <row r="394" spans="1:8" x14ac:dyDescent="0.2">
      <c r="A394" s="2" t="s">
        <v>53</v>
      </c>
      <c r="B394" s="4">
        <v>11</v>
      </c>
      <c r="C394" s="5">
        <v>0.6</v>
      </c>
      <c r="D394" s="4">
        <v>0</v>
      </c>
      <c r="E394" s="5">
        <v>0</v>
      </c>
      <c r="F394" s="4">
        <v>11</v>
      </c>
      <c r="G394" s="5">
        <v>1.1599999999999999</v>
      </c>
      <c r="H394" s="4">
        <v>0</v>
      </c>
    </row>
    <row r="395" spans="1:8" x14ac:dyDescent="0.2">
      <c r="A395" s="2" t="s">
        <v>54</v>
      </c>
      <c r="B395" s="4">
        <v>206</v>
      </c>
      <c r="C395" s="5">
        <v>11.24</v>
      </c>
      <c r="D395" s="4">
        <v>66</v>
      </c>
      <c r="E395" s="5">
        <v>7.54</v>
      </c>
      <c r="F395" s="4">
        <v>140</v>
      </c>
      <c r="G395" s="5">
        <v>14.72</v>
      </c>
      <c r="H395" s="4">
        <v>0</v>
      </c>
    </row>
    <row r="396" spans="1:8" x14ac:dyDescent="0.2">
      <c r="A396" s="2" t="s">
        <v>55</v>
      </c>
      <c r="B396" s="4">
        <v>64</v>
      </c>
      <c r="C396" s="5">
        <v>3.49</v>
      </c>
      <c r="D396" s="4">
        <v>31</v>
      </c>
      <c r="E396" s="5">
        <v>3.54</v>
      </c>
      <c r="F396" s="4">
        <v>32</v>
      </c>
      <c r="G396" s="5">
        <v>3.36</v>
      </c>
      <c r="H396" s="4">
        <v>0</v>
      </c>
    </row>
    <row r="397" spans="1:8" x14ac:dyDescent="0.2">
      <c r="A397" s="2" t="s">
        <v>56</v>
      </c>
      <c r="B397" s="4">
        <v>254</v>
      </c>
      <c r="C397" s="5">
        <v>13.86</v>
      </c>
      <c r="D397" s="4">
        <v>190</v>
      </c>
      <c r="E397" s="5">
        <v>21.71</v>
      </c>
      <c r="F397" s="4">
        <v>64</v>
      </c>
      <c r="G397" s="5">
        <v>6.73</v>
      </c>
      <c r="H397" s="4">
        <v>0</v>
      </c>
    </row>
    <row r="398" spans="1:8" x14ac:dyDescent="0.2">
      <c r="A398" s="2" t="s">
        <v>57</v>
      </c>
      <c r="B398" s="4">
        <v>244</v>
      </c>
      <c r="C398" s="5">
        <v>13.32</v>
      </c>
      <c r="D398" s="4">
        <v>193</v>
      </c>
      <c r="E398" s="5">
        <v>22.06</v>
      </c>
      <c r="F398" s="4">
        <v>50</v>
      </c>
      <c r="G398" s="5">
        <v>5.26</v>
      </c>
      <c r="H398" s="4">
        <v>1</v>
      </c>
    </row>
    <row r="399" spans="1:8" x14ac:dyDescent="0.2">
      <c r="A399" s="2" t="s">
        <v>58</v>
      </c>
      <c r="B399" s="4">
        <v>66</v>
      </c>
      <c r="C399" s="5">
        <v>3.6</v>
      </c>
      <c r="D399" s="4">
        <v>53</v>
      </c>
      <c r="E399" s="5">
        <v>6.06</v>
      </c>
      <c r="F399" s="4">
        <v>12</v>
      </c>
      <c r="G399" s="5">
        <v>1.26</v>
      </c>
      <c r="H399" s="4">
        <v>1</v>
      </c>
    </row>
    <row r="400" spans="1:8" x14ac:dyDescent="0.2">
      <c r="A400" s="2" t="s">
        <v>59</v>
      </c>
      <c r="B400" s="4">
        <v>77</v>
      </c>
      <c r="C400" s="5">
        <v>4.2</v>
      </c>
      <c r="D400" s="4">
        <v>49</v>
      </c>
      <c r="E400" s="5">
        <v>5.6</v>
      </c>
      <c r="F400" s="4">
        <v>26</v>
      </c>
      <c r="G400" s="5">
        <v>2.73</v>
      </c>
      <c r="H400" s="4">
        <v>1</v>
      </c>
    </row>
    <row r="401" spans="1:8" x14ac:dyDescent="0.2">
      <c r="A401" s="2" t="s">
        <v>60</v>
      </c>
      <c r="B401" s="4">
        <v>82</v>
      </c>
      <c r="C401" s="5">
        <v>4.4800000000000004</v>
      </c>
      <c r="D401" s="4">
        <v>25</v>
      </c>
      <c r="E401" s="5">
        <v>2.86</v>
      </c>
      <c r="F401" s="4">
        <v>56</v>
      </c>
      <c r="G401" s="5">
        <v>5.89</v>
      </c>
      <c r="H401" s="4">
        <v>0</v>
      </c>
    </row>
    <row r="402" spans="1:8" x14ac:dyDescent="0.2">
      <c r="A402" s="1" t="s">
        <v>25</v>
      </c>
      <c r="B402" s="4">
        <v>1867</v>
      </c>
      <c r="C402" s="5">
        <v>100.00999999999999</v>
      </c>
      <c r="D402" s="4">
        <v>1089</v>
      </c>
      <c r="E402" s="5">
        <v>99.980000000000018</v>
      </c>
      <c r="F402" s="4">
        <v>758</v>
      </c>
      <c r="G402" s="5">
        <v>100.02</v>
      </c>
      <c r="H402" s="4">
        <v>4</v>
      </c>
    </row>
    <row r="403" spans="1:8" x14ac:dyDescent="0.2">
      <c r="A403" s="2" t="s">
        <v>46</v>
      </c>
      <c r="B403" s="4">
        <v>1</v>
      </c>
      <c r="C403" s="5">
        <v>0.05</v>
      </c>
      <c r="D403" s="4">
        <v>0</v>
      </c>
      <c r="E403" s="5">
        <v>0</v>
      </c>
      <c r="F403" s="4">
        <v>1</v>
      </c>
      <c r="G403" s="5">
        <v>0.13</v>
      </c>
      <c r="H403" s="4">
        <v>0</v>
      </c>
    </row>
    <row r="404" spans="1:8" x14ac:dyDescent="0.2">
      <c r="A404" s="2" t="s">
        <v>47</v>
      </c>
      <c r="B404" s="4">
        <v>297</v>
      </c>
      <c r="C404" s="5">
        <v>15.91</v>
      </c>
      <c r="D404" s="4">
        <v>143</v>
      </c>
      <c r="E404" s="5">
        <v>13.13</v>
      </c>
      <c r="F404" s="4">
        <v>154</v>
      </c>
      <c r="G404" s="5">
        <v>20.32</v>
      </c>
      <c r="H404" s="4">
        <v>0</v>
      </c>
    </row>
    <row r="405" spans="1:8" x14ac:dyDescent="0.2">
      <c r="A405" s="2" t="s">
        <v>48</v>
      </c>
      <c r="B405" s="4">
        <v>182</v>
      </c>
      <c r="C405" s="5">
        <v>9.75</v>
      </c>
      <c r="D405" s="4">
        <v>72</v>
      </c>
      <c r="E405" s="5">
        <v>6.61</v>
      </c>
      <c r="F405" s="4">
        <v>110</v>
      </c>
      <c r="G405" s="5">
        <v>14.51</v>
      </c>
      <c r="H405" s="4">
        <v>0</v>
      </c>
    </row>
    <row r="406" spans="1:8" x14ac:dyDescent="0.2">
      <c r="A406" s="2" t="s">
        <v>49</v>
      </c>
      <c r="B406" s="4">
        <v>8</v>
      </c>
      <c r="C406" s="5">
        <v>0.43</v>
      </c>
      <c r="D406" s="4">
        <v>0</v>
      </c>
      <c r="E406" s="5">
        <v>0</v>
      </c>
      <c r="F406" s="4">
        <v>8</v>
      </c>
      <c r="G406" s="5">
        <v>1.06</v>
      </c>
      <c r="H406" s="4">
        <v>0</v>
      </c>
    </row>
    <row r="407" spans="1:8" x14ac:dyDescent="0.2">
      <c r="A407" s="2" t="s">
        <v>50</v>
      </c>
      <c r="B407" s="4">
        <v>10</v>
      </c>
      <c r="C407" s="5">
        <v>0.54</v>
      </c>
      <c r="D407" s="4">
        <v>1</v>
      </c>
      <c r="E407" s="5">
        <v>0.09</v>
      </c>
      <c r="F407" s="4">
        <v>9</v>
      </c>
      <c r="G407" s="5">
        <v>1.19</v>
      </c>
      <c r="H407" s="4">
        <v>0</v>
      </c>
    </row>
    <row r="408" spans="1:8" x14ac:dyDescent="0.2">
      <c r="A408" s="2" t="s">
        <v>51</v>
      </c>
      <c r="B408" s="4">
        <v>37</v>
      </c>
      <c r="C408" s="5">
        <v>1.98</v>
      </c>
      <c r="D408" s="4">
        <v>3</v>
      </c>
      <c r="E408" s="5">
        <v>0.28000000000000003</v>
      </c>
      <c r="F408" s="4">
        <v>33</v>
      </c>
      <c r="G408" s="5">
        <v>4.3499999999999996</v>
      </c>
      <c r="H408" s="4">
        <v>1</v>
      </c>
    </row>
    <row r="409" spans="1:8" x14ac:dyDescent="0.2">
      <c r="A409" s="2" t="s">
        <v>52</v>
      </c>
      <c r="B409" s="4">
        <v>367</v>
      </c>
      <c r="C409" s="5">
        <v>19.66</v>
      </c>
      <c r="D409" s="4">
        <v>183</v>
      </c>
      <c r="E409" s="5">
        <v>16.8</v>
      </c>
      <c r="F409" s="4">
        <v>183</v>
      </c>
      <c r="G409" s="5">
        <v>24.14</v>
      </c>
      <c r="H409" s="4">
        <v>1</v>
      </c>
    </row>
    <row r="410" spans="1:8" x14ac:dyDescent="0.2">
      <c r="A410" s="2" t="s">
        <v>53</v>
      </c>
      <c r="B410" s="4">
        <v>9</v>
      </c>
      <c r="C410" s="5">
        <v>0.48</v>
      </c>
      <c r="D410" s="4">
        <v>1</v>
      </c>
      <c r="E410" s="5">
        <v>0.09</v>
      </c>
      <c r="F410" s="4">
        <v>8</v>
      </c>
      <c r="G410" s="5">
        <v>1.06</v>
      </c>
      <c r="H410" s="4">
        <v>0</v>
      </c>
    </row>
    <row r="411" spans="1:8" x14ac:dyDescent="0.2">
      <c r="A411" s="2" t="s">
        <v>54</v>
      </c>
      <c r="B411" s="4">
        <v>222</v>
      </c>
      <c r="C411" s="5">
        <v>11.89</v>
      </c>
      <c r="D411" s="4">
        <v>159</v>
      </c>
      <c r="E411" s="5">
        <v>14.6</v>
      </c>
      <c r="F411" s="4">
        <v>63</v>
      </c>
      <c r="G411" s="5">
        <v>8.31</v>
      </c>
      <c r="H411" s="4">
        <v>0</v>
      </c>
    </row>
    <row r="412" spans="1:8" x14ac:dyDescent="0.2">
      <c r="A412" s="2" t="s">
        <v>55</v>
      </c>
      <c r="B412" s="4">
        <v>90</v>
      </c>
      <c r="C412" s="5">
        <v>4.82</v>
      </c>
      <c r="D412" s="4">
        <v>56</v>
      </c>
      <c r="E412" s="5">
        <v>5.14</v>
      </c>
      <c r="F412" s="4">
        <v>34</v>
      </c>
      <c r="G412" s="5">
        <v>4.49</v>
      </c>
      <c r="H412" s="4">
        <v>0</v>
      </c>
    </row>
    <row r="413" spans="1:8" x14ac:dyDescent="0.2">
      <c r="A413" s="2" t="s">
        <v>56</v>
      </c>
      <c r="B413" s="4">
        <v>188</v>
      </c>
      <c r="C413" s="5">
        <v>10.07</v>
      </c>
      <c r="D413" s="4">
        <v>155</v>
      </c>
      <c r="E413" s="5">
        <v>14.23</v>
      </c>
      <c r="F413" s="4">
        <v>32</v>
      </c>
      <c r="G413" s="5">
        <v>4.22</v>
      </c>
      <c r="H413" s="4">
        <v>0</v>
      </c>
    </row>
    <row r="414" spans="1:8" x14ac:dyDescent="0.2">
      <c r="A414" s="2" t="s">
        <v>57</v>
      </c>
      <c r="B414" s="4">
        <v>237</v>
      </c>
      <c r="C414" s="5">
        <v>12.69</v>
      </c>
      <c r="D414" s="4">
        <v>190</v>
      </c>
      <c r="E414" s="5">
        <v>17.45</v>
      </c>
      <c r="F414" s="4">
        <v>45</v>
      </c>
      <c r="G414" s="5">
        <v>5.94</v>
      </c>
      <c r="H414" s="4">
        <v>2</v>
      </c>
    </row>
    <row r="415" spans="1:8" x14ac:dyDescent="0.2">
      <c r="A415" s="2" t="s">
        <v>58</v>
      </c>
      <c r="B415" s="4">
        <v>66</v>
      </c>
      <c r="C415" s="5">
        <v>3.54</v>
      </c>
      <c r="D415" s="4">
        <v>51</v>
      </c>
      <c r="E415" s="5">
        <v>4.68</v>
      </c>
      <c r="F415" s="4">
        <v>15</v>
      </c>
      <c r="G415" s="5">
        <v>1.98</v>
      </c>
      <c r="H415" s="4">
        <v>0</v>
      </c>
    </row>
    <row r="416" spans="1:8" x14ac:dyDescent="0.2">
      <c r="A416" s="2" t="s">
        <v>59</v>
      </c>
      <c r="B416" s="4">
        <v>75</v>
      </c>
      <c r="C416" s="5">
        <v>4.0199999999999996</v>
      </c>
      <c r="D416" s="4">
        <v>40</v>
      </c>
      <c r="E416" s="5">
        <v>3.67</v>
      </c>
      <c r="F416" s="4">
        <v>34</v>
      </c>
      <c r="G416" s="5">
        <v>4.49</v>
      </c>
      <c r="H416" s="4">
        <v>0</v>
      </c>
    </row>
    <row r="417" spans="1:8" x14ac:dyDescent="0.2">
      <c r="A417" s="2" t="s">
        <v>60</v>
      </c>
      <c r="B417" s="4">
        <v>78</v>
      </c>
      <c r="C417" s="5">
        <v>4.18</v>
      </c>
      <c r="D417" s="4">
        <v>35</v>
      </c>
      <c r="E417" s="5">
        <v>3.21</v>
      </c>
      <c r="F417" s="4">
        <v>29</v>
      </c>
      <c r="G417" s="5">
        <v>3.83</v>
      </c>
      <c r="H417" s="4">
        <v>0</v>
      </c>
    </row>
    <row r="418" spans="1:8" x14ac:dyDescent="0.2">
      <c r="A418" s="1" t="s">
        <v>26</v>
      </c>
      <c r="B418" s="4">
        <v>1136</v>
      </c>
      <c r="C418" s="5">
        <v>100.00000000000001</v>
      </c>
      <c r="D418" s="4">
        <v>794</v>
      </c>
      <c r="E418" s="5">
        <v>100.00999999999999</v>
      </c>
      <c r="F418" s="4">
        <v>326</v>
      </c>
      <c r="G418" s="5">
        <v>99.98</v>
      </c>
      <c r="H418" s="4">
        <v>1</v>
      </c>
    </row>
    <row r="419" spans="1:8" x14ac:dyDescent="0.2">
      <c r="A419" s="2" t="s">
        <v>46</v>
      </c>
      <c r="B419" s="4">
        <v>0</v>
      </c>
      <c r="C419" s="5">
        <v>0</v>
      </c>
      <c r="D419" s="4">
        <v>0</v>
      </c>
      <c r="E419" s="5">
        <v>0</v>
      </c>
      <c r="F419" s="4">
        <v>0</v>
      </c>
      <c r="G419" s="5">
        <v>0</v>
      </c>
      <c r="H419" s="4">
        <v>0</v>
      </c>
    </row>
    <row r="420" spans="1:8" x14ac:dyDescent="0.2">
      <c r="A420" s="2" t="s">
        <v>47</v>
      </c>
      <c r="B420" s="4">
        <v>112</v>
      </c>
      <c r="C420" s="5">
        <v>9.86</v>
      </c>
      <c r="D420" s="4">
        <v>51</v>
      </c>
      <c r="E420" s="5">
        <v>6.42</v>
      </c>
      <c r="F420" s="4">
        <v>61</v>
      </c>
      <c r="G420" s="5">
        <v>18.71</v>
      </c>
      <c r="H420" s="4">
        <v>0</v>
      </c>
    </row>
    <row r="421" spans="1:8" x14ac:dyDescent="0.2">
      <c r="A421" s="2" t="s">
        <v>48</v>
      </c>
      <c r="B421" s="4">
        <v>34</v>
      </c>
      <c r="C421" s="5">
        <v>2.99</v>
      </c>
      <c r="D421" s="4">
        <v>19</v>
      </c>
      <c r="E421" s="5">
        <v>2.39</v>
      </c>
      <c r="F421" s="4">
        <v>15</v>
      </c>
      <c r="G421" s="5">
        <v>4.5999999999999996</v>
      </c>
      <c r="H421" s="4">
        <v>0</v>
      </c>
    </row>
    <row r="422" spans="1:8" x14ac:dyDescent="0.2">
      <c r="A422" s="2" t="s">
        <v>49</v>
      </c>
      <c r="B422" s="4">
        <v>0</v>
      </c>
      <c r="C422" s="5">
        <v>0</v>
      </c>
      <c r="D422" s="4">
        <v>0</v>
      </c>
      <c r="E422" s="5">
        <v>0</v>
      </c>
      <c r="F422" s="4">
        <v>0</v>
      </c>
      <c r="G422" s="5">
        <v>0</v>
      </c>
      <c r="H422" s="4">
        <v>0</v>
      </c>
    </row>
    <row r="423" spans="1:8" x14ac:dyDescent="0.2">
      <c r="A423" s="2" t="s">
        <v>50</v>
      </c>
      <c r="B423" s="4">
        <v>5</v>
      </c>
      <c r="C423" s="5">
        <v>0.44</v>
      </c>
      <c r="D423" s="4">
        <v>0</v>
      </c>
      <c r="E423" s="5">
        <v>0</v>
      </c>
      <c r="F423" s="4">
        <v>5</v>
      </c>
      <c r="G423" s="5">
        <v>1.53</v>
      </c>
      <c r="H423" s="4">
        <v>0</v>
      </c>
    </row>
    <row r="424" spans="1:8" x14ac:dyDescent="0.2">
      <c r="A424" s="2" t="s">
        <v>51</v>
      </c>
      <c r="B424" s="4">
        <v>6</v>
      </c>
      <c r="C424" s="5">
        <v>0.53</v>
      </c>
      <c r="D424" s="4">
        <v>3</v>
      </c>
      <c r="E424" s="5">
        <v>0.38</v>
      </c>
      <c r="F424" s="4">
        <v>3</v>
      </c>
      <c r="G424" s="5">
        <v>0.92</v>
      </c>
      <c r="H424" s="4">
        <v>0</v>
      </c>
    </row>
    <row r="425" spans="1:8" x14ac:dyDescent="0.2">
      <c r="A425" s="2" t="s">
        <v>52</v>
      </c>
      <c r="B425" s="4">
        <v>292</v>
      </c>
      <c r="C425" s="5">
        <v>25.7</v>
      </c>
      <c r="D425" s="4">
        <v>176</v>
      </c>
      <c r="E425" s="5">
        <v>22.17</v>
      </c>
      <c r="F425" s="4">
        <v>116</v>
      </c>
      <c r="G425" s="5">
        <v>35.58</v>
      </c>
      <c r="H425" s="4">
        <v>0</v>
      </c>
    </row>
    <row r="426" spans="1:8" x14ac:dyDescent="0.2">
      <c r="A426" s="2" t="s">
        <v>53</v>
      </c>
      <c r="B426" s="4">
        <v>6</v>
      </c>
      <c r="C426" s="5">
        <v>0.53</v>
      </c>
      <c r="D426" s="4">
        <v>1</v>
      </c>
      <c r="E426" s="5">
        <v>0.13</v>
      </c>
      <c r="F426" s="4">
        <v>5</v>
      </c>
      <c r="G426" s="5">
        <v>1.53</v>
      </c>
      <c r="H426" s="4">
        <v>0</v>
      </c>
    </row>
    <row r="427" spans="1:8" x14ac:dyDescent="0.2">
      <c r="A427" s="2" t="s">
        <v>54</v>
      </c>
      <c r="B427" s="4">
        <v>112</v>
      </c>
      <c r="C427" s="5">
        <v>9.86</v>
      </c>
      <c r="D427" s="4">
        <v>75</v>
      </c>
      <c r="E427" s="5">
        <v>9.4499999999999993</v>
      </c>
      <c r="F427" s="4">
        <v>36</v>
      </c>
      <c r="G427" s="5">
        <v>11.04</v>
      </c>
      <c r="H427" s="4">
        <v>1</v>
      </c>
    </row>
    <row r="428" spans="1:8" x14ac:dyDescent="0.2">
      <c r="A428" s="2" t="s">
        <v>55</v>
      </c>
      <c r="B428" s="4">
        <v>42</v>
      </c>
      <c r="C428" s="5">
        <v>3.7</v>
      </c>
      <c r="D428" s="4">
        <v>33</v>
      </c>
      <c r="E428" s="5">
        <v>4.16</v>
      </c>
      <c r="F428" s="4">
        <v>7</v>
      </c>
      <c r="G428" s="5">
        <v>2.15</v>
      </c>
      <c r="H428" s="4">
        <v>0</v>
      </c>
    </row>
    <row r="429" spans="1:8" x14ac:dyDescent="0.2">
      <c r="A429" s="2" t="s">
        <v>56</v>
      </c>
      <c r="B429" s="4">
        <v>309</v>
      </c>
      <c r="C429" s="5">
        <v>27.2</v>
      </c>
      <c r="D429" s="4">
        <v>269</v>
      </c>
      <c r="E429" s="5">
        <v>33.880000000000003</v>
      </c>
      <c r="F429" s="4">
        <v>39</v>
      </c>
      <c r="G429" s="5">
        <v>11.96</v>
      </c>
      <c r="H429" s="4">
        <v>0</v>
      </c>
    </row>
    <row r="430" spans="1:8" x14ac:dyDescent="0.2">
      <c r="A430" s="2" t="s">
        <v>57</v>
      </c>
      <c r="B430" s="4">
        <v>127</v>
      </c>
      <c r="C430" s="5">
        <v>11.18</v>
      </c>
      <c r="D430" s="4">
        <v>109</v>
      </c>
      <c r="E430" s="5">
        <v>13.73</v>
      </c>
      <c r="F430" s="4">
        <v>16</v>
      </c>
      <c r="G430" s="5">
        <v>4.91</v>
      </c>
      <c r="H430" s="4">
        <v>0</v>
      </c>
    </row>
    <row r="431" spans="1:8" x14ac:dyDescent="0.2">
      <c r="A431" s="2" t="s">
        <v>58</v>
      </c>
      <c r="B431" s="4">
        <v>33</v>
      </c>
      <c r="C431" s="5">
        <v>2.9</v>
      </c>
      <c r="D431" s="4">
        <v>26</v>
      </c>
      <c r="E431" s="5">
        <v>3.27</v>
      </c>
      <c r="F431" s="4">
        <v>5</v>
      </c>
      <c r="G431" s="5">
        <v>1.53</v>
      </c>
      <c r="H431" s="4">
        <v>0</v>
      </c>
    </row>
    <row r="432" spans="1:8" x14ac:dyDescent="0.2">
      <c r="A432" s="2" t="s">
        <v>59</v>
      </c>
      <c r="B432" s="4">
        <v>32</v>
      </c>
      <c r="C432" s="5">
        <v>2.82</v>
      </c>
      <c r="D432" s="4">
        <v>22</v>
      </c>
      <c r="E432" s="5">
        <v>2.77</v>
      </c>
      <c r="F432" s="4">
        <v>5</v>
      </c>
      <c r="G432" s="5">
        <v>1.53</v>
      </c>
      <c r="H432" s="4">
        <v>0</v>
      </c>
    </row>
    <row r="433" spans="1:8" x14ac:dyDescent="0.2">
      <c r="A433" s="2" t="s">
        <v>60</v>
      </c>
      <c r="B433" s="4">
        <v>26</v>
      </c>
      <c r="C433" s="5">
        <v>2.29</v>
      </c>
      <c r="D433" s="4">
        <v>10</v>
      </c>
      <c r="E433" s="5">
        <v>1.26</v>
      </c>
      <c r="F433" s="4">
        <v>13</v>
      </c>
      <c r="G433" s="5">
        <v>3.99</v>
      </c>
      <c r="H433" s="4">
        <v>0</v>
      </c>
    </row>
    <row r="434" spans="1:8" x14ac:dyDescent="0.2">
      <c r="A434" s="1" t="s">
        <v>27</v>
      </c>
      <c r="B434" s="4">
        <v>1055</v>
      </c>
      <c r="C434" s="5">
        <v>99.990000000000009</v>
      </c>
      <c r="D434" s="4">
        <v>548</v>
      </c>
      <c r="E434" s="5">
        <v>99.98</v>
      </c>
      <c r="F434" s="4">
        <v>497</v>
      </c>
      <c r="G434" s="5">
        <v>100.01</v>
      </c>
      <c r="H434" s="4">
        <v>4</v>
      </c>
    </row>
    <row r="435" spans="1:8" x14ac:dyDescent="0.2">
      <c r="A435" s="2" t="s">
        <v>46</v>
      </c>
      <c r="B435" s="4">
        <v>0</v>
      </c>
      <c r="C435" s="5">
        <v>0</v>
      </c>
      <c r="D435" s="4">
        <v>0</v>
      </c>
      <c r="E435" s="5">
        <v>0</v>
      </c>
      <c r="F435" s="4">
        <v>0</v>
      </c>
      <c r="G435" s="5">
        <v>0</v>
      </c>
      <c r="H435" s="4">
        <v>0</v>
      </c>
    </row>
    <row r="436" spans="1:8" x14ac:dyDescent="0.2">
      <c r="A436" s="2" t="s">
        <v>47</v>
      </c>
      <c r="B436" s="4">
        <v>190</v>
      </c>
      <c r="C436" s="5">
        <v>18.010000000000002</v>
      </c>
      <c r="D436" s="4">
        <v>78</v>
      </c>
      <c r="E436" s="5">
        <v>14.23</v>
      </c>
      <c r="F436" s="4">
        <v>112</v>
      </c>
      <c r="G436" s="5">
        <v>22.54</v>
      </c>
      <c r="H436" s="4">
        <v>0</v>
      </c>
    </row>
    <row r="437" spans="1:8" x14ac:dyDescent="0.2">
      <c r="A437" s="2" t="s">
        <v>48</v>
      </c>
      <c r="B437" s="4">
        <v>103</v>
      </c>
      <c r="C437" s="5">
        <v>9.76</v>
      </c>
      <c r="D437" s="4">
        <v>28</v>
      </c>
      <c r="E437" s="5">
        <v>5.1100000000000003</v>
      </c>
      <c r="F437" s="4">
        <v>75</v>
      </c>
      <c r="G437" s="5">
        <v>15.09</v>
      </c>
      <c r="H437" s="4">
        <v>0</v>
      </c>
    </row>
    <row r="438" spans="1:8" x14ac:dyDescent="0.2">
      <c r="A438" s="2" t="s">
        <v>49</v>
      </c>
      <c r="B438" s="4">
        <v>1</v>
      </c>
      <c r="C438" s="5">
        <v>0.09</v>
      </c>
      <c r="D438" s="4">
        <v>0</v>
      </c>
      <c r="E438" s="5">
        <v>0</v>
      </c>
      <c r="F438" s="4">
        <v>0</v>
      </c>
      <c r="G438" s="5">
        <v>0</v>
      </c>
      <c r="H438" s="4">
        <v>0</v>
      </c>
    </row>
    <row r="439" spans="1:8" x14ac:dyDescent="0.2">
      <c r="A439" s="2" t="s">
        <v>50</v>
      </c>
      <c r="B439" s="4">
        <v>8</v>
      </c>
      <c r="C439" s="5">
        <v>0.76</v>
      </c>
      <c r="D439" s="4">
        <v>2</v>
      </c>
      <c r="E439" s="5">
        <v>0.36</v>
      </c>
      <c r="F439" s="4">
        <v>6</v>
      </c>
      <c r="G439" s="5">
        <v>1.21</v>
      </c>
      <c r="H439" s="4">
        <v>0</v>
      </c>
    </row>
    <row r="440" spans="1:8" x14ac:dyDescent="0.2">
      <c r="A440" s="2" t="s">
        <v>51</v>
      </c>
      <c r="B440" s="4">
        <v>11</v>
      </c>
      <c r="C440" s="5">
        <v>1.04</v>
      </c>
      <c r="D440" s="4">
        <v>1</v>
      </c>
      <c r="E440" s="5">
        <v>0.18</v>
      </c>
      <c r="F440" s="4">
        <v>10</v>
      </c>
      <c r="G440" s="5">
        <v>2.0099999999999998</v>
      </c>
      <c r="H440" s="4">
        <v>0</v>
      </c>
    </row>
    <row r="441" spans="1:8" x14ac:dyDescent="0.2">
      <c r="A441" s="2" t="s">
        <v>52</v>
      </c>
      <c r="B441" s="4">
        <v>177</v>
      </c>
      <c r="C441" s="5">
        <v>16.78</v>
      </c>
      <c r="D441" s="4">
        <v>78</v>
      </c>
      <c r="E441" s="5">
        <v>14.23</v>
      </c>
      <c r="F441" s="4">
        <v>99</v>
      </c>
      <c r="G441" s="5">
        <v>19.920000000000002</v>
      </c>
      <c r="H441" s="4">
        <v>0</v>
      </c>
    </row>
    <row r="442" spans="1:8" x14ac:dyDescent="0.2">
      <c r="A442" s="2" t="s">
        <v>53</v>
      </c>
      <c r="B442" s="4">
        <v>4</v>
      </c>
      <c r="C442" s="5">
        <v>0.38</v>
      </c>
      <c r="D442" s="4">
        <v>1</v>
      </c>
      <c r="E442" s="5">
        <v>0.18</v>
      </c>
      <c r="F442" s="4">
        <v>3</v>
      </c>
      <c r="G442" s="5">
        <v>0.6</v>
      </c>
      <c r="H442" s="4">
        <v>0</v>
      </c>
    </row>
    <row r="443" spans="1:8" x14ac:dyDescent="0.2">
      <c r="A443" s="2" t="s">
        <v>54</v>
      </c>
      <c r="B443" s="4">
        <v>136</v>
      </c>
      <c r="C443" s="5">
        <v>12.89</v>
      </c>
      <c r="D443" s="4">
        <v>74</v>
      </c>
      <c r="E443" s="5">
        <v>13.5</v>
      </c>
      <c r="F443" s="4">
        <v>62</v>
      </c>
      <c r="G443" s="5">
        <v>12.47</v>
      </c>
      <c r="H443" s="4">
        <v>0</v>
      </c>
    </row>
    <row r="444" spans="1:8" x14ac:dyDescent="0.2">
      <c r="A444" s="2" t="s">
        <v>55</v>
      </c>
      <c r="B444" s="4">
        <v>57</v>
      </c>
      <c r="C444" s="5">
        <v>5.4</v>
      </c>
      <c r="D444" s="4">
        <v>32</v>
      </c>
      <c r="E444" s="5">
        <v>5.84</v>
      </c>
      <c r="F444" s="4">
        <v>25</v>
      </c>
      <c r="G444" s="5">
        <v>5.03</v>
      </c>
      <c r="H444" s="4">
        <v>0</v>
      </c>
    </row>
    <row r="445" spans="1:8" x14ac:dyDescent="0.2">
      <c r="A445" s="2" t="s">
        <v>56</v>
      </c>
      <c r="B445" s="4">
        <v>106</v>
      </c>
      <c r="C445" s="5">
        <v>10.050000000000001</v>
      </c>
      <c r="D445" s="4">
        <v>83</v>
      </c>
      <c r="E445" s="5">
        <v>15.15</v>
      </c>
      <c r="F445" s="4">
        <v>23</v>
      </c>
      <c r="G445" s="5">
        <v>4.63</v>
      </c>
      <c r="H445" s="4">
        <v>0</v>
      </c>
    </row>
    <row r="446" spans="1:8" x14ac:dyDescent="0.2">
      <c r="A446" s="2" t="s">
        <v>57</v>
      </c>
      <c r="B446" s="4">
        <v>123</v>
      </c>
      <c r="C446" s="5">
        <v>11.66</v>
      </c>
      <c r="D446" s="4">
        <v>101</v>
      </c>
      <c r="E446" s="5">
        <v>18.43</v>
      </c>
      <c r="F446" s="4">
        <v>22</v>
      </c>
      <c r="G446" s="5">
        <v>4.43</v>
      </c>
      <c r="H446" s="4">
        <v>0</v>
      </c>
    </row>
    <row r="447" spans="1:8" x14ac:dyDescent="0.2">
      <c r="A447" s="2" t="s">
        <v>58</v>
      </c>
      <c r="B447" s="4">
        <v>48</v>
      </c>
      <c r="C447" s="5">
        <v>4.55</v>
      </c>
      <c r="D447" s="4">
        <v>30</v>
      </c>
      <c r="E447" s="5">
        <v>5.47</v>
      </c>
      <c r="F447" s="4">
        <v>16</v>
      </c>
      <c r="G447" s="5">
        <v>3.22</v>
      </c>
      <c r="H447" s="4">
        <v>0</v>
      </c>
    </row>
    <row r="448" spans="1:8" x14ac:dyDescent="0.2">
      <c r="A448" s="2" t="s">
        <v>59</v>
      </c>
      <c r="B448" s="4">
        <v>51</v>
      </c>
      <c r="C448" s="5">
        <v>4.83</v>
      </c>
      <c r="D448" s="4">
        <v>25</v>
      </c>
      <c r="E448" s="5">
        <v>4.5599999999999996</v>
      </c>
      <c r="F448" s="4">
        <v>21</v>
      </c>
      <c r="G448" s="5">
        <v>4.2300000000000004</v>
      </c>
      <c r="H448" s="4">
        <v>4</v>
      </c>
    </row>
    <row r="449" spans="1:8" x14ac:dyDescent="0.2">
      <c r="A449" s="2" t="s">
        <v>60</v>
      </c>
      <c r="B449" s="4">
        <v>40</v>
      </c>
      <c r="C449" s="5">
        <v>3.79</v>
      </c>
      <c r="D449" s="4">
        <v>15</v>
      </c>
      <c r="E449" s="5">
        <v>2.74</v>
      </c>
      <c r="F449" s="4">
        <v>23</v>
      </c>
      <c r="G449" s="5">
        <v>4.63</v>
      </c>
      <c r="H449" s="4">
        <v>0</v>
      </c>
    </row>
    <row r="450" spans="1:8" x14ac:dyDescent="0.2">
      <c r="A450" s="1" t="s">
        <v>28</v>
      </c>
      <c r="B450" s="4">
        <v>1309</v>
      </c>
      <c r="C450" s="5">
        <v>99.99</v>
      </c>
      <c r="D450" s="4">
        <v>723</v>
      </c>
      <c r="E450" s="5">
        <v>99.990000000000009</v>
      </c>
      <c r="F450" s="4">
        <v>579</v>
      </c>
      <c r="G450" s="5">
        <v>99.989999999999981</v>
      </c>
      <c r="H450" s="4">
        <v>0</v>
      </c>
    </row>
    <row r="451" spans="1:8" x14ac:dyDescent="0.2">
      <c r="A451" s="2" t="s">
        <v>46</v>
      </c>
      <c r="B451" s="4">
        <v>0</v>
      </c>
      <c r="C451" s="5">
        <v>0</v>
      </c>
      <c r="D451" s="4">
        <v>0</v>
      </c>
      <c r="E451" s="5">
        <v>0</v>
      </c>
      <c r="F451" s="4">
        <v>0</v>
      </c>
      <c r="G451" s="5">
        <v>0</v>
      </c>
      <c r="H451" s="4">
        <v>0</v>
      </c>
    </row>
    <row r="452" spans="1:8" x14ac:dyDescent="0.2">
      <c r="A452" s="2" t="s">
        <v>47</v>
      </c>
      <c r="B452" s="4">
        <v>156</v>
      </c>
      <c r="C452" s="5">
        <v>11.92</v>
      </c>
      <c r="D452" s="4">
        <v>51</v>
      </c>
      <c r="E452" s="5">
        <v>7.05</v>
      </c>
      <c r="F452" s="4">
        <v>105</v>
      </c>
      <c r="G452" s="5">
        <v>18.13</v>
      </c>
      <c r="H452" s="4">
        <v>0</v>
      </c>
    </row>
    <row r="453" spans="1:8" x14ac:dyDescent="0.2">
      <c r="A453" s="2" t="s">
        <v>48</v>
      </c>
      <c r="B453" s="4">
        <v>209</v>
      </c>
      <c r="C453" s="5">
        <v>15.97</v>
      </c>
      <c r="D453" s="4">
        <v>71</v>
      </c>
      <c r="E453" s="5">
        <v>9.82</v>
      </c>
      <c r="F453" s="4">
        <v>138</v>
      </c>
      <c r="G453" s="5">
        <v>23.83</v>
      </c>
      <c r="H453" s="4">
        <v>0</v>
      </c>
    </row>
    <row r="454" spans="1:8" x14ac:dyDescent="0.2">
      <c r="A454" s="2" t="s">
        <v>49</v>
      </c>
      <c r="B454" s="4">
        <v>7</v>
      </c>
      <c r="C454" s="5">
        <v>0.53</v>
      </c>
      <c r="D454" s="4">
        <v>1</v>
      </c>
      <c r="E454" s="5">
        <v>0.14000000000000001</v>
      </c>
      <c r="F454" s="4">
        <v>5</v>
      </c>
      <c r="G454" s="5">
        <v>0.86</v>
      </c>
      <c r="H454" s="4">
        <v>0</v>
      </c>
    </row>
    <row r="455" spans="1:8" x14ac:dyDescent="0.2">
      <c r="A455" s="2" t="s">
        <v>50</v>
      </c>
      <c r="B455" s="4">
        <v>11</v>
      </c>
      <c r="C455" s="5">
        <v>0.84</v>
      </c>
      <c r="D455" s="4">
        <v>1</v>
      </c>
      <c r="E455" s="5">
        <v>0.14000000000000001</v>
      </c>
      <c r="F455" s="4">
        <v>10</v>
      </c>
      <c r="G455" s="5">
        <v>1.73</v>
      </c>
      <c r="H455" s="4">
        <v>0</v>
      </c>
    </row>
    <row r="456" spans="1:8" x14ac:dyDescent="0.2">
      <c r="A456" s="2" t="s">
        <v>51</v>
      </c>
      <c r="B456" s="4">
        <v>19</v>
      </c>
      <c r="C456" s="5">
        <v>1.45</v>
      </c>
      <c r="D456" s="4">
        <v>3</v>
      </c>
      <c r="E456" s="5">
        <v>0.41</v>
      </c>
      <c r="F456" s="4">
        <v>16</v>
      </c>
      <c r="G456" s="5">
        <v>2.76</v>
      </c>
      <c r="H456" s="4">
        <v>0</v>
      </c>
    </row>
    <row r="457" spans="1:8" x14ac:dyDescent="0.2">
      <c r="A457" s="2" t="s">
        <v>52</v>
      </c>
      <c r="B457" s="4">
        <v>268</v>
      </c>
      <c r="C457" s="5">
        <v>20.47</v>
      </c>
      <c r="D457" s="4">
        <v>140</v>
      </c>
      <c r="E457" s="5">
        <v>19.36</v>
      </c>
      <c r="F457" s="4">
        <v>128</v>
      </c>
      <c r="G457" s="5">
        <v>22.11</v>
      </c>
      <c r="H457" s="4">
        <v>0</v>
      </c>
    </row>
    <row r="458" spans="1:8" x14ac:dyDescent="0.2">
      <c r="A458" s="2" t="s">
        <v>53</v>
      </c>
      <c r="B458" s="4">
        <v>10</v>
      </c>
      <c r="C458" s="5">
        <v>0.76</v>
      </c>
      <c r="D458" s="4">
        <v>1</v>
      </c>
      <c r="E458" s="5">
        <v>0.14000000000000001</v>
      </c>
      <c r="F458" s="4">
        <v>9</v>
      </c>
      <c r="G458" s="5">
        <v>1.55</v>
      </c>
      <c r="H458" s="4">
        <v>0</v>
      </c>
    </row>
    <row r="459" spans="1:8" x14ac:dyDescent="0.2">
      <c r="A459" s="2" t="s">
        <v>54</v>
      </c>
      <c r="B459" s="4">
        <v>153</v>
      </c>
      <c r="C459" s="5">
        <v>11.69</v>
      </c>
      <c r="D459" s="4">
        <v>112</v>
      </c>
      <c r="E459" s="5">
        <v>15.49</v>
      </c>
      <c r="F459" s="4">
        <v>41</v>
      </c>
      <c r="G459" s="5">
        <v>7.08</v>
      </c>
      <c r="H459" s="4">
        <v>0</v>
      </c>
    </row>
    <row r="460" spans="1:8" x14ac:dyDescent="0.2">
      <c r="A460" s="2" t="s">
        <v>55</v>
      </c>
      <c r="B460" s="4">
        <v>51</v>
      </c>
      <c r="C460" s="5">
        <v>3.9</v>
      </c>
      <c r="D460" s="4">
        <v>33</v>
      </c>
      <c r="E460" s="5">
        <v>4.5599999999999996</v>
      </c>
      <c r="F460" s="4">
        <v>18</v>
      </c>
      <c r="G460" s="5">
        <v>3.11</v>
      </c>
      <c r="H460" s="4">
        <v>0</v>
      </c>
    </row>
    <row r="461" spans="1:8" x14ac:dyDescent="0.2">
      <c r="A461" s="2" t="s">
        <v>56</v>
      </c>
      <c r="B461" s="4">
        <v>128</v>
      </c>
      <c r="C461" s="5">
        <v>9.7799999999999994</v>
      </c>
      <c r="D461" s="4">
        <v>92</v>
      </c>
      <c r="E461" s="5">
        <v>12.72</v>
      </c>
      <c r="F461" s="4">
        <v>36</v>
      </c>
      <c r="G461" s="5">
        <v>6.22</v>
      </c>
      <c r="H461" s="4">
        <v>0</v>
      </c>
    </row>
    <row r="462" spans="1:8" x14ac:dyDescent="0.2">
      <c r="A462" s="2" t="s">
        <v>57</v>
      </c>
      <c r="B462" s="4">
        <v>153</v>
      </c>
      <c r="C462" s="5">
        <v>11.69</v>
      </c>
      <c r="D462" s="4">
        <v>127</v>
      </c>
      <c r="E462" s="5">
        <v>17.57</v>
      </c>
      <c r="F462" s="4">
        <v>26</v>
      </c>
      <c r="G462" s="5">
        <v>4.49</v>
      </c>
      <c r="H462" s="4">
        <v>0</v>
      </c>
    </row>
    <row r="463" spans="1:8" x14ac:dyDescent="0.2">
      <c r="A463" s="2" t="s">
        <v>58</v>
      </c>
      <c r="B463" s="4">
        <v>60</v>
      </c>
      <c r="C463" s="5">
        <v>4.58</v>
      </c>
      <c r="D463" s="4">
        <v>48</v>
      </c>
      <c r="E463" s="5">
        <v>6.64</v>
      </c>
      <c r="F463" s="4">
        <v>11</v>
      </c>
      <c r="G463" s="5">
        <v>1.9</v>
      </c>
      <c r="H463" s="4">
        <v>0</v>
      </c>
    </row>
    <row r="464" spans="1:8" x14ac:dyDescent="0.2">
      <c r="A464" s="2" t="s">
        <v>59</v>
      </c>
      <c r="B464" s="4">
        <v>49</v>
      </c>
      <c r="C464" s="5">
        <v>3.74</v>
      </c>
      <c r="D464" s="4">
        <v>31</v>
      </c>
      <c r="E464" s="5">
        <v>4.29</v>
      </c>
      <c r="F464" s="4">
        <v>17</v>
      </c>
      <c r="G464" s="5">
        <v>2.94</v>
      </c>
      <c r="H464" s="4">
        <v>0</v>
      </c>
    </row>
    <row r="465" spans="1:8" x14ac:dyDescent="0.2">
      <c r="A465" s="2" t="s">
        <v>60</v>
      </c>
      <c r="B465" s="4">
        <v>35</v>
      </c>
      <c r="C465" s="5">
        <v>2.67</v>
      </c>
      <c r="D465" s="4">
        <v>12</v>
      </c>
      <c r="E465" s="5">
        <v>1.66</v>
      </c>
      <c r="F465" s="4">
        <v>19</v>
      </c>
      <c r="G465" s="5">
        <v>3.28</v>
      </c>
      <c r="H465" s="4">
        <v>0</v>
      </c>
    </row>
    <row r="466" spans="1:8" x14ac:dyDescent="0.2">
      <c r="A466" s="1" t="s">
        <v>29</v>
      </c>
      <c r="B466" s="4">
        <v>921</v>
      </c>
      <c r="C466" s="5">
        <v>100.01999999999998</v>
      </c>
      <c r="D466" s="4">
        <v>565</v>
      </c>
      <c r="E466" s="5">
        <v>100.01</v>
      </c>
      <c r="F466" s="4">
        <v>343</v>
      </c>
      <c r="G466" s="5">
        <v>99.980000000000018</v>
      </c>
      <c r="H466" s="4">
        <v>6</v>
      </c>
    </row>
    <row r="467" spans="1:8" x14ac:dyDescent="0.2">
      <c r="A467" s="2" t="s">
        <v>46</v>
      </c>
      <c r="B467" s="4">
        <v>1</v>
      </c>
      <c r="C467" s="5">
        <v>0.11</v>
      </c>
      <c r="D467" s="4">
        <v>0</v>
      </c>
      <c r="E467" s="5">
        <v>0</v>
      </c>
      <c r="F467" s="4">
        <v>1</v>
      </c>
      <c r="G467" s="5">
        <v>0.28999999999999998</v>
      </c>
      <c r="H467" s="4">
        <v>0</v>
      </c>
    </row>
    <row r="468" spans="1:8" x14ac:dyDescent="0.2">
      <c r="A468" s="2" t="s">
        <v>47</v>
      </c>
      <c r="B468" s="4">
        <v>170</v>
      </c>
      <c r="C468" s="5">
        <v>18.46</v>
      </c>
      <c r="D468" s="4">
        <v>80</v>
      </c>
      <c r="E468" s="5">
        <v>14.16</v>
      </c>
      <c r="F468" s="4">
        <v>90</v>
      </c>
      <c r="G468" s="5">
        <v>26.24</v>
      </c>
      <c r="H468" s="4">
        <v>0</v>
      </c>
    </row>
    <row r="469" spans="1:8" x14ac:dyDescent="0.2">
      <c r="A469" s="2" t="s">
        <v>48</v>
      </c>
      <c r="B469" s="4">
        <v>87</v>
      </c>
      <c r="C469" s="5">
        <v>9.4499999999999993</v>
      </c>
      <c r="D469" s="4">
        <v>38</v>
      </c>
      <c r="E469" s="5">
        <v>6.73</v>
      </c>
      <c r="F469" s="4">
        <v>48</v>
      </c>
      <c r="G469" s="5">
        <v>13.99</v>
      </c>
      <c r="H469" s="4">
        <v>0</v>
      </c>
    </row>
    <row r="470" spans="1:8" x14ac:dyDescent="0.2">
      <c r="A470" s="2" t="s">
        <v>49</v>
      </c>
      <c r="B470" s="4">
        <v>3</v>
      </c>
      <c r="C470" s="5">
        <v>0.33</v>
      </c>
      <c r="D470" s="4">
        <v>0</v>
      </c>
      <c r="E470" s="5">
        <v>0</v>
      </c>
      <c r="F470" s="4">
        <v>3</v>
      </c>
      <c r="G470" s="5">
        <v>0.87</v>
      </c>
      <c r="H470" s="4">
        <v>0</v>
      </c>
    </row>
    <row r="471" spans="1:8" x14ac:dyDescent="0.2">
      <c r="A471" s="2" t="s">
        <v>50</v>
      </c>
      <c r="B471" s="4">
        <v>1</v>
      </c>
      <c r="C471" s="5">
        <v>0.11</v>
      </c>
      <c r="D471" s="4">
        <v>0</v>
      </c>
      <c r="E471" s="5">
        <v>0</v>
      </c>
      <c r="F471" s="4">
        <v>1</v>
      </c>
      <c r="G471" s="5">
        <v>0.28999999999999998</v>
      </c>
      <c r="H471" s="4">
        <v>0</v>
      </c>
    </row>
    <row r="472" spans="1:8" x14ac:dyDescent="0.2">
      <c r="A472" s="2" t="s">
        <v>51</v>
      </c>
      <c r="B472" s="4">
        <v>14</v>
      </c>
      <c r="C472" s="5">
        <v>1.52</v>
      </c>
      <c r="D472" s="4">
        <v>3</v>
      </c>
      <c r="E472" s="5">
        <v>0.53</v>
      </c>
      <c r="F472" s="4">
        <v>8</v>
      </c>
      <c r="G472" s="5">
        <v>2.33</v>
      </c>
      <c r="H472" s="4">
        <v>3</v>
      </c>
    </row>
    <row r="473" spans="1:8" x14ac:dyDescent="0.2">
      <c r="A473" s="2" t="s">
        <v>52</v>
      </c>
      <c r="B473" s="4">
        <v>193</v>
      </c>
      <c r="C473" s="5">
        <v>20.96</v>
      </c>
      <c r="D473" s="4">
        <v>104</v>
      </c>
      <c r="E473" s="5">
        <v>18.41</v>
      </c>
      <c r="F473" s="4">
        <v>89</v>
      </c>
      <c r="G473" s="5">
        <v>25.95</v>
      </c>
      <c r="H473" s="4">
        <v>0</v>
      </c>
    </row>
    <row r="474" spans="1:8" x14ac:dyDescent="0.2">
      <c r="A474" s="2" t="s">
        <v>53</v>
      </c>
      <c r="B474" s="4">
        <v>3</v>
      </c>
      <c r="C474" s="5">
        <v>0.33</v>
      </c>
      <c r="D474" s="4">
        <v>1</v>
      </c>
      <c r="E474" s="5">
        <v>0.18</v>
      </c>
      <c r="F474" s="4">
        <v>2</v>
      </c>
      <c r="G474" s="5">
        <v>0.57999999999999996</v>
      </c>
      <c r="H474" s="4">
        <v>0</v>
      </c>
    </row>
    <row r="475" spans="1:8" x14ac:dyDescent="0.2">
      <c r="A475" s="2" t="s">
        <v>54</v>
      </c>
      <c r="B475" s="4">
        <v>94</v>
      </c>
      <c r="C475" s="5">
        <v>10.210000000000001</v>
      </c>
      <c r="D475" s="4">
        <v>74</v>
      </c>
      <c r="E475" s="5">
        <v>13.1</v>
      </c>
      <c r="F475" s="4">
        <v>20</v>
      </c>
      <c r="G475" s="5">
        <v>5.83</v>
      </c>
      <c r="H475" s="4">
        <v>0</v>
      </c>
    </row>
    <row r="476" spans="1:8" x14ac:dyDescent="0.2">
      <c r="A476" s="2" t="s">
        <v>55</v>
      </c>
      <c r="B476" s="4">
        <v>29</v>
      </c>
      <c r="C476" s="5">
        <v>3.15</v>
      </c>
      <c r="D476" s="4">
        <v>15</v>
      </c>
      <c r="E476" s="5">
        <v>2.65</v>
      </c>
      <c r="F476" s="4">
        <v>13</v>
      </c>
      <c r="G476" s="5">
        <v>3.79</v>
      </c>
      <c r="H476" s="4">
        <v>0</v>
      </c>
    </row>
    <row r="477" spans="1:8" x14ac:dyDescent="0.2">
      <c r="A477" s="2" t="s">
        <v>56</v>
      </c>
      <c r="B477" s="4">
        <v>154</v>
      </c>
      <c r="C477" s="5">
        <v>16.72</v>
      </c>
      <c r="D477" s="4">
        <v>124</v>
      </c>
      <c r="E477" s="5">
        <v>21.95</v>
      </c>
      <c r="F477" s="4">
        <v>27</v>
      </c>
      <c r="G477" s="5">
        <v>7.87</v>
      </c>
      <c r="H477" s="4">
        <v>1</v>
      </c>
    </row>
    <row r="478" spans="1:8" x14ac:dyDescent="0.2">
      <c r="A478" s="2" t="s">
        <v>57</v>
      </c>
      <c r="B478" s="4">
        <v>100</v>
      </c>
      <c r="C478" s="5">
        <v>10.86</v>
      </c>
      <c r="D478" s="4">
        <v>84</v>
      </c>
      <c r="E478" s="5">
        <v>14.87</v>
      </c>
      <c r="F478" s="4">
        <v>13</v>
      </c>
      <c r="G478" s="5">
        <v>3.79</v>
      </c>
      <c r="H478" s="4">
        <v>2</v>
      </c>
    </row>
    <row r="479" spans="1:8" x14ac:dyDescent="0.2">
      <c r="A479" s="2" t="s">
        <v>58</v>
      </c>
      <c r="B479" s="4">
        <v>21</v>
      </c>
      <c r="C479" s="5">
        <v>2.2799999999999998</v>
      </c>
      <c r="D479" s="4">
        <v>15</v>
      </c>
      <c r="E479" s="5">
        <v>2.65</v>
      </c>
      <c r="F479" s="4">
        <v>4</v>
      </c>
      <c r="G479" s="5">
        <v>1.17</v>
      </c>
      <c r="H479" s="4">
        <v>0</v>
      </c>
    </row>
    <row r="480" spans="1:8" x14ac:dyDescent="0.2">
      <c r="A480" s="2" t="s">
        <v>59</v>
      </c>
      <c r="B480" s="4">
        <v>25</v>
      </c>
      <c r="C480" s="5">
        <v>2.71</v>
      </c>
      <c r="D480" s="4">
        <v>16</v>
      </c>
      <c r="E480" s="5">
        <v>2.83</v>
      </c>
      <c r="F480" s="4">
        <v>9</v>
      </c>
      <c r="G480" s="5">
        <v>2.62</v>
      </c>
      <c r="H480" s="4">
        <v>0</v>
      </c>
    </row>
    <row r="481" spans="1:8" x14ac:dyDescent="0.2">
      <c r="A481" s="2" t="s">
        <v>60</v>
      </c>
      <c r="B481" s="4">
        <v>26</v>
      </c>
      <c r="C481" s="5">
        <v>2.82</v>
      </c>
      <c r="D481" s="4">
        <v>11</v>
      </c>
      <c r="E481" s="5">
        <v>1.95</v>
      </c>
      <c r="F481" s="4">
        <v>15</v>
      </c>
      <c r="G481" s="5">
        <v>4.37</v>
      </c>
      <c r="H481" s="4">
        <v>0</v>
      </c>
    </row>
    <row r="482" spans="1:8" x14ac:dyDescent="0.2">
      <c r="A482" s="1" t="s">
        <v>30</v>
      </c>
      <c r="B482" s="4">
        <v>914</v>
      </c>
      <c r="C482" s="5">
        <v>100.00999999999998</v>
      </c>
      <c r="D482" s="4">
        <v>495</v>
      </c>
      <c r="E482" s="5">
        <v>99.999999999999986</v>
      </c>
      <c r="F482" s="4">
        <v>407</v>
      </c>
      <c r="G482" s="5">
        <v>100</v>
      </c>
      <c r="H482" s="4">
        <v>0</v>
      </c>
    </row>
    <row r="483" spans="1:8" x14ac:dyDescent="0.2">
      <c r="A483" s="2" t="s">
        <v>46</v>
      </c>
      <c r="B483" s="4">
        <v>0</v>
      </c>
      <c r="C483" s="5">
        <v>0</v>
      </c>
      <c r="D483" s="4">
        <v>0</v>
      </c>
      <c r="E483" s="5">
        <v>0</v>
      </c>
      <c r="F483" s="4">
        <v>0</v>
      </c>
      <c r="G483" s="5">
        <v>0</v>
      </c>
      <c r="H483" s="4">
        <v>0</v>
      </c>
    </row>
    <row r="484" spans="1:8" x14ac:dyDescent="0.2">
      <c r="A484" s="2" t="s">
        <v>47</v>
      </c>
      <c r="B484" s="4">
        <v>195</v>
      </c>
      <c r="C484" s="5">
        <v>21.33</v>
      </c>
      <c r="D484" s="4">
        <v>91</v>
      </c>
      <c r="E484" s="5">
        <v>18.38</v>
      </c>
      <c r="F484" s="4">
        <v>104</v>
      </c>
      <c r="G484" s="5">
        <v>25.55</v>
      </c>
      <c r="H484" s="4">
        <v>0</v>
      </c>
    </row>
    <row r="485" spans="1:8" x14ac:dyDescent="0.2">
      <c r="A485" s="2" t="s">
        <v>48</v>
      </c>
      <c r="B485" s="4">
        <v>124</v>
      </c>
      <c r="C485" s="5">
        <v>13.57</v>
      </c>
      <c r="D485" s="4">
        <v>43</v>
      </c>
      <c r="E485" s="5">
        <v>8.69</v>
      </c>
      <c r="F485" s="4">
        <v>81</v>
      </c>
      <c r="G485" s="5">
        <v>19.899999999999999</v>
      </c>
      <c r="H485" s="4">
        <v>0</v>
      </c>
    </row>
    <row r="486" spans="1:8" x14ac:dyDescent="0.2">
      <c r="A486" s="2" t="s">
        <v>49</v>
      </c>
      <c r="B486" s="4">
        <v>5</v>
      </c>
      <c r="C486" s="5">
        <v>0.55000000000000004</v>
      </c>
      <c r="D486" s="4">
        <v>0</v>
      </c>
      <c r="E486" s="5">
        <v>0</v>
      </c>
      <c r="F486" s="4">
        <v>5</v>
      </c>
      <c r="G486" s="5">
        <v>1.23</v>
      </c>
      <c r="H486" s="4">
        <v>0</v>
      </c>
    </row>
    <row r="487" spans="1:8" x14ac:dyDescent="0.2">
      <c r="A487" s="2" t="s">
        <v>50</v>
      </c>
      <c r="B487" s="4">
        <v>2</v>
      </c>
      <c r="C487" s="5">
        <v>0.22</v>
      </c>
      <c r="D487" s="4">
        <v>0</v>
      </c>
      <c r="E487" s="5">
        <v>0</v>
      </c>
      <c r="F487" s="4">
        <v>2</v>
      </c>
      <c r="G487" s="5">
        <v>0.49</v>
      </c>
      <c r="H487" s="4">
        <v>0</v>
      </c>
    </row>
    <row r="488" spans="1:8" x14ac:dyDescent="0.2">
      <c r="A488" s="2" t="s">
        <v>51</v>
      </c>
      <c r="B488" s="4">
        <v>15</v>
      </c>
      <c r="C488" s="5">
        <v>1.64</v>
      </c>
      <c r="D488" s="4">
        <v>1</v>
      </c>
      <c r="E488" s="5">
        <v>0.2</v>
      </c>
      <c r="F488" s="4">
        <v>14</v>
      </c>
      <c r="G488" s="5">
        <v>3.44</v>
      </c>
      <c r="H488" s="4">
        <v>0</v>
      </c>
    </row>
    <row r="489" spans="1:8" x14ac:dyDescent="0.2">
      <c r="A489" s="2" t="s">
        <v>52</v>
      </c>
      <c r="B489" s="4">
        <v>167</v>
      </c>
      <c r="C489" s="5">
        <v>18.27</v>
      </c>
      <c r="D489" s="4">
        <v>87</v>
      </c>
      <c r="E489" s="5">
        <v>17.579999999999998</v>
      </c>
      <c r="F489" s="4">
        <v>80</v>
      </c>
      <c r="G489" s="5">
        <v>19.66</v>
      </c>
      <c r="H489" s="4">
        <v>0</v>
      </c>
    </row>
    <row r="490" spans="1:8" x14ac:dyDescent="0.2">
      <c r="A490" s="2" t="s">
        <v>53</v>
      </c>
      <c r="B490" s="4">
        <v>2</v>
      </c>
      <c r="C490" s="5">
        <v>0.22</v>
      </c>
      <c r="D490" s="4">
        <v>0</v>
      </c>
      <c r="E490" s="5">
        <v>0</v>
      </c>
      <c r="F490" s="4">
        <v>2</v>
      </c>
      <c r="G490" s="5">
        <v>0.49</v>
      </c>
      <c r="H490" s="4">
        <v>0</v>
      </c>
    </row>
    <row r="491" spans="1:8" x14ac:dyDescent="0.2">
      <c r="A491" s="2" t="s">
        <v>54</v>
      </c>
      <c r="B491" s="4">
        <v>20</v>
      </c>
      <c r="C491" s="5">
        <v>2.19</v>
      </c>
      <c r="D491" s="4">
        <v>2</v>
      </c>
      <c r="E491" s="5">
        <v>0.4</v>
      </c>
      <c r="F491" s="4">
        <v>18</v>
      </c>
      <c r="G491" s="5">
        <v>4.42</v>
      </c>
      <c r="H491" s="4">
        <v>0</v>
      </c>
    </row>
    <row r="492" spans="1:8" x14ac:dyDescent="0.2">
      <c r="A492" s="2" t="s">
        <v>55</v>
      </c>
      <c r="B492" s="4">
        <v>34</v>
      </c>
      <c r="C492" s="5">
        <v>3.72</v>
      </c>
      <c r="D492" s="4">
        <v>19</v>
      </c>
      <c r="E492" s="5">
        <v>3.84</v>
      </c>
      <c r="F492" s="4">
        <v>14</v>
      </c>
      <c r="G492" s="5">
        <v>3.44</v>
      </c>
      <c r="H492" s="4">
        <v>0</v>
      </c>
    </row>
    <row r="493" spans="1:8" x14ac:dyDescent="0.2">
      <c r="A493" s="2" t="s">
        <v>56</v>
      </c>
      <c r="B493" s="4">
        <v>123</v>
      </c>
      <c r="C493" s="5">
        <v>13.46</v>
      </c>
      <c r="D493" s="4">
        <v>99</v>
      </c>
      <c r="E493" s="5">
        <v>20</v>
      </c>
      <c r="F493" s="4">
        <v>22</v>
      </c>
      <c r="G493" s="5">
        <v>5.41</v>
      </c>
      <c r="H493" s="4">
        <v>0</v>
      </c>
    </row>
    <row r="494" spans="1:8" x14ac:dyDescent="0.2">
      <c r="A494" s="2" t="s">
        <v>57</v>
      </c>
      <c r="B494" s="4">
        <v>129</v>
      </c>
      <c r="C494" s="5">
        <v>14.11</v>
      </c>
      <c r="D494" s="4">
        <v>105</v>
      </c>
      <c r="E494" s="5">
        <v>21.21</v>
      </c>
      <c r="F494" s="4">
        <v>24</v>
      </c>
      <c r="G494" s="5">
        <v>5.9</v>
      </c>
      <c r="H494" s="4">
        <v>0</v>
      </c>
    </row>
    <row r="495" spans="1:8" x14ac:dyDescent="0.2">
      <c r="A495" s="2" t="s">
        <v>58</v>
      </c>
      <c r="B495" s="4">
        <v>33</v>
      </c>
      <c r="C495" s="5">
        <v>3.61</v>
      </c>
      <c r="D495" s="4">
        <v>19</v>
      </c>
      <c r="E495" s="5">
        <v>3.84</v>
      </c>
      <c r="F495" s="4">
        <v>5</v>
      </c>
      <c r="G495" s="5">
        <v>1.23</v>
      </c>
      <c r="H495" s="4">
        <v>0</v>
      </c>
    </row>
    <row r="496" spans="1:8" x14ac:dyDescent="0.2">
      <c r="A496" s="2" t="s">
        <v>59</v>
      </c>
      <c r="B496" s="4">
        <v>41</v>
      </c>
      <c r="C496" s="5">
        <v>4.49</v>
      </c>
      <c r="D496" s="4">
        <v>23</v>
      </c>
      <c r="E496" s="5">
        <v>4.6500000000000004</v>
      </c>
      <c r="F496" s="4">
        <v>18</v>
      </c>
      <c r="G496" s="5">
        <v>4.42</v>
      </c>
      <c r="H496" s="4">
        <v>0</v>
      </c>
    </row>
    <row r="497" spans="1:8" x14ac:dyDescent="0.2">
      <c r="A497" s="2" t="s">
        <v>60</v>
      </c>
      <c r="B497" s="4">
        <v>24</v>
      </c>
      <c r="C497" s="5">
        <v>2.63</v>
      </c>
      <c r="D497" s="4">
        <v>6</v>
      </c>
      <c r="E497" s="5">
        <v>1.21</v>
      </c>
      <c r="F497" s="4">
        <v>18</v>
      </c>
      <c r="G497" s="5">
        <v>4.42</v>
      </c>
      <c r="H497" s="4">
        <v>0</v>
      </c>
    </row>
    <row r="498" spans="1:8" x14ac:dyDescent="0.2">
      <c r="A498" s="1" t="s">
        <v>31</v>
      </c>
      <c r="B498" s="4">
        <v>988</v>
      </c>
      <c r="C498" s="5">
        <v>99.990000000000009</v>
      </c>
      <c r="D498" s="4">
        <v>586</v>
      </c>
      <c r="E498" s="5">
        <v>99.97999999999999</v>
      </c>
      <c r="F498" s="4">
        <v>379</v>
      </c>
      <c r="G498" s="5">
        <v>100.00999999999998</v>
      </c>
      <c r="H498" s="4">
        <v>1</v>
      </c>
    </row>
    <row r="499" spans="1:8" x14ac:dyDescent="0.2">
      <c r="A499" s="2" t="s">
        <v>46</v>
      </c>
      <c r="B499" s="4">
        <v>0</v>
      </c>
      <c r="C499" s="5">
        <v>0</v>
      </c>
      <c r="D499" s="4">
        <v>0</v>
      </c>
      <c r="E499" s="5">
        <v>0</v>
      </c>
      <c r="F499" s="4">
        <v>0</v>
      </c>
      <c r="G499" s="5">
        <v>0</v>
      </c>
      <c r="H499" s="4">
        <v>0</v>
      </c>
    </row>
    <row r="500" spans="1:8" x14ac:dyDescent="0.2">
      <c r="A500" s="2" t="s">
        <v>47</v>
      </c>
      <c r="B500" s="4">
        <v>155</v>
      </c>
      <c r="C500" s="5">
        <v>15.69</v>
      </c>
      <c r="D500" s="4">
        <v>81</v>
      </c>
      <c r="E500" s="5">
        <v>13.82</v>
      </c>
      <c r="F500" s="4">
        <v>74</v>
      </c>
      <c r="G500" s="5">
        <v>19.53</v>
      </c>
      <c r="H500" s="4">
        <v>0</v>
      </c>
    </row>
    <row r="501" spans="1:8" x14ac:dyDescent="0.2">
      <c r="A501" s="2" t="s">
        <v>48</v>
      </c>
      <c r="B501" s="4">
        <v>124</v>
      </c>
      <c r="C501" s="5">
        <v>12.55</v>
      </c>
      <c r="D501" s="4">
        <v>53</v>
      </c>
      <c r="E501" s="5">
        <v>9.0399999999999991</v>
      </c>
      <c r="F501" s="4">
        <v>71</v>
      </c>
      <c r="G501" s="5">
        <v>18.73</v>
      </c>
      <c r="H501" s="4">
        <v>0</v>
      </c>
    </row>
    <row r="502" spans="1:8" x14ac:dyDescent="0.2">
      <c r="A502" s="2" t="s">
        <v>49</v>
      </c>
      <c r="B502" s="4">
        <v>2</v>
      </c>
      <c r="C502" s="5">
        <v>0.2</v>
      </c>
      <c r="D502" s="4">
        <v>0</v>
      </c>
      <c r="E502" s="5">
        <v>0</v>
      </c>
      <c r="F502" s="4">
        <v>2</v>
      </c>
      <c r="G502" s="5">
        <v>0.53</v>
      </c>
      <c r="H502" s="4">
        <v>0</v>
      </c>
    </row>
    <row r="503" spans="1:8" x14ac:dyDescent="0.2">
      <c r="A503" s="2" t="s">
        <v>50</v>
      </c>
      <c r="B503" s="4">
        <v>2</v>
      </c>
      <c r="C503" s="5">
        <v>0.2</v>
      </c>
      <c r="D503" s="4">
        <v>1</v>
      </c>
      <c r="E503" s="5">
        <v>0.17</v>
      </c>
      <c r="F503" s="4">
        <v>1</v>
      </c>
      <c r="G503" s="5">
        <v>0.26</v>
      </c>
      <c r="H503" s="4">
        <v>0</v>
      </c>
    </row>
    <row r="504" spans="1:8" x14ac:dyDescent="0.2">
      <c r="A504" s="2" t="s">
        <v>51</v>
      </c>
      <c r="B504" s="4">
        <v>4</v>
      </c>
      <c r="C504" s="5">
        <v>0.4</v>
      </c>
      <c r="D504" s="4">
        <v>0</v>
      </c>
      <c r="E504" s="5">
        <v>0</v>
      </c>
      <c r="F504" s="4">
        <v>4</v>
      </c>
      <c r="G504" s="5">
        <v>1.06</v>
      </c>
      <c r="H504" s="4">
        <v>0</v>
      </c>
    </row>
    <row r="505" spans="1:8" x14ac:dyDescent="0.2">
      <c r="A505" s="2" t="s">
        <v>52</v>
      </c>
      <c r="B505" s="4">
        <v>221</v>
      </c>
      <c r="C505" s="5">
        <v>22.37</v>
      </c>
      <c r="D505" s="4">
        <v>124</v>
      </c>
      <c r="E505" s="5">
        <v>21.16</v>
      </c>
      <c r="F505" s="4">
        <v>96</v>
      </c>
      <c r="G505" s="5">
        <v>25.33</v>
      </c>
      <c r="H505" s="4">
        <v>1</v>
      </c>
    </row>
    <row r="506" spans="1:8" x14ac:dyDescent="0.2">
      <c r="A506" s="2" t="s">
        <v>53</v>
      </c>
      <c r="B506" s="4">
        <v>4</v>
      </c>
      <c r="C506" s="5">
        <v>0.4</v>
      </c>
      <c r="D506" s="4">
        <v>1</v>
      </c>
      <c r="E506" s="5">
        <v>0.17</v>
      </c>
      <c r="F506" s="4">
        <v>3</v>
      </c>
      <c r="G506" s="5">
        <v>0.79</v>
      </c>
      <c r="H506" s="4">
        <v>0</v>
      </c>
    </row>
    <row r="507" spans="1:8" x14ac:dyDescent="0.2">
      <c r="A507" s="2" t="s">
        <v>54</v>
      </c>
      <c r="B507" s="4">
        <v>54</v>
      </c>
      <c r="C507" s="5">
        <v>5.47</v>
      </c>
      <c r="D507" s="4">
        <v>20</v>
      </c>
      <c r="E507" s="5">
        <v>3.41</v>
      </c>
      <c r="F507" s="4">
        <v>33</v>
      </c>
      <c r="G507" s="5">
        <v>8.7100000000000009</v>
      </c>
      <c r="H507" s="4">
        <v>0</v>
      </c>
    </row>
    <row r="508" spans="1:8" x14ac:dyDescent="0.2">
      <c r="A508" s="2" t="s">
        <v>55</v>
      </c>
      <c r="B508" s="4">
        <v>41</v>
      </c>
      <c r="C508" s="5">
        <v>4.1500000000000004</v>
      </c>
      <c r="D508" s="4">
        <v>30</v>
      </c>
      <c r="E508" s="5">
        <v>5.12</v>
      </c>
      <c r="F508" s="4">
        <v>10</v>
      </c>
      <c r="G508" s="5">
        <v>2.64</v>
      </c>
      <c r="H508" s="4">
        <v>0</v>
      </c>
    </row>
    <row r="509" spans="1:8" x14ac:dyDescent="0.2">
      <c r="A509" s="2" t="s">
        <v>56</v>
      </c>
      <c r="B509" s="4">
        <v>106</v>
      </c>
      <c r="C509" s="5">
        <v>10.73</v>
      </c>
      <c r="D509" s="4">
        <v>90</v>
      </c>
      <c r="E509" s="5">
        <v>15.36</v>
      </c>
      <c r="F509" s="4">
        <v>15</v>
      </c>
      <c r="G509" s="5">
        <v>3.96</v>
      </c>
      <c r="H509" s="4">
        <v>0</v>
      </c>
    </row>
    <row r="510" spans="1:8" x14ac:dyDescent="0.2">
      <c r="A510" s="2" t="s">
        <v>57</v>
      </c>
      <c r="B510" s="4">
        <v>140</v>
      </c>
      <c r="C510" s="5">
        <v>14.17</v>
      </c>
      <c r="D510" s="4">
        <v>115</v>
      </c>
      <c r="E510" s="5">
        <v>19.62</v>
      </c>
      <c r="F510" s="4">
        <v>23</v>
      </c>
      <c r="G510" s="5">
        <v>6.07</v>
      </c>
      <c r="H510" s="4">
        <v>0</v>
      </c>
    </row>
    <row r="511" spans="1:8" x14ac:dyDescent="0.2">
      <c r="A511" s="2" t="s">
        <v>58</v>
      </c>
      <c r="B511" s="4">
        <v>41</v>
      </c>
      <c r="C511" s="5">
        <v>4.1500000000000004</v>
      </c>
      <c r="D511" s="4">
        <v>33</v>
      </c>
      <c r="E511" s="5">
        <v>5.63</v>
      </c>
      <c r="F511" s="4">
        <v>8</v>
      </c>
      <c r="G511" s="5">
        <v>2.11</v>
      </c>
      <c r="H511" s="4">
        <v>0</v>
      </c>
    </row>
    <row r="512" spans="1:8" x14ac:dyDescent="0.2">
      <c r="A512" s="2" t="s">
        <v>59</v>
      </c>
      <c r="B512" s="4">
        <v>44</v>
      </c>
      <c r="C512" s="5">
        <v>4.45</v>
      </c>
      <c r="D512" s="4">
        <v>19</v>
      </c>
      <c r="E512" s="5">
        <v>3.24</v>
      </c>
      <c r="F512" s="4">
        <v>22</v>
      </c>
      <c r="G512" s="5">
        <v>5.8</v>
      </c>
      <c r="H512" s="4">
        <v>0</v>
      </c>
    </row>
    <row r="513" spans="1:8" x14ac:dyDescent="0.2">
      <c r="A513" s="2" t="s">
        <v>60</v>
      </c>
      <c r="B513" s="4">
        <v>50</v>
      </c>
      <c r="C513" s="5">
        <v>5.0599999999999996</v>
      </c>
      <c r="D513" s="4">
        <v>19</v>
      </c>
      <c r="E513" s="5">
        <v>3.24</v>
      </c>
      <c r="F513" s="4">
        <v>17</v>
      </c>
      <c r="G513" s="5">
        <v>4.49</v>
      </c>
      <c r="H513" s="4">
        <v>0</v>
      </c>
    </row>
    <row r="514" spans="1:8" x14ac:dyDescent="0.2">
      <c r="A514" s="1" t="s">
        <v>32</v>
      </c>
      <c r="B514" s="4">
        <v>1401</v>
      </c>
      <c r="C514" s="5">
        <v>100.00000000000001</v>
      </c>
      <c r="D514" s="4">
        <v>892</v>
      </c>
      <c r="E514" s="5">
        <v>99.989999999999981</v>
      </c>
      <c r="F514" s="4">
        <v>490</v>
      </c>
      <c r="G514" s="5">
        <v>99.99</v>
      </c>
      <c r="H514" s="4">
        <v>2</v>
      </c>
    </row>
    <row r="515" spans="1:8" x14ac:dyDescent="0.2">
      <c r="A515" s="2" t="s">
        <v>46</v>
      </c>
      <c r="B515" s="4">
        <v>1</v>
      </c>
      <c r="C515" s="5">
        <v>7.0000000000000007E-2</v>
      </c>
      <c r="D515" s="4">
        <v>1</v>
      </c>
      <c r="E515" s="5">
        <v>0.11</v>
      </c>
      <c r="F515" s="4">
        <v>0</v>
      </c>
      <c r="G515" s="5">
        <v>0</v>
      </c>
      <c r="H515" s="4">
        <v>0</v>
      </c>
    </row>
    <row r="516" spans="1:8" x14ac:dyDescent="0.2">
      <c r="A516" s="2" t="s">
        <v>47</v>
      </c>
      <c r="B516" s="4">
        <v>200</v>
      </c>
      <c r="C516" s="5">
        <v>14.28</v>
      </c>
      <c r="D516" s="4">
        <v>91</v>
      </c>
      <c r="E516" s="5">
        <v>10.199999999999999</v>
      </c>
      <c r="F516" s="4">
        <v>109</v>
      </c>
      <c r="G516" s="5">
        <v>22.24</v>
      </c>
      <c r="H516" s="4">
        <v>0</v>
      </c>
    </row>
    <row r="517" spans="1:8" x14ac:dyDescent="0.2">
      <c r="A517" s="2" t="s">
        <v>48</v>
      </c>
      <c r="B517" s="4">
        <v>104</v>
      </c>
      <c r="C517" s="5">
        <v>7.42</v>
      </c>
      <c r="D517" s="4">
        <v>38</v>
      </c>
      <c r="E517" s="5">
        <v>4.26</v>
      </c>
      <c r="F517" s="4">
        <v>66</v>
      </c>
      <c r="G517" s="5">
        <v>13.47</v>
      </c>
      <c r="H517" s="4">
        <v>0</v>
      </c>
    </row>
    <row r="518" spans="1:8" x14ac:dyDescent="0.2">
      <c r="A518" s="2" t="s">
        <v>49</v>
      </c>
      <c r="B518" s="4">
        <v>0</v>
      </c>
      <c r="C518" s="5">
        <v>0</v>
      </c>
      <c r="D518" s="4">
        <v>0</v>
      </c>
      <c r="E518" s="5">
        <v>0</v>
      </c>
      <c r="F518" s="4">
        <v>0</v>
      </c>
      <c r="G518" s="5">
        <v>0</v>
      </c>
      <c r="H518" s="4">
        <v>0</v>
      </c>
    </row>
    <row r="519" spans="1:8" x14ac:dyDescent="0.2">
      <c r="A519" s="2" t="s">
        <v>50</v>
      </c>
      <c r="B519" s="4">
        <v>9</v>
      </c>
      <c r="C519" s="5">
        <v>0.64</v>
      </c>
      <c r="D519" s="4">
        <v>0</v>
      </c>
      <c r="E519" s="5">
        <v>0</v>
      </c>
      <c r="F519" s="4">
        <v>9</v>
      </c>
      <c r="G519" s="5">
        <v>1.84</v>
      </c>
      <c r="H519" s="4">
        <v>0</v>
      </c>
    </row>
    <row r="520" spans="1:8" x14ac:dyDescent="0.2">
      <c r="A520" s="2" t="s">
        <v>51</v>
      </c>
      <c r="B520" s="4">
        <v>9</v>
      </c>
      <c r="C520" s="5">
        <v>0.64</v>
      </c>
      <c r="D520" s="4">
        <v>1</v>
      </c>
      <c r="E520" s="5">
        <v>0.11</v>
      </c>
      <c r="F520" s="4">
        <v>8</v>
      </c>
      <c r="G520" s="5">
        <v>1.63</v>
      </c>
      <c r="H520" s="4">
        <v>0</v>
      </c>
    </row>
    <row r="521" spans="1:8" x14ac:dyDescent="0.2">
      <c r="A521" s="2" t="s">
        <v>52</v>
      </c>
      <c r="B521" s="4">
        <v>269</v>
      </c>
      <c r="C521" s="5">
        <v>19.2</v>
      </c>
      <c r="D521" s="4">
        <v>125</v>
      </c>
      <c r="E521" s="5">
        <v>14.01</v>
      </c>
      <c r="F521" s="4">
        <v>144</v>
      </c>
      <c r="G521" s="5">
        <v>29.39</v>
      </c>
      <c r="H521" s="4">
        <v>0</v>
      </c>
    </row>
    <row r="522" spans="1:8" x14ac:dyDescent="0.2">
      <c r="A522" s="2" t="s">
        <v>53</v>
      </c>
      <c r="B522" s="4">
        <v>5</v>
      </c>
      <c r="C522" s="5">
        <v>0.36</v>
      </c>
      <c r="D522" s="4">
        <v>2</v>
      </c>
      <c r="E522" s="5">
        <v>0.22</v>
      </c>
      <c r="F522" s="4">
        <v>3</v>
      </c>
      <c r="G522" s="5">
        <v>0.61</v>
      </c>
      <c r="H522" s="4">
        <v>0</v>
      </c>
    </row>
    <row r="523" spans="1:8" x14ac:dyDescent="0.2">
      <c r="A523" s="2" t="s">
        <v>54</v>
      </c>
      <c r="B523" s="4">
        <v>224</v>
      </c>
      <c r="C523" s="5">
        <v>15.99</v>
      </c>
      <c r="D523" s="4">
        <v>189</v>
      </c>
      <c r="E523" s="5">
        <v>21.19</v>
      </c>
      <c r="F523" s="4">
        <v>35</v>
      </c>
      <c r="G523" s="5">
        <v>7.14</v>
      </c>
      <c r="H523" s="4">
        <v>0</v>
      </c>
    </row>
    <row r="524" spans="1:8" x14ac:dyDescent="0.2">
      <c r="A524" s="2" t="s">
        <v>55</v>
      </c>
      <c r="B524" s="4">
        <v>51</v>
      </c>
      <c r="C524" s="5">
        <v>3.64</v>
      </c>
      <c r="D524" s="4">
        <v>25</v>
      </c>
      <c r="E524" s="5">
        <v>2.8</v>
      </c>
      <c r="F524" s="4">
        <v>25</v>
      </c>
      <c r="G524" s="5">
        <v>5.0999999999999996</v>
      </c>
      <c r="H524" s="4">
        <v>0</v>
      </c>
    </row>
    <row r="525" spans="1:8" x14ac:dyDescent="0.2">
      <c r="A525" s="2" t="s">
        <v>56</v>
      </c>
      <c r="B525" s="4">
        <v>192</v>
      </c>
      <c r="C525" s="5">
        <v>13.7</v>
      </c>
      <c r="D525" s="4">
        <v>156</v>
      </c>
      <c r="E525" s="5">
        <v>17.489999999999998</v>
      </c>
      <c r="F525" s="4">
        <v>32</v>
      </c>
      <c r="G525" s="5">
        <v>6.53</v>
      </c>
      <c r="H525" s="4">
        <v>0</v>
      </c>
    </row>
    <row r="526" spans="1:8" x14ac:dyDescent="0.2">
      <c r="A526" s="2" t="s">
        <v>57</v>
      </c>
      <c r="B526" s="4">
        <v>174</v>
      </c>
      <c r="C526" s="5">
        <v>12.42</v>
      </c>
      <c r="D526" s="4">
        <v>150</v>
      </c>
      <c r="E526" s="5">
        <v>16.82</v>
      </c>
      <c r="F526" s="4">
        <v>22</v>
      </c>
      <c r="G526" s="5">
        <v>4.49</v>
      </c>
      <c r="H526" s="4">
        <v>0</v>
      </c>
    </row>
    <row r="527" spans="1:8" x14ac:dyDescent="0.2">
      <c r="A527" s="2" t="s">
        <v>58</v>
      </c>
      <c r="B527" s="4">
        <v>48</v>
      </c>
      <c r="C527" s="5">
        <v>3.43</v>
      </c>
      <c r="D527" s="4">
        <v>40</v>
      </c>
      <c r="E527" s="5">
        <v>4.4800000000000004</v>
      </c>
      <c r="F527" s="4">
        <v>5</v>
      </c>
      <c r="G527" s="5">
        <v>1.02</v>
      </c>
      <c r="H527" s="4">
        <v>1</v>
      </c>
    </row>
    <row r="528" spans="1:8" x14ac:dyDescent="0.2">
      <c r="A528" s="2" t="s">
        <v>59</v>
      </c>
      <c r="B528" s="4">
        <v>67</v>
      </c>
      <c r="C528" s="5">
        <v>4.78</v>
      </c>
      <c r="D528" s="4">
        <v>50</v>
      </c>
      <c r="E528" s="5">
        <v>5.61</v>
      </c>
      <c r="F528" s="4">
        <v>13</v>
      </c>
      <c r="G528" s="5">
        <v>2.65</v>
      </c>
      <c r="H528" s="4">
        <v>0</v>
      </c>
    </row>
    <row r="529" spans="1:8" x14ac:dyDescent="0.2">
      <c r="A529" s="2" t="s">
        <v>60</v>
      </c>
      <c r="B529" s="4">
        <v>48</v>
      </c>
      <c r="C529" s="5">
        <v>3.43</v>
      </c>
      <c r="D529" s="4">
        <v>24</v>
      </c>
      <c r="E529" s="5">
        <v>2.69</v>
      </c>
      <c r="F529" s="4">
        <v>19</v>
      </c>
      <c r="G529" s="5">
        <v>3.88</v>
      </c>
      <c r="H529" s="4">
        <v>1</v>
      </c>
    </row>
    <row r="530" spans="1:8" x14ac:dyDescent="0.2">
      <c r="A530" s="1" t="s">
        <v>33</v>
      </c>
      <c r="B530" s="4">
        <v>1431</v>
      </c>
      <c r="C530" s="5">
        <v>100.00999999999999</v>
      </c>
      <c r="D530" s="4">
        <v>848</v>
      </c>
      <c r="E530" s="5">
        <v>99.990000000000009</v>
      </c>
      <c r="F530" s="4">
        <v>568</v>
      </c>
      <c r="G530" s="5">
        <v>100.01000000000002</v>
      </c>
      <c r="H530" s="4">
        <v>3</v>
      </c>
    </row>
    <row r="531" spans="1:8" x14ac:dyDescent="0.2">
      <c r="A531" s="2" t="s">
        <v>46</v>
      </c>
      <c r="B531" s="4">
        <v>1</v>
      </c>
      <c r="C531" s="5">
        <v>7.0000000000000007E-2</v>
      </c>
      <c r="D531" s="4">
        <v>0</v>
      </c>
      <c r="E531" s="5">
        <v>0</v>
      </c>
      <c r="F531" s="4">
        <v>1</v>
      </c>
      <c r="G531" s="5">
        <v>0.18</v>
      </c>
      <c r="H531" s="4">
        <v>0</v>
      </c>
    </row>
    <row r="532" spans="1:8" x14ac:dyDescent="0.2">
      <c r="A532" s="2" t="s">
        <v>47</v>
      </c>
      <c r="B532" s="4">
        <v>254</v>
      </c>
      <c r="C532" s="5">
        <v>17.75</v>
      </c>
      <c r="D532" s="4">
        <v>138</v>
      </c>
      <c r="E532" s="5">
        <v>16.27</v>
      </c>
      <c r="F532" s="4">
        <v>116</v>
      </c>
      <c r="G532" s="5">
        <v>20.420000000000002</v>
      </c>
      <c r="H532" s="4">
        <v>0</v>
      </c>
    </row>
    <row r="533" spans="1:8" x14ac:dyDescent="0.2">
      <c r="A533" s="2" t="s">
        <v>48</v>
      </c>
      <c r="B533" s="4">
        <v>271</v>
      </c>
      <c r="C533" s="5">
        <v>18.940000000000001</v>
      </c>
      <c r="D533" s="4">
        <v>144</v>
      </c>
      <c r="E533" s="5">
        <v>16.98</v>
      </c>
      <c r="F533" s="4">
        <v>127</v>
      </c>
      <c r="G533" s="5">
        <v>22.36</v>
      </c>
      <c r="H533" s="4">
        <v>0</v>
      </c>
    </row>
    <row r="534" spans="1:8" x14ac:dyDescent="0.2">
      <c r="A534" s="2" t="s">
        <v>49</v>
      </c>
      <c r="B534" s="4">
        <v>1</v>
      </c>
      <c r="C534" s="5">
        <v>7.0000000000000007E-2</v>
      </c>
      <c r="D534" s="4">
        <v>0</v>
      </c>
      <c r="E534" s="5">
        <v>0</v>
      </c>
      <c r="F534" s="4">
        <v>1</v>
      </c>
      <c r="G534" s="5">
        <v>0.18</v>
      </c>
      <c r="H534" s="4">
        <v>0</v>
      </c>
    </row>
    <row r="535" spans="1:8" x14ac:dyDescent="0.2">
      <c r="A535" s="2" t="s">
        <v>50</v>
      </c>
      <c r="B535" s="4">
        <v>5</v>
      </c>
      <c r="C535" s="5">
        <v>0.35</v>
      </c>
      <c r="D535" s="4">
        <v>0</v>
      </c>
      <c r="E535" s="5">
        <v>0</v>
      </c>
      <c r="F535" s="4">
        <v>5</v>
      </c>
      <c r="G535" s="5">
        <v>0.88</v>
      </c>
      <c r="H535" s="4">
        <v>0</v>
      </c>
    </row>
    <row r="536" spans="1:8" x14ac:dyDescent="0.2">
      <c r="A536" s="2" t="s">
        <v>51</v>
      </c>
      <c r="B536" s="4">
        <v>18</v>
      </c>
      <c r="C536" s="5">
        <v>1.26</v>
      </c>
      <c r="D536" s="4">
        <v>0</v>
      </c>
      <c r="E536" s="5">
        <v>0</v>
      </c>
      <c r="F536" s="4">
        <v>18</v>
      </c>
      <c r="G536" s="5">
        <v>3.17</v>
      </c>
      <c r="H536" s="4">
        <v>0</v>
      </c>
    </row>
    <row r="537" spans="1:8" x14ac:dyDescent="0.2">
      <c r="A537" s="2" t="s">
        <v>52</v>
      </c>
      <c r="B537" s="4">
        <v>348</v>
      </c>
      <c r="C537" s="5">
        <v>24.32</v>
      </c>
      <c r="D537" s="4">
        <v>201</v>
      </c>
      <c r="E537" s="5">
        <v>23.7</v>
      </c>
      <c r="F537" s="4">
        <v>147</v>
      </c>
      <c r="G537" s="5">
        <v>25.88</v>
      </c>
      <c r="H537" s="4">
        <v>0</v>
      </c>
    </row>
    <row r="538" spans="1:8" x14ac:dyDescent="0.2">
      <c r="A538" s="2" t="s">
        <v>53</v>
      </c>
      <c r="B538" s="4">
        <v>13</v>
      </c>
      <c r="C538" s="5">
        <v>0.91</v>
      </c>
      <c r="D538" s="4">
        <v>3</v>
      </c>
      <c r="E538" s="5">
        <v>0.35</v>
      </c>
      <c r="F538" s="4">
        <v>10</v>
      </c>
      <c r="G538" s="5">
        <v>1.76</v>
      </c>
      <c r="H538" s="4">
        <v>0</v>
      </c>
    </row>
    <row r="539" spans="1:8" x14ac:dyDescent="0.2">
      <c r="A539" s="2" t="s">
        <v>54</v>
      </c>
      <c r="B539" s="4">
        <v>71</v>
      </c>
      <c r="C539" s="5">
        <v>4.96</v>
      </c>
      <c r="D539" s="4">
        <v>35</v>
      </c>
      <c r="E539" s="5">
        <v>4.13</v>
      </c>
      <c r="F539" s="4">
        <v>36</v>
      </c>
      <c r="G539" s="5">
        <v>6.34</v>
      </c>
      <c r="H539" s="4">
        <v>0</v>
      </c>
    </row>
    <row r="540" spans="1:8" x14ac:dyDescent="0.2">
      <c r="A540" s="2" t="s">
        <v>55</v>
      </c>
      <c r="B540" s="4">
        <v>38</v>
      </c>
      <c r="C540" s="5">
        <v>2.66</v>
      </c>
      <c r="D540" s="4">
        <v>24</v>
      </c>
      <c r="E540" s="5">
        <v>2.83</v>
      </c>
      <c r="F540" s="4">
        <v>13</v>
      </c>
      <c r="G540" s="5">
        <v>2.29</v>
      </c>
      <c r="H540" s="4">
        <v>0</v>
      </c>
    </row>
    <row r="541" spans="1:8" x14ac:dyDescent="0.2">
      <c r="A541" s="2" t="s">
        <v>56</v>
      </c>
      <c r="B541" s="4">
        <v>126</v>
      </c>
      <c r="C541" s="5">
        <v>8.81</v>
      </c>
      <c r="D541" s="4">
        <v>95</v>
      </c>
      <c r="E541" s="5">
        <v>11.2</v>
      </c>
      <c r="F541" s="4">
        <v>30</v>
      </c>
      <c r="G541" s="5">
        <v>5.28</v>
      </c>
      <c r="H541" s="4">
        <v>0</v>
      </c>
    </row>
    <row r="542" spans="1:8" x14ac:dyDescent="0.2">
      <c r="A542" s="2" t="s">
        <v>57</v>
      </c>
      <c r="B542" s="4">
        <v>146</v>
      </c>
      <c r="C542" s="5">
        <v>10.199999999999999</v>
      </c>
      <c r="D542" s="4">
        <v>124</v>
      </c>
      <c r="E542" s="5">
        <v>14.62</v>
      </c>
      <c r="F542" s="4">
        <v>21</v>
      </c>
      <c r="G542" s="5">
        <v>3.7</v>
      </c>
      <c r="H542" s="4">
        <v>1</v>
      </c>
    </row>
    <row r="543" spans="1:8" x14ac:dyDescent="0.2">
      <c r="A543" s="2" t="s">
        <v>58</v>
      </c>
      <c r="B543" s="4">
        <v>52</v>
      </c>
      <c r="C543" s="5">
        <v>3.63</v>
      </c>
      <c r="D543" s="4">
        <v>35</v>
      </c>
      <c r="E543" s="5">
        <v>4.13</v>
      </c>
      <c r="F543" s="4">
        <v>13</v>
      </c>
      <c r="G543" s="5">
        <v>2.29</v>
      </c>
      <c r="H543" s="4">
        <v>0</v>
      </c>
    </row>
    <row r="544" spans="1:8" x14ac:dyDescent="0.2">
      <c r="A544" s="2" t="s">
        <v>59</v>
      </c>
      <c r="B544" s="4">
        <v>50</v>
      </c>
      <c r="C544" s="5">
        <v>3.49</v>
      </c>
      <c r="D544" s="4">
        <v>28</v>
      </c>
      <c r="E544" s="5">
        <v>3.3</v>
      </c>
      <c r="F544" s="4">
        <v>16</v>
      </c>
      <c r="G544" s="5">
        <v>2.82</v>
      </c>
      <c r="H544" s="4">
        <v>0</v>
      </c>
    </row>
    <row r="545" spans="1:8" x14ac:dyDescent="0.2">
      <c r="A545" s="2" t="s">
        <v>60</v>
      </c>
      <c r="B545" s="4">
        <v>37</v>
      </c>
      <c r="C545" s="5">
        <v>2.59</v>
      </c>
      <c r="D545" s="4">
        <v>21</v>
      </c>
      <c r="E545" s="5">
        <v>2.48</v>
      </c>
      <c r="F545" s="4">
        <v>14</v>
      </c>
      <c r="G545" s="5">
        <v>2.46</v>
      </c>
      <c r="H545" s="4">
        <v>2</v>
      </c>
    </row>
    <row r="546" spans="1:8" x14ac:dyDescent="0.2">
      <c r="A546" s="1" t="s">
        <v>34</v>
      </c>
      <c r="B546" s="4">
        <v>482</v>
      </c>
      <c r="C546" s="5">
        <v>99.98</v>
      </c>
      <c r="D546" s="4">
        <v>305</v>
      </c>
      <c r="E546" s="5">
        <v>100.01</v>
      </c>
      <c r="F546" s="4">
        <v>173</v>
      </c>
      <c r="G546" s="5">
        <v>99.990000000000009</v>
      </c>
      <c r="H546" s="4">
        <v>4</v>
      </c>
    </row>
    <row r="547" spans="1:8" x14ac:dyDescent="0.2">
      <c r="A547" s="2" t="s">
        <v>46</v>
      </c>
      <c r="B547" s="4">
        <v>0</v>
      </c>
      <c r="C547" s="5">
        <v>0</v>
      </c>
      <c r="D547" s="4">
        <v>0</v>
      </c>
      <c r="E547" s="5">
        <v>0</v>
      </c>
      <c r="F547" s="4">
        <v>0</v>
      </c>
      <c r="G547" s="5">
        <v>0</v>
      </c>
      <c r="H547" s="4">
        <v>0</v>
      </c>
    </row>
    <row r="548" spans="1:8" x14ac:dyDescent="0.2">
      <c r="A548" s="2" t="s">
        <v>47</v>
      </c>
      <c r="B548" s="4">
        <v>85</v>
      </c>
      <c r="C548" s="5">
        <v>17.63</v>
      </c>
      <c r="D548" s="4">
        <v>49</v>
      </c>
      <c r="E548" s="5">
        <v>16.07</v>
      </c>
      <c r="F548" s="4">
        <v>36</v>
      </c>
      <c r="G548" s="5">
        <v>20.81</v>
      </c>
      <c r="H548" s="4">
        <v>0</v>
      </c>
    </row>
    <row r="549" spans="1:8" x14ac:dyDescent="0.2">
      <c r="A549" s="2" t="s">
        <v>48</v>
      </c>
      <c r="B549" s="4">
        <v>16</v>
      </c>
      <c r="C549" s="5">
        <v>3.32</v>
      </c>
      <c r="D549" s="4">
        <v>8</v>
      </c>
      <c r="E549" s="5">
        <v>2.62</v>
      </c>
      <c r="F549" s="4">
        <v>8</v>
      </c>
      <c r="G549" s="5">
        <v>4.62</v>
      </c>
      <c r="H549" s="4">
        <v>0</v>
      </c>
    </row>
    <row r="550" spans="1:8" x14ac:dyDescent="0.2">
      <c r="A550" s="2" t="s">
        <v>49</v>
      </c>
      <c r="B550" s="4">
        <v>2</v>
      </c>
      <c r="C550" s="5">
        <v>0.41</v>
      </c>
      <c r="D550" s="4">
        <v>0</v>
      </c>
      <c r="E550" s="5">
        <v>0</v>
      </c>
      <c r="F550" s="4">
        <v>2</v>
      </c>
      <c r="G550" s="5">
        <v>1.1599999999999999</v>
      </c>
      <c r="H550" s="4">
        <v>0</v>
      </c>
    </row>
    <row r="551" spans="1:8" x14ac:dyDescent="0.2">
      <c r="A551" s="2" t="s">
        <v>50</v>
      </c>
      <c r="B551" s="4">
        <v>0</v>
      </c>
      <c r="C551" s="5">
        <v>0</v>
      </c>
      <c r="D551" s="4">
        <v>0</v>
      </c>
      <c r="E551" s="5">
        <v>0</v>
      </c>
      <c r="F551" s="4">
        <v>0</v>
      </c>
      <c r="G551" s="5">
        <v>0</v>
      </c>
      <c r="H551" s="4">
        <v>0</v>
      </c>
    </row>
    <row r="552" spans="1:8" x14ac:dyDescent="0.2">
      <c r="A552" s="2" t="s">
        <v>51</v>
      </c>
      <c r="B552" s="4">
        <v>3</v>
      </c>
      <c r="C552" s="5">
        <v>0.62</v>
      </c>
      <c r="D552" s="4">
        <v>1</v>
      </c>
      <c r="E552" s="5">
        <v>0.33</v>
      </c>
      <c r="F552" s="4">
        <v>2</v>
      </c>
      <c r="G552" s="5">
        <v>1.1599999999999999</v>
      </c>
      <c r="H552" s="4">
        <v>0</v>
      </c>
    </row>
    <row r="553" spans="1:8" x14ac:dyDescent="0.2">
      <c r="A553" s="2" t="s">
        <v>52</v>
      </c>
      <c r="B553" s="4">
        <v>115</v>
      </c>
      <c r="C553" s="5">
        <v>23.86</v>
      </c>
      <c r="D553" s="4">
        <v>65</v>
      </c>
      <c r="E553" s="5">
        <v>21.31</v>
      </c>
      <c r="F553" s="4">
        <v>50</v>
      </c>
      <c r="G553" s="5">
        <v>28.9</v>
      </c>
      <c r="H553" s="4">
        <v>0</v>
      </c>
    </row>
    <row r="554" spans="1:8" x14ac:dyDescent="0.2">
      <c r="A554" s="2" t="s">
        <v>53</v>
      </c>
      <c r="B554" s="4">
        <v>0</v>
      </c>
      <c r="C554" s="5">
        <v>0</v>
      </c>
      <c r="D554" s="4">
        <v>0</v>
      </c>
      <c r="E554" s="5">
        <v>0</v>
      </c>
      <c r="F554" s="4">
        <v>0</v>
      </c>
      <c r="G554" s="5">
        <v>0</v>
      </c>
      <c r="H554" s="4">
        <v>0</v>
      </c>
    </row>
    <row r="555" spans="1:8" x14ac:dyDescent="0.2">
      <c r="A555" s="2" t="s">
        <v>54</v>
      </c>
      <c r="B555" s="4">
        <v>63</v>
      </c>
      <c r="C555" s="5">
        <v>13.07</v>
      </c>
      <c r="D555" s="4">
        <v>35</v>
      </c>
      <c r="E555" s="5">
        <v>11.48</v>
      </c>
      <c r="F555" s="4">
        <v>28</v>
      </c>
      <c r="G555" s="5">
        <v>16.18</v>
      </c>
      <c r="H555" s="4">
        <v>0</v>
      </c>
    </row>
    <row r="556" spans="1:8" x14ac:dyDescent="0.2">
      <c r="A556" s="2" t="s">
        <v>55</v>
      </c>
      <c r="B556" s="4">
        <v>12</v>
      </c>
      <c r="C556" s="5">
        <v>2.4900000000000002</v>
      </c>
      <c r="D556" s="4">
        <v>9</v>
      </c>
      <c r="E556" s="5">
        <v>2.95</v>
      </c>
      <c r="F556" s="4">
        <v>3</v>
      </c>
      <c r="G556" s="5">
        <v>1.73</v>
      </c>
      <c r="H556" s="4">
        <v>0</v>
      </c>
    </row>
    <row r="557" spans="1:8" x14ac:dyDescent="0.2">
      <c r="A557" s="2" t="s">
        <v>56</v>
      </c>
      <c r="B557" s="4">
        <v>87</v>
      </c>
      <c r="C557" s="5">
        <v>18.05</v>
      </c>
      <c r="D557" s="4">
        <v>69</v>
      </c>
      <c r="E557" s="5">
        <v>22.62</v>
      </c>
      <c r="F557" s="4">
        <v>18</v>
      </c>
      <c r="G557" s="5">
        <v>10.4</v>
      </c>
      <c r="H557" s="4">
        <v>0</v>
      </c>
    </row>
    <row r="558" spans="1:8" x14ac:dyDescent="0.2">
      <c r="A558" s="2" t="s">
        <v>57</v>
      </c>
      <c r="B558" s="4">
        <v>63</v>
      </c>
      <c r="C558" s="5">
        <v>13.07</v>
      </c>
      <c r="D558" s="4">
        <v>48</v>
      </c>
      <c r="E558" s="5">
        <v>15.74</v>
      </c>
      <c r="F558" s="4">
        <v>12</v>
      </c>
      <c r="G558" s="5">
        <v>6.94</v>
      </c>
      <c r="H558" s="4">
        <v>3</v>
      </c>
    </row>
    <row r="559" spans="1:8" x14ac:dyDescent="0.2">
      <c r="A559" s="2" t="s">
        <v>58</v>
      </c>
      <c r="B559" s="4">
        <v>7</v>
      </c>
      <c r="C559" s="5">
        <v>1.45</v>
      </c>
      <c r="D559" s="4">
        <v>6</v>
      </c>
      <c r="E559" s="5">
        <v>1.97</v>
      </c>
      <c r="F559" s="4">
        <v>1</v>
      </c>
      <c r="G559" s="5">
        <v>0.57999999999999996</v>
      </c>
      <c r="H559" s="4">
        <v>0</v>
      </c>
    </row>
    <row r="560" spans="1:8" x14ac:dyDescent="0.2">
      <c r="A560" s="2" t="s">
        <v>59</v>
      </c>
      <c r="B560" s="4">
        <v>10</v>
      </c>
      <c r="C560" s="5">
        <v>2.0699999999999998</v>
      </c>
      <c r="D560" s="4">
        <v>7</v>
      </c>
      <c r="E560" s="5">
        <v>2.2999999999999998</v>
      </c>
      <c r="F560" s="4">
        <v>3</v>
      </c>
      <c r="G560" s="5">
        <v>1.73</v>
      </c>
      <c r="H560" s="4">
        <v>0</v>
      </c>
    </row>
    <row r="561" spans="1:8" x14ac:dyDescent="0.2">
      <c r="A561" s="2" t="s">
        <v>60</v>
      </c>
      <c r="B561" s="4">
        <v>19</v>
      </c>
      <c r="C561" s="5">
        <v>3.94</v>
      </c>
      <c r="D561" s="4">
        <v>8</v>
      </c>
      <c r="E561" s="5">
        <v>2.62</v>
      </c>
      <c r="F561" s="4">
        <v>10</v>
      </c>
      <c r="G561" s="5">
        <v>5.78</v>
      </c>
      <c r="H561" s="4">
        <v>1</v>
      </c>
    </row>
    <row r="562" spans="1:8" x14ac:dyDescent="0.2">
      <c r="A562" s="1" t="s">
        <v>35</v>
      </c>
      <c r="B562" s="4">
        <v>315</v>
      </c>
      <c r="C562" s="5">
        <v>99.98</v>
      </c>
      <c r="D562" s="4">
        <v>221</v>
      </c>
      <c r="E562" s="5">
        <v>100.00000000000003</v>
      </c>
      <c r="F562" s="4">
        <v>92</v>
      </c>
      <c r="G562" s="5">
        <v>99.980000000000018</v>
      </c>
      <c r="H562" s="4">
        <v>0</v>
      </c>
    </row>
    <row r="563" spans="1:8" x14ac:dyDescent="0.2">
      <c r="A563" s="2" t="s">
        <v>46</v>
      </c>
      <c r="B563" s="4">
        <v>0</v>
      </c>
      <c r="C563" s="5">
        <v>0</v>
      </c>
      <c r="D563" s="4">
        <v>0</v>
      </c>
      <c r="E563" s="5">
        <v>0</v>
      </c>
      <c r="F563" s="4">
        <v>0</v>
      </c>
      <c r="G563" s="5">
        <v>0</v>
      </c>
      <c r="H563" s="4">
        <v>0</v>
      </c>
    </row>
    <row r="564" spans="1:8" x14ac:dyDescent="0.2">
      <c r="A564" s="2" t="s">
        <v>47</v>
      </c>
      <c r="B564" s="4">
        <v>55</v>
      </c>
      <c r="C564" s="5">
        <v>17.46</v>
      </c>
      <c r="D564" s="4">
        <v>35</v>
      </c>
      <c r="E564" s="5">
        <v>15.84</v>
      </c>
      <c r="F564" s="4">
        <v>20</v>
      </c>
      <c r="G564" s="5">
        <v>21.74</v>
      </c>
      <c r="H564" s="4">
        <v>0</v>
      </c>
    </row>
    <row r="565" spans="1:8" x14ac:dyDescent="0.2">
      <c r="A565" s="2" t="s">
        <v>48</v>
      </c>
      <c r="B565" s="4">
        <v>14</v>
      </c>
      <c r="C565" s="5">
        <v>4.4400000000000004</v>
      </c>
      <c r="D565" s="4">
        <v>5</v>
      </c>
      <c r="E565" s="5">
        <v>2.2599999999999998</v>
      </c>
      <c r="F565" s="4">
        <v>9</v>
      </c>
      <c r="G565" s="5">
        <v>9.7799999999999994</v>
      </c>
      <c r="H565" s="4">
        <v>0</v>
      </c>
    </row>
    <row r="566" spans="1:8" x14ac:dyDescent="0.2">
      <c r="A566" s="2" t="s">
        <v>49</v>
      </c>
      <c r="B566" s="4">
        <v>3</v>
      </c>
      <c r="C566" s="5">
        <v>0.95</v>
      </c>
      <c r="D566" s="4">
        <v>0</v>
      </c>
      <c r="E566" s="5">
        <v>0</v>
      </c>
      <c r="F566" s="4">
        <v>3</v>
      </c>
      <c r="G566" s="5">
        <v>3.26</v>
      </c>
      <c r="H566" s="4">
        <v>0</v>
      </c>
    </row>
    <row r="567" spans="1:8" x14ac:dyDescent="0.2">
      <c r="A567" s="2" t="s">
        <v>50</v>
      </c>
      <c r="B567" s="4">
        <v>2</v>
      </c>
      <c r="C567" s="5">
        <v>0.63</v>
      </c>
      <c r="D567" s="4">
        <v>0</v>
      </c>
      <c r="E567" s="5">
        <v>0</v>
      </c>
      <c r="F567" s="4">
        <v>2</v>
      </c>
      <c r="G567" s="5">
        <v>2.17</v>
      </c>
      <c r="H567" s="4">
        <v>0</v>
      </c>
    </row>
    <row r="568" spans="1:8" x14ac:dyDescent="0.2">
      <c r="A568" s="2" t="s">
        <v>51</v>
      </c>
      <c r="B568" s="4">
        <v>1</v>
      </c>
      <c r="C568" s="5">
        <v>0.32</v>
      </c>
      <c r="D568" s="4">
        <v>0</v>
      </c>
      <c r="E568" s="5">
        <v>0</v>
      </c>
      <c r="F568" s="4">
        <v>1</v>
      </c>
      <c r="G568" s="5">
        <v>1.0900000000000001</v>
      </c>
      <c r="H568" s="4">
        <v>0</v>
      </c>
    </row>
    <row r="569" spans="1:8" x14ac:dyDescent="0.2">
      <c r="A569" s="2" t="s">
        <v>52</v>
      </c>
      <c r="B569" s="4">
        <v>77</v>
      </c>
      <c r="C569" s="5">
        <v>24.44</v>
      </c>
      <c r="D569" s="4">
        <v>49</v>
      </c>
      <c r="E569" s="5">
        <v>22.17</v>
      </c>
      <c r="F569" s="4">
        <v>28</v>
      </c>
      <c r="G569" s="5">
        <v>30.43</v>
      </c>
      <c r="H569" s="4">
        <v>0</v>
      </c>
    </row>
    <row r="570" spans="1:8" x14ac:dyDescent="0.2">
      <c r="A570" s="2" t="s">
        <v>53</v>
      </c>
      <c r="B570" s="4">
        <v>1</v>
      </c>
      <c r="C570" s="5">
        <v>0.32</v>
      </c>
      <c r="D570" s="4">
        <v>1</v>
      </c>
      <c r="E570" s="5">
        <v>0.45</v>
      </c>
      <c r="F570" s="4">
        <v>0</v>
      </c>
      <c r="G570" s="5">
        <v>0</v>
      </c>
      <c r="H570" s="4">
        <v>0</v>
      </c>
    </row>
    <row r="571" spans="1:8" x14ac:dyDescent="0.2">
      <c r="A571" s="2" t="s">
        <v>54</v>
      </c>
      <c r="B571" s="4">
        <v>10</v>
      </c>
      <c r="C571" s="5">
        <v>3.17</v>
      </c>
      <c r="D571" s="4">
        <v>7</v>
      </c>
      <c r="E571" s="5">
        <v>3.17</v>
      </c>
      <c r="F571" s="4">
        <v>3</v>
      </c>
      <c r="G571" s="5">
        <v>3.26</v>
      </c>
      <c r="H571" s="4">
        <v>0</v>
      </c>
    </row>
    <row r="572" spans="1:8" x14ac:dyDescent="0.2">
      <c r="A572" s="2" t="s">
        <v>55</v>
      </c>
      <c r="B572" s="4">
        <v>8</v>
      </c>
      <c r="C572" s="5">
        <v>2.54</v>
      </c>
      <c r="D572" s="4">
        <v>6</v>
      </c>
      <c r="E572" s="5">
        <v>2.71</v>
      </c>
      <c r="F572" s="4">
        <v>2</v>
      </c>
      <c r="G572" s="5">
        <v>2.17</v>
      </c>
      <c r="H572" s="4">
        <v>0</v>
      </c>
    </row>
    <row r="573" spans="1:8" x14ac:dyDescent="0.2">
      <c r="A573" s="2" t="s">
        <v>56</v>
      </c>
      <c r="B573" s="4">
        <v>80</v>
      </c>
      <c r="C573" s="5">
        <v>25.4</v>
      </c>
      <c r="D573" s="4">
        <v>67</v>
      </c>
      <c r="E573" s="5">
        <v>30.32</v>
      </c>
      <c r="F573" s="4">
        <v>12</v>
      </c>
      <c r="G573" s="5">
        <v>13.04</v>
      </c>
      <c r="H573" s="4">
        <v>0</v>
      </c>
    </row>
    <row r="574" spans="1:8" x14ac:dyDescent="0.2">
      <c r="A574" s="2" t="s">
        <v>57</v>
      </c>
      <c r="B574" s="4">
        <v>31</v>
      </c>
      <c r="C574" s="5">
        <v>9.84</v>
      </c>
      <c r="D574" s="4">
        <v>28</v>
      </c>
      <c r="E574" s="5">
        <v>12.67</v>
      </c>
      <c r="F574" s="4">
        <v>3</v>
      </c>
      <c r="G574" s="5">
        <v>3.26</v>
      </c>
      <c r="H574" s="4">
        <v>0</v>
      </c>
    </row>
    <row r="575" spans="1:8" x14ac:dyDescent="0.2">
      <c r="A575" s="2" t="s">
        <v>58</v>
      </c>
      <c r="B575" s="4">
        <v>11</v>
      </c>
      <c r="C575" s="5">
        <v>3.49</v>
      </c>
      <c r="D575" s="4">
        <v>8</v>
      </c>
      <c r="E575" s="5">
        <v>3.62</v>
      </c>
      <c r="F575" s="4">
        <v>3</v>
      </c>
      <c r="G575" s="5">
        <v>3.26</v>
      </c>
      <c r="H575" s="4">
        <v>0</v>
      </c>
    </row>
    <row r="576" spans="1:8" x14ac:dyDescent="0.2">
      <c r="A576" s="2" t="s">
        <v>59</v>
      </c>
      <c r="B576" s="4">
        <v>10</v>
      </c>
      <c r="C576" s="5">
        <v>3.17</v>
      </c>
      <c r="D576" s="4">
        <v>8</v>
      </c>
      <c r="E576" s="5">
        <v>3.62</v>
      </c>
      <c r="F576" s="4">
        <v>1</v>
      </c>
      <c r="G576" s="5">
        <v>1.0900000000000001</v>
      </c>
      <c r="H576" s="4">
        <v>0</v>
      </c>
    </row>
    <row r="577" spans="1:8" x14ac:dyDescent="0.2">
      <c r="A577" s="2" t="s">
        <v>60</v>
      </c>
      <c r="B577" s="4">
        <v>12</v>
      </c>
      <c r="C577" s="5">
        <v>3.81</v>
      </c>
      <c r="D577" s="4">
        <v>7</v>
      </c>
      <c r="E577" s="5">
        <v>3.17</v>
      </c>
      <c r="F577" s="4">
        <v>5</v>
      </c>
      <c r="G577" s="5">
        <v>5.43</v>
      </c>
      <c r="H577" s="4">
        <v>0</v>
      </c>
    </row>
    <row r="578" spans="1:8" x14ac:dyDescent="0.2">
      <c r="A578" s="1" t="s">
        <v>36</v>
      </c>
      <c r="B578" s="4">
        <v>370</v>
      </c>
      <c r="C578" s="5">
        <v>99.969999999999985</v>
      </c>
      <c r="D578" s="4">
        <v>282</v>
      </c>
      <c r="E578" s="5">
        <v>99.99</v>
      </c>
      <c r="F578" s="4">
        <v>85</v>
      </c>
      <c r="G578" s="5">
        <v>100.01000000000002</v>
      </c>
      <c r="H578" s="4">
        <v>1</v>
      </c>
    </row>
    <row r="579" spans="1:8" x14ac:dyDescent="0.2">
      <c r="A579" s="2" t="s">
        <v>46</v>
      </c>
      <c r="B579" s="4">
        <v>0</v>
      </c>
      <c r="C579" s="5">
        <v>0</v>
      </c>
      <c r="D579" s="4">
        <v>0</v>
      </c>
      <c r="E579" s="5">
        <v>0</v>
      </c>
      <c r="F579" s="4">
        <v>0</v>
      </c>
      <c r="G579" s="5">
        <v>0</v>
      </c>
      <c r="H579" s="4">
        <v>0</v>
      </c>
    </row>
    <row r="580" spans="1:8" x14ac:dyDescent="0.2">
      <c r="A580" s="2" t="s">
        <v>47</v>
      </c>
      <c r="B580" s="4">
        <v>53</v>
      </c>
      <c r="C580" s="5">
        <v>14.32</v>
      </c>
      <c r="D580" s="4">
        <v>31</v>
      </c>
      <c r="E580" s="5">
        <v>10.99</v>
      </c>
      <c r="F580" s="4">
        <v>22</v>
      </c>
      <c r="G580" s="5">
        <v>25.88</v>
      </c>
      <c r="H580" s="4">
        <v>0</v>
      </c>
    </row>
    <row r="581" spans="1:8" x14ac:dyDescent="0.2">
      <c r="A581" s="2" t="s">
        <v>48</v>
      </c>
      <c r="B581" s="4">
        <v>17</v>
      </c>
      <c r="C581" s="5">
        <v>4.59</v>
      </c>
      <c r="D581" s="4">
        <v>7</v>
      </c>
      <c r="E581" s="5">
        <v>2.48</v>
      </c>
      <c r="F581" s="4">
        <v>10</v>
      </c>
      <c r="G581" s="5">
        <v>11.76</v>
      </c>
      <c r="H581" s="4">
        <v>0</v>
      </c>
    </row>
    <row r="582" spans="1:8" x14ac:dyDescent="0.2">
      <c r="A582" s="2" t="s">
        <v>49</v>
      </c>
      <c r="B582" s="4">
        <v>1</v>
      </c>
      <c r="C582" s="5">
        <v>0.27</v>
      </c>
      <c r="D582" s="4">
        <v>0</v>
      </c>
      <c r="E582" s="5">
        <v>0</v>
      </c>
      <c r="F582" s="4">
        <v>1</v>
      </c>
      <c r="G582" s="5">
        <v>1.18</v>
      </c>
      <c r="H582" s="4">
        <v>0</v>
      </c>
    </row>
    <row r="583" spans="1:8" x14ac:dyDescent="0.2">
      <c r="A583" s="2" t="s">
        <v>50</v>
      </c>
      <c r="B583" s="4">
        <v>0</v>
      </c>
      <c r="C583" s="5">
        <v>0</v>
      </c>
      <c r="D583" s="4">
        <v>0</v>
      </c>
      <c r="E583" s="5">
        <v>0</v>
      </c>
      <c r="F583" s="4">
        <v>0</v>
      </c>
      <c r="G583" s="5">
        <v>0</v>
      </c>
      <c r="H583" s="4">
        <v>0</v>
      </c>
    </row>
    <row r="584" spans="1:8" x14ac:dyDescent="0.2">
      <c r="A584" s="2" t="s">
        <v>51</v>
      </c>
      <c r="B584" s="4">
        <v>4</v>
      </c>
      <c r="C584" s="5">
        <v>1.08</v>
      </c>
      <c r="D584" s="4">
        <v>3</v>
      </c>
      <c r="E584" s="5">
        <v>1.06</v>
      </c>
      <c r="F584" s="4">
        <v>1</v>
      </c>
      <c r="G584" s="5">
        <v>1.18</v>
      </c>
      <c r="H584" s="4">
        <v>0</v>
      </c>
    </row>
    <row r="585" spans="1:8" x14ac:dyDescent="0.2">
      <c r="A585" s="2" t="s">
        <v>52</v>
      </c>
      <c r="B585" s="4">
        <v>73</v>
      </c>
      <c r="C585" s="5">
        <v>19.73</v>
      </c>
      <c r="D585" s="4">
        <v>53</v>
      </c>
      <c r="E585" s="5">
        <v>18.79</v>
      </c>
      <c r="F585" s="4">
        <v>20</v>
      </c>
      <c r="G585" s="5">
        <v>23.53</v>
      </c>
      <c r="H585" s="4">
        <v>0</v>
      </c>
    </row>
    <row r="586" spans="1:8" x14ac:dyDescent="0.2">
      <c r="A586" s="2" t="s">
        <v>53</v>
      </c>
      <c r="B586" s="4">
        <v>0</v>
      </c>
      <c r="C586" s="5">
        <v>0</v>
      </c>
      <c r="D586" s="4">
        <v>0</v>
      </c>
      <c r="E586" s="5">
        <v>0</v>
      </c>
      <c r="F586" s="4">
        <v>0</v>
      </c>
      <c r="G586" s="5">
        <v>0</v>
      </c>
      <c r="H586" s="4">
        <v>0</v>
      </c>
    </row>
    <row r="587" spans="1:8" x14ac:dyDescent="0.2">
      <c r="A587" s="2" t="s">
        <v>54</v>
      </c>
      <c r="B587" s="4">
        <v>18</v>
      </c>
      <c r="C587" s="5">
        <v>4.8600000000000003</v>
      </c>
      <c r="D587" s="4">
        <v>12</v>
      </c>
      <c r="E587" s="5">
        <v>4.26</v>
      </c>
      <c r="F587" s="4">
        <v>6</v>
      </c>
      <c r="G587" s="5">
        <v>7.06</v>
      </c>
      <c r="H587" s="4">
        <v>0</v>
      </c>
    </row>
    <row r="588" spans="1:8" x14ac:dyDescent="0.2">
      <c r="A588" s="2" t="s">
        <v>55</v>
      </c>
      <c r="B588" s="4">
        <v>8</v>
      </c>
      <c r="C588" s="5">
        <v>2.16</v>
      </c>
      <c r="D588" s="4">
        <v>7</v>
      </c>
      <c r="E588" s="5">
        <v>2.48</v>
      </c>
      <c r="F588" s="4">
        <v>1</v>
      </c>
      <c r="G588" s="5">
        <v>1.18</v>
      </c>
      <c r="H588" s="4">
        <v>0</v>
      </c>
    </row>
    <row r="589" spans="1:8" x14ac:dyDescent="0.2">
      <c r="A589" s="2" t="s">
        <v>56</v>
      </c>
      <c r="B589" s="4">
        <v>119</v>
      </c>
      <c r="C589" s="5">
        <v>32.159999999999997</v>
      </c>
      <c r="D589" s="4">
        <v>110</v>
      </c>
      <c r="E589" s="5">
        <v>39.01</v>
      </c>
      <c r="F589" s="4">
        <v>9</v>
      </c>
      <c r="G589" s="5">
        <v>10.59</v>
      </c>
      <c r="H589" s="4">
        <v>0</v>
      </c>
    </row>
    <row r="590" spans="1:8" x14ac:dyDescent="0.2">
      <c r="A590" s="2" t="s">
        <v>57</v>
      </c>
      <c r="B590" s="4">
        <v>46</v>
      </c>
      <c r="C590" s="5">
        <v>12.43</v>
      </c>
      <c r="D590" s="4">
        <v>43</v>
      </c>
      <c r="E590" s="5">
        <v>15.25</v>
      </c>
      <c r="F590" s="4">
        <v>3</v>
      </c>
      <c r="G590" s="5">
        <v>3.53</v>
      </c>
      <c r="H590" s="4">
        <v>0</v>
      </c>
    </row>
    <row r="591" spans="1:8" x14ac:dyDescent="0.2">
      <c r="A591" s="2" t="s">
        <v>58</v>
      </c>
      <c r="B591" s="4">
        <v>5</v>
      </c>
      <c r="C591" s="5">
        <v>1.35</v>
      </c>
      <c r="D591" s="4">
        <v>4</v>
      </c>
      <c r="E591" s="5">
        <v>1.42</v>
      </c>
      <c r="F591" s="4">
        <v>1</v>
      </c>
      <c r="G591" s="5">
        <v>1.18</v>
      </c>
      <c r="H591" s="4">
        <v>0</v>
      </c>
    </row>
    <row r="592" spans="1:8" x14ac:dyDescent="0.2">
      <c r="A592" s="2" t="s">
        <v>59</v>
      </c>
      <c r="B592" s="4">
        <v>12</v>
      </c>
      <c r="C592" s="5">
        <v>3.24</v>
      </c>
      <c r="D592" s="4">
        <v>7</v>
      </c>
      <c r="E592" s="5">
        <v>2.48</v>
      </c>
      <c r="F592" s="4">
        <v>3</v>
      </c>
      <c r="G592" s="5">
        <v>3.53</v>
      </c>
      <c r="H592" s="4">
        <v>0</v>
      </c>
    </row>
    <row r="593" spans="1:8" x14ac:dyDescent="0.2">
      <c r="A593" s="2" t="s">
        <v>60</v>
      </c>
      <c r="B593" s="4">
        <v>14</v>
      </c>
      <c r="C593" s="5">
        <v>3.78</v>
      </c>
      <c r="D593" s="4">
        <v>5</v>
      </c>
      <c r="E593" s="5">
        <v>1.77</v>
      </c>
      <c r="F593" s="4">
        <v>8</v>
      </c>
      <c r="G593" s="5">
        <v>9.41</v>
      </c>
      <c r="H593" s="4">
        <v>1</v>
      </c>
    </row>
    <row r="594" spans="1:8" x14ac:dyDescent="0.2">
      <c r="A594" s="1" t="s">
        <v>37</v>
      </c>
      <c r="B594" s="4">
        <v>329</v>
      </c>
      <c r="C594" s="5">
        <v>100.01</v>
      </c>
      <c r="D594" s="4">
        <v>239</v>
      </c>
      <c r="E594" s="5">
        <v>100.02000000000001</v>
      </c>
      <c r="F594" s="4">
        <v>87</v>
      </c>
      <c r="G594" s="5">
        <v>100.01</v>
      </c>
      <c r="H594" s="4">
        <v>2</v>
      </c>
    </row>
    <row r="595" spans="1:8" x14ac:dyDescent="0.2">
      <c r="A595" s="2" t="s">
        <v>46</v>
      </c>
      <c r="B595" s="4">
        <v>0</v>
      </c>
      <c r="C595" s="5">
        <v>0</v>
      </c>
      <c r="D595" s="4">
        <v>0</v>
      </c>
      <c r="E595" s="5">
        <v>0</v>
      </c>
      <c r="F595" s="4">
        <v>0</v>
      </c>
      <c r="G595" s="5">
        <v>0</v>
      </c>
      <c r="H595" s="4">
        <v>0</v>
      </c>
    </row>
    <row r="596" spans="1:8" x14ac:dyDescent="0.2">
      <c r="A596" s="2" t="s">
        <v>47</v>
      </c>
      <c r="B596" s="4">
        <v>33</v>
      </c>
      <c r="C596" s="5">
        <v>10.029999999999999</v>
      </c>
      <c r="D596" s="4">
        <v>20</v>
      </c>
      <c r="E596" s="5">
        <v>8.3699999999999992</v>
      </c>
      <c r="F596" s="4">
        <v>13</v>
      </c>
      <c r="G596" s="5">
        <v>14.94</v>
      </c>
      <c r="H596" s="4">
        <v>0</v>
      </c>
    </row>
    <row r="597" spans="1:8" x14ac:dyDescent="0.2">
      <c r="A597" s="2" t="s">
        <v>48</v>
      </c>
      <c r="B597" s="4">
        <v>22</v>
      </c>
      <c r="C597" s="5">
        <v>6.69</v>
      </c>
      <c r="D597" s="4">
        <v>13</v>
      </c>
      <c r="E597" s="5">
        <v>5.44</v>
      </c>
      <c r="F597" s="4">
        <v>9</v>
      </c>
      <c r="G597" s="5">
        <v>10.34</v>
      </c>
      <c r="H597" s="4">
        <v>0</v>
      </c>
    </row>
    <row r="598" spans="1:8" x14ac:dyDescent="0.2">
      <c r="A598" s="2" t="s">
        <v>49</v>
      </c>
      <c r="B598" s="4">
        <v>1</v>
      </c>
      <c r="C598" s="5">
        <v>0.3</v>
      </c>
      <c r="D598" s="4">
        <v>0</v>
      </c>
      <c r="E598" s="5">
        <v>0</v>
      </c>
      <c r="F598" s="4">
        <v>1</v>
      </c>
      <c r="G598" s="5">
        <v>1.1499999999999999</v>
      </c>
      <c r="H598" s="4">
        <v>0</v>
      </c>
    </row>
    <row r="599" spans="1:8" x14ac:dyDescent="0.2">
      <c r="A599" s="2" t="s">
        <v>50</v>
      </c>
      <c r="B599" s="4">
        <v>4</v>
      </c>
      <c r="C599" s="5">
        <v>1.22</v>
      </c>
      <c r="D599" s="4">
        <v>1</v>
      </c>
      <c r="E599" s="5">
        <v>0.42</v>
      </c>
      <c r="F599" s="4">
        <v>3</v>
      </c>
      <c r="G599" s="5">
        <v>3.45</v>
      </c>
      <c r="H599" s="4">
        <v>0</v>
      </c>
    </row>
    <row r="600" spans="1:8" x14ac:dyDescent="0.2">
      <c r="A600" s="2" t="s">
        <v>51</v>
      </c>
      <c r="B600" s="4">
        <v>2</v>
      </c>
      <c r="C600" s="5">
        <v>0.61</v>
      </c>
      <c r="D600" s="4">
        <v>0</v>
      </c>
      <c r="E600" s="5">
        <v>0</v>
      </c>
      <c r="F600" s="4">
        <v>1</v>
      </c>
      <c r="G600" s="5">
        <v>1.1499999999999999</v>
      </c>
      <c r="H600" s="4">
        <v>1</v>
      </c>
    </row>
    <row r="601" spans="1:8" x14ac:dyDescent="0.2">
      <c r="A601" s="2" t="s">
        <v>52</v>
      </c>
      <c r="B601" s="4">
        <v>86</v>
      </c>
      <c r="C601" s="5">
        <v>26.14</v>
      </c>
      <c r="D601" s="4">
        <v>52</v>
      </c>
      <c r="E601" s="5">
        <v>21.76</v>
      </c>
      <c r="F601" s="4">
        <v>34</v>
      </c>
      <c r="G601" s="5">
        <v>39.08</v>
      </c>
      <c r="H601" s="4">
        <v>0</v>
      </c>
    </row>
    <row r="602" spans="1:8" x14ac:dyDescent="0.2">
      <c r="A602" s="2" t="s">
        <v>53</v>
      </c>
      <c r="B602" s="4">
        <v>2</v>
      </c>
      <c r="C602" s="5">
        <v>0.61</v>
      </c>
      <c r="D602" s="4">
        <v>1</v>
      </c>
      <c r="E602" s="5">
        <v>0.42</v>
      </c>
      <c r="F602" s="4">
        <v>1</v>
      </c>
      <c r="G602" s="5">
        <v>1.1499999999999999</v>
      </c>
      <c r="H602" s="4">
        <v>0</v>
      </c>
    </row>
    <row r="603" spans="1:8" x14ac:dyDescent="0.2">
      <c r="A603" s="2" t="s">
        <v>54</v>
      </c>
      <c r="B603" s="4">
        <v>8</v>
      </c>
      <c r="C603" s="5">
        <v>2.4300000000000002</v>
      </c>
      <c r="D603" s="4">
        <v>3</v>
      </c>
      <c r="E603" s="5">
        <v>1.26</v>
      </c>
      <c r="F603" s="4">
        <v>5</v>
      </c>
      <c r="G603" s="5">
        <v>5.75</v>
      </c>
      <c r="H603" s="4">
        <v>0</v>
      </c>
    </row>
    <row r="604" spans="1:8" x14ac:dyDescent="0.2">
      <c r="A604" s="2" t="s">
        <v>55</v>
      </c>
      <c r="B604" s="4">
        <v>8</v>
      </c>
      <c r="C604" s="5">
        <v>2.4300000000000002</v>
      </c>
      <c r="D604" s="4">
        <v>7</v>
      </c>
      <c r="E604" s="5">
        <v>2.93</v>
      </c>
      <c r="F604" s="4">
        <v>1</v>
      </c>
      <c r="G604" s="5">
        <v>1.1499999999999999</v>
      </c>
      <c r="H604" s="4">
        <v>0</v>
      </c>
    </row>
    <row r="605" spans="1:8" x14ac:dyDescent="0.2">
      <c r="A605" s="2" t="s">
        <v>56</v>
      </c>
      <c r="B605" s="4">
        <v>88</v>
      </c>
      <c r="C605" s="5">
        <v>26.75</v>
      </c>
      <c r="D605" s="4">
        <v>84</v>
      </c>
      <c r="E605" s="5">
        <v>35.15</v>
      </c>
      <c r="F605" s="4">
        <v>4</v>
      </c>
      <c r="G605" s="5">
        <v>4.5999999999999996</v>
      </c>
      <c r="H605" s="4">
        <v>0</v>
      </c>
    </row>
    <row r="606" spans="1:8" x14ac:dyDescent="0.2">
      <c r="A606" s="2" t="s">
        <v>57</v>
      </c>
      <c r="B606" s="4">
        <v>42</v>
      </c>
      <c r="C606" s="5">
        <v>12.77</v>
      </c>
      <c r="D606" s="4">
        <v>34</v>
      </c>
      <c r="E606" s="5">
        <v>14.23</v>
      </c>
      <c r="F606" s="4">
        <v>8</v>
      </c>
      <c r="G606" s="5">
        <v>9.1999999999999993</v>
      </c>
      <c r="H606" s="4">
        <v>0</v>
      </c>
    </row>
    <row r="607" spans="1:8" x14ac:dyDescent="0.2">
      <c r="A607" s="2" t="s">
        <v>58</v>
      </c>
      <c r="B607" s="4">
        <v>17</v>
      </c>
      <c r="C607" s="5">
        <v>5.17</v>
      </c>
      <c r="D607" s="4">
        <v>13</v>
      </c>
      <c r="E607" s="5">
        <v>5.44</v>
      </c>
      <c r="F607" s="4">
        <v>4</v>
      </c>
      <c r="G607" s="5">
        <v>4.5999999999999996</v>
      </c>
      <c r="H607" s="4">
        <v>0</v>
      </c>
    </row>
    <row r="608" spans="1:8" x14ac:dyDescent="0.2">
      <c r="A608" s="2" t="s">
        <v>59</v>
      </c>
      <c r="B608" s="4">
        <v>8</v>
      </c>
      <c r="C608" s="5">
        <v>2.4300000000000002</v>
      </c>
      <c r="D608" s="4">
        <v>6</v>
      </c>
      <c r="E608" s="5">
        <v>2.5099999999999998</v>
      </c>
      <c r="F608" s="4">
        <v>2</v>
      </c>
      <c r="G608" s="5">
        <v>2.2999999999999998</v>
      </c>
      <c r="H608" s="4">
        <v>0</v>
      </c>
    </row>
    <row r="609" spans="1:8" x14ac:dyDescent="0.2">
      <c r="A609" s="2" t="s">
        <v>60</v>
      </c>
      <c r="B609" s="4">
        <v>8</v>
      </c>
      <c r="C609" s="5">
        <v>2.4300000000000002</v>
      </c>
      <c r="D609" s="4">
        <v>5</v>
      </c>
      <c r="E609" s="5">
        <v>2.09</v>
      </c>
      <c r="F609" s="4">
        <v>1</v>
      </c>
      <c r="G609" s="5">
        <v>1.1499999999999999</v>
      </c>
      <c r="H609" s="4">
        <v>1</v>
      </c>
    </row>
    <row r="610" spans="1:8" x14ac:dyDescent="0.2">
      <c r="A610" s="1" t="s">
        <v>38</v>
      </c>
      <c r="B610" s="4">
        <v>343</v>
      </c>
      <c r="C610" s="5">
        <v>99.990000000000009</v>
      </c>
      <c r="D610" s="4">
        <v>231</v>
      </c>
      <c r="E610" s="5">
        <v>99.990000000000009</v>
      </c>
      <c r="F610" s="4">
        <v>106</v>
      </c>
      <c r="G610" s="5">
        <v>99.969999999999985</v>
      </c>
      <c r="H610" s="4">
        <v>1</v>
      </c>
    </row>
    <row r="611" spans="1:8" x14ac:dyDescent="0.2">
      <c r="A611" s="2" t="s">
        <v>46</v>
      </c>
      <c r="B611" s="4">
        <v>0</v>
      </c>
      <c r="C611" s="5">
        <v>0</v>
      </c>
      <c r="D611" s="4">
        <v>0</v>
      </c>
      <c r="E611" s="5">
        <v>0</v>
      </c>
      <c r="F611" s="4">
        <v>0</v>
      </c>
      <c r="G611" s="5">
        <v>0</v>
      </c>
      <c r="H611" s="4">
        <v>0</v>
      </c>
    </row>
    <row r="612" spans="1:8" x14ac:dyDescent="0.2">
      <c r="A612" s="2" t="s">
        <v>47</v>
      </c>
      <c r="B612" s="4">
        <v>46</v>
      </c>
      <c r="C612" s="5">
        <v>13.41</v>
      </c>
      <c r="D612" s="4">
        <v>23</v>
      </c>
      <c r="E612" s="5">
        <v>9.9600000000000009</v>
      </c>
      <c r="F612" s="4">
        <v>23</v>
      </c>
      <c r="G612" s="5">
        <v>21.7</v>
      </c>
      <c r="H612" s="4">
        <v>0</v>
      </c>
    </row>
    <row r="613" spans="1:8" x14ac:dyDescent="0.2">
      <c r="A613" s="2" t="s">
        <v>48</v>
      </c>
      <c r="B613" s="4">
        <v>28</v>
      </c>
      <c r="C613" s="5">
        <v>8.16</v>
      </c>
      <c r="D613" s="4">
        <v>12</v>
      </c>
      <c r="E613" s="5">
        <v>5.19</v>
      </c>
      <c r="F613" s="4">
        <v>16</v>
      </c>
      <c r="G613" s="5">
        <v>15.09</v>
      </c>
      <c r="H613" s="4">
        <v>0</v>
      </c>
    </row>
    <row r="614" spans="1:8" x14ac:dyDescent="0.2">
      <c r="A614" s="2" t="s">
        <v>49</v>
      </c>
      <c r="B614" s="4">
        <v>0</v>
      </c>
      <c r="C614" s="5">
        <v>0</v>
      </c>
      <c r="D614" s="4">
        <v>0</v>
      </c>
      <c r="E614" s="5">
        <v>0</v>
      </c>
      <c r="F614" s="4">
        <v>0</v>
      </c>
      <c r="G614" s="5">
        <v>0</v>
      </c>
      <c r="H614" s="4">
        <v>0</v>
      </c>
    </row>
    <row r="615" spans="1:8" x14ac:dyDescent="0.2">
      <c r="A615" s="2" t="s">
        <v>50</v>
      </c>
      <c r="B615" s="4">
        <v>1</v>
      </c>
      <c r="C615" s="5">
        <v>0.28999999999999998</v>
      </c>
      <c r="D615" s="4">
        <v>0</v>
      </c>
      <c r="E615" s="5">
        <v>0</v>
      </c>
      <c r="F615" s="4">
        <v>1</v>
      </c>
      <c r="G615" s="5">
        <v>0.94</v>
      </c>
      <c r="H615" s="4">
        <v>0</v>
      </c>
    </row>
    <row r="616" spans="1:8" x14ac:dyDescent="0.2">
      <c r="A616" s="2" t="s">
        <v>51</v>
      </c>
      <c r="B616" s="4">
        <v>3</v>
      </c>
      <c r="C616" s="5">
        <v>0.87</v>
      </c>
      <c r="D616" s="4">
        <v>1</v>
      </c>
      <c r="E616" s="5">
        <v>0.43</v>
      </c>
      <c r="F616" s="4">
        <v>1</v>
      </c>
      <c r="G616" s="5">
        <v>0.94</v>
      </c>
      <c r="H616" s="4">
        <v>1</v>
      </c>
    </row>
    <row r="617" spans="1:8" x14ac:dyDescent="0.2">
      <c r="A617" s="2" t="s">
        <v>52</v>
      </c>
      <c r="B617" s="4">
        <v>85</v>
      </c>
      <c r="C617" s="5">
        <v>24.78</v>
      </c>
      <c r="D617" s="4">
        <v>57</v>
      </c>
      <c r="E617" s="5">
        <v>24.68</v>
      </c>
      <c r="F617" s="4">
        <v>28</v>
      </c>
      <c r="G617" s="5">
        <v>26.42</v>
      </c>
      <c r="H617" s="4">
        <v>0</v>
      </c>
    </row>
    <row r="618" spans="1:8" x14ac:dyDescent="0.2">
      <c r="A618" s="2" t="s">
        <v>53</v>
      </c>
      <c r="B618" s="4">
        <v>1</v>
      </c>
      <c r="C618" s="5">
        <v>0.28999999999999998</v>
      </c>
      <c r="D618" s="4">
        <v>0</v>
      </c>
      <c r="E618" s="5">
        <v>0</v>
      </c>
      <c r="F618" s="4">
        <v>1</v>
      </c>
      <c r="G618" s="5">
        <v>0.94</v>
      </c>
      <c r="H618" s="4">
        <v>0</v>
      </c>
    </row>
    <row r="619" spans="1:8" x14ac:dyDescent="0.2">
      <c r="A619" s="2" t="s">
        <v>54</v>
      </c>
      <c r="B619" s="4">
        <v>21</v>
      </c>
      <c r="C619" s="5">
        <v>6.12</v>
      </c>
      <c r="D619" s="4">
        <v>14</v>
      </c>
      <c r="E619" s="5">
        <v>6.06</v>
      </c>
      <c r="F619" s="4">
        <v>7</v>
      </c>
      <c r="G619" s="5">
        <v>6.6</v>
      </c>
      <c r="H619" s="4">
        <v>0</v>
      </c>
    </row>
    <row r="620" spans="1:8" x14ac:dyDescent="0.2">
      <c r="A620" s="2" t="s">
        <v>55</v>
      </c>
      <c r="B620" s="4">
        <v>4</v>
      </c>
      <c r="C620" s="5">
        <v>1.17</v>
      </c>
      <c r="D620" s="4">
        <v>4</v>
      </c>
      <c r="E620" s="5">
        <v>1.73</v>
      </c>
      <c r="F620" s="4">
        <v>0</v>
      </c>
      <c r="G620" s="5">
        <v>0</v>
      </c>
      <c r="H620" s="4">
        <v>0</v>
      </c>
    </row>
    <row r="621" spans="1:8" x14ac:dyDescent="0.2">
      <c r="A621" s="2" t="s">
        <v>56</v>
      </c>
      <c r="B621" s="4">
        <v>70</v>
      </c>
      <c r="C621" s="5">
        <v>20.41</v>
      </c>
      <c r="D621" s="4">
        <v>60</v>
      </c>
      <c r="E621" s="5">
        <v>25.97</v>
      </c>
      <c r="F621" s="4">
        <v>10</v>
      </c>
      <c r="G621" s="5">
        <v>9.43</v>
      </c>
      <c r="H621" s="4">
        <v>0</v>
      </c>
    </row>
    <row r="622" spans="1:8" x14ac:dyDescent="0.2">
      <c r="A622" s="2" t="s">
        <v>57</v>
      </c>
      <c r="B622" s="4">
        <v>49</v>
      </c>
      <c r="C622" s="5">
        <v>14.29</v>
      </c>
      <c r="D622" s="4">
        <v>41</v>
      </c>
      <c r="E622" s="5">
        <v>17.75</v>
      </c>
      <c r="F622" s="4">
        <v>4</v>
      </c>
      <c r="G622" s="5">
        <v>3.77</v>
      </c>
      <c r="H622" s="4">
        <v>0</v>
      </c>
    </row>
    <row r="623" spans="1:8" x14ac:dyDescent="0.2">
      <c r="A623" s="2" t="s">
        <v>58</v>
      </c>
      <c r="B623" s="4">
        <v>13</v>
      </c>
      <c r="C623" s="5">
        <v>3.79</v>
      </c>
      <c r="D623" s="4">
        <v>9</v>
      </c>
      <c r="E623" s="5">
        <v>3.9</v>
      </c>
      <c r="F623" s="4">
        <v>4</v>
      </c>
      <c r="G623" s="5">
        <v>3.77</v>
      </c>
      <c r="H623" s="4">
        <v>0</v>
      </c>
    </row>
    <row r="624" spans="1:8" x14ac:dyDescent="0.2">
      <c r="A624" s="2" t="s">
        <v>59</v>
      </c>
      <c r="B624" s="4">
        <v>9</v>
      </c>
      <c r="C624" s="5">
        <v>2.62</v>
      </c>
      <c r="D624" s="4">
        <v>5</v>
      </c>
      <c r="E624" s="5">
        <v>2.16</v>
      </c>
      <c r="F624" s="4">
        <v>4</v>
      </c>
      <c r="G624" s="5">
        <v>3.77</v>
      </c>
      <c r="H624" s="4">
        <v>0</v>
      </c>
    </row>
    <row r="625" spans="1:8" x14ac:dyDescent="0.2">
      <c r="A625" s="2" t="s">
        <v>60</v>
      </c>
      <c r="B625" s="4">
        <v>13</v>
      </c>
      <c r="C625" s="5">
        <v>3.79</v>
      </c>
      <c r="D625" s="4">
        <v>5</v>
      </c>
      <c r="E625" s="5">
        <v>2.16</v>
      </c>
      <c r="F625" s="4">
        <v>7</v>
      </c>
      <c r="G625" s="5">
        <v>6.6</v>
      </c>
      <c r="H625" s="4">
        <v>0</v>
      </c>
    </row>
    <row r="626" spans="1:8" x14ac:dyDescent="0.2">
      <c r="A626" s="1" t="s">
        <v>39</v>
      </c>
      <c r="B626" s="4">
        <v>796</v>
      </c>
      <c r="C626" s="5">
        <v>99.99</v>
      </c>
      <c r="D626" s="4">
        <v>437</v>
      </c>
      <c r="E626" s="5">
        <v>100</v>
      </c>
      <c r="F626" s="4">
        <v>344</v>
      </c>
      <c r="G626" s="5">
        <v>99.989999999999981</v>
      </c>
      <c r="H626" s="4">
        <v>1</v>
      </c>
    </row>
    <row r="627" spans="1:8" x14ac:dyDescent="0.2">
      <c r="A627" s="2" t="s">
        <v>46</v>
      </c>
      <c r="B627" s="4">
        <v>0</v>
      </c>
      <c r="C627" s="5">
        <v>0</v>
      </c>
      <c r="D627" s="4">
        <v>0</v>
      </c>
      <c r="E627" s="5">
        <v>0</v>
      </c>
      <c r="F627" s="4">
        <v>0</v>
      </c>
      <c r="G627" s="5">
        <v>0</v>
      </c>
      <c r="H627" s="4">
        <v>0</v>
      </c>
    </row>
    <row r="628" spans="1:8" x14ac:dyDescent="0.2">
      <c r="A628" s="2" t="s">
        <v>47</v>
      </c>
      <c r="B628" s="4">
        <v>167</v>
      </c>
      <c r="C628" s="5">
        <v>20.98</v>
      </c>
      <c r="D628" s="4">
        <v>66</v>
      </c>
      <c r="E628" s="5">
        <v>15.1</v>
      </c>
      <c r="F628" s="4">
        <v>101</v>
      </c>
      <c r="G628" s="5">
        <v>29.36</v>
      </c>
      <c r="H628" s="4">
        <v>0</v>
      </c>
    </row>
    <row r="629" spans="1:8" x14ac:dyDescent="0.2">
      <c r="A629" s="2" t="s">
        <v>48</v>
      </c>
      <c r="B629" s="4">
        <v>71</v>
      </c>
      <c r="C629" s="5">
        <v>8.92</v>
      </c>
      <c r="D629" s="4">
        <v>28</v>
      </c>
      <c r="E629" s="5">
        <v>6.41</v>
      </c>
      <c r="F629" s="4">
        <v>43</v>
      </c>
      <c r="G629" s="5">
        <v>12.5</v>
      </c>
      <c r="H629" s="4">
        <v>0</v>
      </c>
    </row>
    <row r="630" spans="1:8" x14ac:dyDescent="0.2">
      <c r="A630" s="2" t="s">
        <v>49</v>
      </c>
      <c r="B630" s="4">
        <v>2</v>
      </c>
      <c r="C630" s="5">
        <v>0.25</v>
      </c>
      <c r="D630" s="4">
        <v>0</v>
      </c>
      <c r="E630" s="5">
        <v>0</v>
      </c>
      <c r="F630" s="4">
        <v>2</v>
      </c>
      <c r="G630" s="5">
        <v>0.57999999999999996</v>
      </c>
      <c r="H630" s="4">
        <v>0</v>
      </c>
    </row>
    <row r="631" spans="1:8" x14ac:dyDescent="0.2">
      <c r="A631" s="2" t="s">
        <v>50</v>
      </c>
      <c r="B631" s="4">
        <v>2</v>
      </c>
      <c r="C631" s="5">
        <v>0.25</v>
      </c>
      <c r="D631" s="4">
        <v>0</v>
      </c>
      <c r="E631" s="5">
        <v>0</v>
      </c>
      <c r="F631" s="4">
        <v>2</v>
      </c>
      <c r="G631" s="5">
        <v>0.57999999999999996</v>
      </c>
      <c r="H631" s="4">
        <v>0</v>
      </c>
    </row>
    <row r="632" spans="1:8" x14ac:dyDescent="0.2">
      <c r="A632" s="2" t="s">
        <v>51</v>
      </c>
      <c r="B632" s="4">
        <v>6</v>
      </c>
      <c r="C632" s="5">
        <v>0.75</v>
      </c>
      <c r="D632" s="4">
        <v>1</v>
      </c>
      <c r="E632" s="5">
        <v>0.23</v>
      </c>
      <c r="F632" s="4">
        <v>4</v>
      </c>
      <c r="G632" s="5">
        <v>1.1599999999999999</v>
      </c>
      <c r="H632" s="4">
        <v>1</v>
      </c>
    </row>
    <row r="633" spans="1:8" x14ac:dyDescent="0.2">
      <c r="A633" s="2" t="s">
        <v>52</v>
      </c>
      <c r="B633" s="4">
        <v>137</v>
      </c>
      <c r="C633" s="5">
        <v>17.21</v>
      </c>
      <c r="D633" s="4">
        <v>64</v>
      </c>
      <c r="E633" s="5">
        <v>14.65</v>
      </c>
      <c r="F633" s="4">
        <v>73</v>
      </c>
      <c r="G633" s="5">
        <v>21.22</v>
      </c>
      <c r="H633" s="4">
        <v>0</v>
      </c>
    </row>
    <row r="634" spans="1:8" x14ac:dyDescent="0.2">
      <c r="A634" s="2" t="s">
        <v>53</v>
      </c>
      <c r="B634" s="4">
        <v>4</v>
      </c>
      <c r="C634" s="5">
        <v>0.5</v>
      </c>
      <c r="D634" s="4">
        <v>1</v>
      </c>
      <c r="E634" s="5">
        <v>0.23</v>
      </c>
      <c r="F634" s="4">
        <v>3</v>
      </c>
      <c r="G634" s="5">
        <v>0.87</v>
      </c>
      <c r="H634" s="4">
        <v>0</v>
      </c>
    </row>
    <row r="635" spans="1:8" x14ac:dyDescent="0.2">
      <c r="A635" s="2" t="s">
        <v>54</v>
      </c>
      <c r="B635" s="4">
        <v>88</v>
      </c>
      <c r="C635" s="5">
        <v>11.06</v>
      </c>
      <c r="D635" s="4">
        <v>57</v>
      </c>
      <c r="E635" s="5">
        <v>13.04</v>
      </c>
      <c r="F635" s="4">
        <v>31</v>
      </c>
      <c r="G635" s="5">
        <v>9.01</v>
      </c>
      <c r="H635" s="4">
        <v>0</v>
      </c>
    </row>
    <row r="636" spans="1:8" x14ac:dyDescent="0.2">
      <c r="A636" s="2" t="s">
        <v>55</v>
      </c>
      <c r="B636" s="4">
        <v>34</v>
      </c>
      <c r="C636" s="5">
        <v>4.2699999999999996</v>
      </c>
      <c r="D636" s="4">
        <v>14</v>
      </c>
      <c r="E636" s="5">
        <v>3.2</v>
      </c>
      <c r="F636" s="4">
        <v>19</v>
      </c>
      <c r="G636" s="5">
        <v>5.52</v>
      </c>
      <c r="H636" s="4">
        <v>0</v>
      </c>
    </row>
    <row r="637" spans="1:8" x14ac:dyDescent="0.2">
      <c r="A637" s="2" t="s">
        <v>56</v>
      </c>
      <c r="B637" s="4">
        <v>82</v>
      </c>
      <c r="C637" s="5">
        <v>10.3</v>
      </c>
      <c r="D637" s="4">
        <v>72</v>
      </c>
      <c r="E637" s="5">
        <v>16.48</v>
      </c>
      <c r="F637" s="4">
        <v>10</v>
      </c>
      <c r="G637" s="5">
        <v>2.91</v>
      </c>
      <c r="H637" s="4">
        <v>0</v>
      </c>
    </row>
    <row r="638" spans="1:8" x14ac:dyDescent="0.2">
      <c r="A638" s="2" t="s">
        <v>57</v>
      </c>
      <c r="B638" s="4">
        <v>95</v>
      </c>
      <c r="C638" s="5">
        <v>11.93</v>
      </c>
      <c r="D638" s="4">
        <v>76</v>
      </c>
      <c r="E638" s="5">
        <v>17.39</v>
      </c>
      <c r="F638" s="4">
        <v>19</v>
      </c>
      <c r="G638" s="5">
        <v>5.52</v>
      </c>
      <c r="H638" s="4">
        <v>0</v>
      </c>
    </row>
    <row r="639" spans="1:8" x14ac:dyDescent="0.2">
      <c r="A639" s="2" t="s">
        <v>58</v>
      </c>
      <c r="B639" s="4">
        <v>37</v>
      </c>
      <c r="C639" s="5">
        <v>4.6500000000000004</v>
      </c>
      <c r="D639" s="4">
        <v>26</v>
      </c>
      <c r="E639" s="5">
        <v>5.95</v>
      </c>
      <c r="F639" s="4">
        <v>10</v>
      </c>
      <c r="G639" s="5">
        <v>2.91</v>
      </c>
      <c r="H639" s="4">
        <v>0</v>
      </c>
    </row>
    <row r="640" spans="1:8" x14ac:dyDescent="0.2">
      <c r="A640" s="2" t="s">
        <v>59</v>
      </c>
      <c r="B640" s="4">
        <v>39</v>
      </c>
      <c r="C640" s="5">
        <v>4.9000000000000004</v>
      </c>
      <c r="D640" s="4">
        <v>19</v>
      </c>
      <c r="E640" s="5">
        <v>4.3499999999999996</v>
      </c>
      <c r="F640" s="4">
        <v>10</v>
      </c>
      <c r="G640" s="5">
        <v>2.91</v>
      </c>
      <c r="H640" s="4">
        <v>0</v>
      </c>
    </row>
    <row r="641" spans="1:8" x14ac:dyDescent="0.2">
      <c r="A641" s="2" t="s">
        <v>60</v>
      </c>
      <c r="B641" s="4">
        <v>32</v>
      </c>
      <c r="C641" s="5">
        <v>4.0199999999999996</v>
      </c>
      <c r="D641" s="4">
        <v>13</v>
      </c>
      <c r="E641" s="5">
        <v>2.97</v>
      </c>
      <c r="F641" s="4">
        <v>17</v>
      </c>
      <c r="G641" s="5">
        <v>4.9400000000000004</v>
      </c>
      <c r="H641" s="4">
        <v>0</v>
      </c>
    </row>
    <row r="642" spans="1:8" x14ac:dyDescent="0.2">
      <c r="A642" s="1" t="s">
        <v>40</v>
      </c>
      <c r="B642" s="4">
        <v>841</v>
      </c>
      <c r="C642" s="5">
        <v>100.01</v>
      </c>
      <c r="D642" s="4">
        <v>400</v>
      </c>
      <c r="E642" s="5">
        <v>100</v>
      </c>
      <c r="F642" s="4">
        <v>438</v>
      </c>
      <c r="G642" s="5">
        <v>100</v>
      </c>
      <c r="H642" s="4">
        <v>1</v>
      </c>
    </row>
    <row r="643" spans="1:8" x14ac:dyDescent="0.2">
      <c r="A643" s="2" t="s">
        <v>46</v>
      </c>
      <c r="B643" s="4">
        <v>0</v>
      </c>
      <c r="C643" s="5">
        <v>0</v>
      </c>
      <c r="D643" s="4">
        <v>0</v>
      </c>
      <c r="E643" s="5">
        <v>0</v>
      </c>
      <c r="F643" s="4">
        <v>0</v>
      </c>
      <c r="G643" s="5">
        <v>0</v>
      </c>
      <c r="H643" s="4">
        <v>0</v>
      </c>
    </row>
    <row r="644" spans="1:8" x14ac:dyDescent="0.2">
      <c r="A644" s="2" t="s">
        <v>47</v>
      </c>
      <c r="B644" s="4">
        <v>123</v>
      </c>
      <c r="C644" s="5">
        <v>14.63</v>
      </c>
      <c r="D644" s="4">
        <v>39</v>
      </c>
      <c r="E644" s="5">
        <v>9.75</v>
      </c>
      <c r="F644" s="4">
        <v>84</v>
      </c>
      <c r="G644" s="5">
        <v>19.18</v>
      </c>
      <c r="H644" s="4">
        <v>0</v>
      </c>
    </row>
    <row r="645" spans="1:8" x14ac:dyDescent="0.2">
      <c r="A645" s="2" t="s">
        <v>48</v>
      </c>
      <c r="B645" s="4">
        <v>99</v>
      </c>
      <c r="C645" s="5">
        <v>11.77</v>
      </c>
      <c r="D645" s="4">
        <v>29</v>
      </c>
      <c r="E645" s="5">
        <v>7.25</v>
      </c>
      <c r="F645" s="4">
        <v>70</v>
      </c>
      <c r="G645" s="5">
        <v>15.98</v>
      </c>
      <c r="H645" s="4">
        <v>0</v>
      </c>
    </row>
    <row r="646" spans="1:8" x14ac:dyDescent="0.2">
      <c r="A646" s="2" t="s">
        <v>49</v>
      </c>
      <c r="B646" s="4">
        <v>1</v>
      </c>
      <c r="C646" s="5">
        <v>0.12</v>
      </c>
      <c r="D646" s="4">
        <v>0</v>
      </c>
      <c r="E646" s="5">
        <v>0</v>
      </c>
      <c r="F646" s="4">
        <v>0</v>
      </c>
      <c r="G646" s="5">
        <v>0</v>
      </c>
      <c r="H646" s="4">
        <v>0</v>
      </c>
    </row>
    <row r="647" spans="1:8" x14ac:dyDescent="0.2">
      <c r="A647" s="2" t="s">
        <v>50</v>
      </c>
      <c r="B647" s="4">
        <v>7</v>
      </c>
      <c r="C647" s="5">
        <v>0.83</v>
      </c>
      <c r="D647" s="4">
        <v>2</v>
      </c>
      <c r="E647" s="5">
        <v>0.5</v>
      </c>
      <c r="F647" s="4">
        <v>5</v>
      </c>
      <c r="G647" s="5">
        <v>1.1399999999999999</v>
      </c>
      <c r="H647" s="4">
        <v>0</v>
      </c>
    </row>
    <row r="648" spans="1:8" x14ac:dyDescent="0.2">
      <c r="A648" s="2" t="s">
        <v>51</v>
      </c>
      <c r="B648" s="4">
        <v>9</v>
      </c>
      <c r="C648" s="5">
        <v>1.07</v>
      </c>
      <c r="D648" s="4">
        <v>2</v>
      </c>
      <c r="E648" s="5">
        <v>0.5</v>
      </c>
      <c r="F648" s="4">
        <v>7</v>
      </c>
      <c r="G648" s="5">
        <v>1.6</v>
      </c>
      <c r="H648" s="4">
        <v>0</v>
      </c>
    </row>
    <row r="649" spans="1:8" x14ac:dyDescent="0.2">
      <c r="A649" s="2" t="s">
        <v>52</v>
      </c>
      <c r="B649" s="4">
        <v>199</v>
      </c>
      <c r="C649" s="5">
        <v>23.66</v>
      </c>
      <c r="D649" s="4">
        <v>79</v>
      </c>
      <c r="E649" s="5">
        <v>19.75</v>
      </c>
      <c r="F649" s="4">
        <v>119</v>
      </c>
      <c r="G649" s="5">
        <v>27.17</v>
      </c>
      <c r="H649" s="4">
        <v>1</v>
      </c>
    </row>
    <row r="650" spans="1:8" x14ac:dyDescent="0.2">
      <c r="A650" s="2" t="s">
        <v>53</v>
      </c>
      <c r="B650" s="4">
        <v>3</v>
      </c>
      <c r="C650" s="5">
        <v>0.36</v>
      </c>
      <c r="D650" s="4">
        <v>0</v>
      </c>
      <c r="E650" s="5">
        <v>0</v>
      </c>
      <c r="F650" s="4">
        <v>3</v>
      </c>
      <c r="G650" s="5">
        <v>0.68</v>
      </c>
      <c r="H650" s="4">
        <v>0</v>
      </c>
    </row>
    <row r="651" spans="1:8" x14ac:dyDescent="0.2">
      <c r="A651" s="2" t="s">
        <v>54</v>
      </c>
      <c r="B651" s="4">
        <v>67</v>
      </c>
      <c r="C651" s="5">
        <v>7.97</v>
      </c>
      <c r="D651" s="4">
        <v>17</v>
      </c>
      <c r="E651" s="5">
        <v>4.25</v>
      </c>
      <c r="F651" s="4">
        <v>50</v>
      </c>
      <c r="G651" s="5">
        <v>11.42</v>
      </c>
      <c r="H651" s="4">
        <v>0</v>
      </c>
    </row>
    <row r="652" spans="1:8" x14ac:dyDescent="0.2">
      <c r="A652" s="2" t="s">
        <v>55</v>
      </c>
      <c r="B652" s="4">
        <v>40</v>
      </c>
      <c r="C652" s="5">
        <v>4.76</v>
      </c>
      <c r="D652" s="4">
        <v>16</v>
      </c>
      <c r="E652" s="5">
        <v>4</v>
      </c>
      <c r="F652" s="4">
        <v>24</v>
      </c>
      <c r="G652" s="5">
        <v>5.48</v>
      </c>
      <c r="H652" s="4">
        <v>0</v>
      </c>
    </row>
    <row r="653" spans="1:8" x14ac:dyDescent="0.2">
      <c r="A653" s="2" t="s">
        <v>56</v>
      </c>
      <c r="B653" s="4">
        <v>72</v>
      </c>
      <c r="C653" s="5">
        <v>8.56</v>
      </c>
      <c r="D653" s="4">
        <v>61</v>
      </c>
      <c r="E653" s="5">
        <v>15.25</v>
      </c>
      <c r="F653" s="4">
        <v>11</v>
      </c>
      <c r="G653" s="5">
        <v>2.5099999999999998</v>
      </c>
      <c r="H653" s="4">
        <v>0</v>
      </c>
    </row>
    <row r="654" spans="1:8" x14ac:dyDescent="0.2">
      <c r="A654" s="2" t="s">
        <v>57</v>
      </c>
      <c r="B654" s="4">
        <v>110</v>
      </c>
      <c r="C654" s="5">
        <v>13.08</v>
      </c>
      <c r="D654" s="4">
        <v>88</v>
      </c>
      <c r="E654" s="5">
        <v>22</v>
      </c>
      <c r="F654" s="4">
        <v>22</v>
      </c>
      <c r="G654" s="5">
        <v>5.0199999999999996</v>
      </c>
      <c r="H654" s="4">
        <v>0</v>
      </c>
    </row>
    <row r="655" spans="1:8" x14ac:dyDescent="0.2">
      <c r="A655" s="2" t="s">
        <v>58</v>
      </c>
      <c r="B655" s="4">
        <v>33</v>
      </c>
      <c r="C655" s="5">
        <v>3.92</v>
      </c>
      <c r="D655" s="4">
        <v>21</v>
      </c>
      <c r="E655" s="5">
        <v>5.25</v>
      </c>
      <c r="F655" s="4">
        <v>12</v>
      </c>
      <c r="G655" s="5">
        <v>2.74</v>
      </c>
      <c r="H655" s="4">
        <v>0</v>
      </c>
    </row>
    <row r="656" spans="1:8" x14ac:dyDescent="0.2">
      <c r="A656" s="2" t="s">
        <v>59</v>
      </c>
      <c r="B656" s="4">
        <v>50</v>
      </c>
      <c r="C656" s="5">
        <v>5.95</v>
      </c>
      <c r="D656" s="4">
        <v>35</v>
      </c>
      <c r="E656" s="5">
        <v>8.75</v>
      </c>
      <c r="F656" s="4">
        <v>14</v>
      </c>
      <c r="G656" s="5">
        <v>3.2</v>
      </c>
      <c r="H656" s="4">
        <v>0</v>
      </c>
    </row>
    <row r="657" spans="1:8" x14ac:dyDescent="0.2">
      <c r="A657" s="2" t="s">
        <v>60</v>
      </c>
      <c r="B657" s="4">
        <v>28</v>
      </c>
      <c r="C657" s="5">
        <v>3.33</v>
      </c>
      <c r="D657" s="4">
        <v>11</v>
      </c>
      <c r="E657" s="5">
        <v>2.75</v>
      </c>
      <c r="F657" s="4">
        <v>17</v>
      </c>
      <c r="G657" s="5">
        <v>3.88</v>
      </c>
      <c r="H657" s="4">
        <v>0</v>
      </c>
    </row>
    <row r="658" spans="1:8" x14ac:dyDescent="0.2">
      <c r="A658" s="1" t="s">
        <v>41</v>
      </c>
      <c r="B658" s="4">
        <v>821</v>
      </c>
      <c r="C658" s="5">
        <v>100.00999999999998</v>
      </c>
      <c r="D658" s="4">
        <v>369</v>
      </c>
      <c r="E658" s="5">
        <v>99.990000000000009</v>
      </c>
      <c r="F658" s="4">
        <v>448</v>
      </c>
      <c r="G658" s="5">
        <v>99.99</v>
      </c>
      <c r="H658" s="4">
        <v>0</v>
      </c>
    </row>
    <row r="659" spans="1:8" x14ac:dyDescent="0.2">
      <c r="A659" s="2" t="s">
        <v>46</v>
      </c>
      <c r="B659" s="4">
        <v>0</v>
      </c>
      <c r="C659" s="5">
        <v>0</v>
      </c>
      <c r="D659" s="4">
        <v>0</v>
      </c>
      <c r="E659" s="5">
        <v>0</v>
      </c>
      <c r="F659" s="4">
        <v>0</v>
      </c>
      <c r="G659" s="5">
        <v>0</v>
      </c>
      <c r="H659" s="4">
        <v>0</v>
      </c>
    </row>
    <row r="660" spans="1:8" x14ac:dyDescent="0.2">
      <c r="A660" s="2" t="s">
        <v>47</v>
      </c>
      <c r="B660" s="4">
        <v>119</v>
      </c>
      <c r="C660" s="5">
        <v>14.49</v>
      </c>
      <c r="D660" s="4">
        <v>31</v>
      </c>
      <c r="E660" s="5">
        <v>8.4</v>
      </c>
      <c r="F660" s="4">
        <v>88</v>
      </c>
      <c r="G660" s="5">
        <v>19.64</v>
      </c>
      <c r="H660" s="4">
        <v>0</v>
      </c>
    </row>
    <row r="661" spans="1:8" x14ac:dyDescent="0.2">
      <c r="A661" s="2" t="s">
        <v>48</v>
      </c>
      <c r="B661" s="4">
        <v>93</v>
      </c>
      <c r="C661" s="5">
        <v>11.33</v>
      </c>
      <c r="D661" s="4">
        <v>19</v>
      </c>
      <c r="E661" s="5">
        <v>5.15</v>
      </c>
      <c r="F661" s="4">
        <v>74</v>
      </c>
      <c r="G661" s="5">
        <v>16.52</v>
      </c>
      <c r="H661" s="4">
        <v>0</v>
      </c>
    </row>
    <row r="662" spans="1:8" x14ac:dyDescent="0.2">
      <c r="A662" s="2" t="s">
        <v>49</v>
      </c>
      <c r="B662" s="4">
        <v>1</v>
      </c>
      <c r="C662" s="5">
        <v>0.12</v>
      </c>
      <c r="D662" s="4">
        <v>0</v>
      </c>
      <c r="E662" s="5">
        <v>0</v>
      </c>
      <c r="F662" s="4">
        <v>1</v>
      </c>
      <c r="G662" s="5">
        <v>0.22</v>
      </c>
      <c r="H662" s="4">
        <v>0</v>
      </c>
    </row>
    <row r="663" spans="1:8" x14ac:dyDescent="0.2">
      <c r="A663" s="2" t="s">
        <v>50</v>
      </c>
      <c r="B663" s="4">
        <v>4</v>
      </c>
      <c r="C663" s="5">
        <v>0.49</v>
      </c>
      <c r="D663" s="4">
        <v>1</v>
      </c>
      <c r="E663" s="5">
        <v>0.27</v>
      </c>
      <c r="F663" s="4">
        <v>3</v>
      </c>
      <c r="G663" s="5">
        <v>0.67</v>
      </c>
      <c r="H663" s="4">
        <v>0</v>
      </c>
    </row>
    <row r="664" spans="1:8" x14ac:dyDescent="0.2">
      <c r="A664" s="2" t="s">
        <v>51</v>
      </c>
      <c r="B664" s="4">
        <v>9</v>
      </c>
      <c r="C664" s="5">
        <v>1.1000000000000001</v>
      </c>
      <c r="D664" s="4">
        <v>2</v>
      </c>
      <c r="E664" s="5">
        <v>0.54</v>
      </c>
      <c r="F664" s="4">
        <v>7</v>
      </c>
      <c r="G664" s="5">
        <v>1.56</v>
      </c>
      <c r="H664" s="4">
        <v>0</v>
      </c>
    </row>
    <row r="665" spans="1:8" x14ac:dyDescent="0.2">
      <c r="A665" s="2" t="s">
        <v>52</v>
      </c>
      <c r="B665" s="4">
        <v>156</v>
      </c>
      <c r="C665" s="5">
        <v>19</v>
      </c>
      <c r="D665" s="4">
        <v>57</v>
      </c>
      <c r="E665" s="5">
        <v>15.45</v>
      </c>
      <c r="F665" s="4">
        <v>99</v>
      </c>
      <c r="G665" s="5">
        <v>22.1</v>
      </c>
      <c r="H665" s="4">
        <v>0</v>
      </c>
    </row>
    <row r="666" spans="1:8" x14ac:dyDescent="0.2">
      <c r="A666" s="2" t="s">
        <v>53</v>
      </c>
      <c r="B666" s="4">
        <v>4</v>
      </c>
      <c r="C666" s="5">
        <v>0.49</v>
      </c>
      <c r="D666" s="4">
        <v>1</v>
      </c>
      <c r="E666" s="5">
        <v>0.27</v>
      </c>
      <c r="F666" s="4">
        <v>3</v>
      </c>
      <c r="G666" s="5">
        <v>0.67</v>
      </c>
      <c r="H666" s="4">
        <v>0</v>
      </c>
    </row>
    <row r="667" spans="1:8" x14ac:dyDescent="0.2">
      <c r="A667" s="2" t="s">
        <v>54</v>
      </c>
      <c r="B667" s="4">
        <v>133</v>
      </c>
      <c r="C667" s="5">
        <v>16.2</v>
      </c>
      <c r="D667" s="4">
        <v>60</v>
      </c>
      <c r="E667" s="5">
        <v>16.260000000000002</v>
      </c>
      <c r="F667" s="4">
        <v>73</v>
      </c>
      <c r="G667" s="5">
        <v>16.29</v>
      </c>
      <c r="H667" s="4">
        <v>0</v>
      </c>
    </row>
    <row r="668" spans="1:8" x14ac:dyDescent="0.2">
      <c r="A668" s="2" t="s">
        <v>55</v>
      </c>
      <c r="B668" s="4">
        <v>38</v>
      </c>
      <c r="C668" s="5">
        <v>4.63</v>
      </c>
      <c r="D668" s="4">
        <v>22</v>
      </c>
      <c r="E668" s="5">
        <v>5.96</v>
      </c>
      <c r="F668" s="4">
        <v>16</v>
      </c>
      <c r="G668" s="5">
        <v>3.57</v>
      </c>
      <c r="H668" s="4">
        <v>0</v>
      </c>
    </row>
    <row r="669" spans="1:8" x14ac:dyDescent="0.2">
      <c r="A669" s="2" t="s">
        <v>56</v>
      </c>
      <c r="B669" s="4">
        <v>51</v>
      </c>
      <c r="C669" s="5">
        <v>6.21</v>
      </c>
      <c r="D669" s="4">
        <v>36</v>
      </c>
      <c r="E669" s="5">
        <v>9.76</v>
      </c>
      <c r="F669" s="4">
        <v>14</v>
      </c>
      <c r="G669" s="5">
        <v>3.13</v>
      </c>
      <c r="H669" s="4">
        <v>0</v>
      </c>
    </row>
    <row r="670" spans="1:8" x14ac:dyDescent="0.2">
      <c r="A670" s="2" t="s">
        <v>57</v>
      </c>
      <c r="B670" s="4">
        <v>88</v>
      </c>
      <c r="C670" s="5">
        <v>10.72</v>
      </c>
      <c r="D670" s="4">
        <v>69</v>
      </c>
      <c r="E670" s="5">
        <v>18.7</v>
      </c>
      <c r="F670" s="4">
        <v>19</v>
      </c>
      <c r="G670" s="5">
        <v>4.24</v>
      </c>
      <c r="H670" s="4">
        <v>0</v>
      </c>
    </row>
    <row r="671" spans="1:8" x14ac:dyDescent="0.2">
      <c r="A671" s="2" t="s">
        <v>58</v>
      </c>
      <c r="B671" s="4">
        <v>48</v>
      </c>
      <c r="C671" s="5">
        <v>5.85</v>
      </c>
      <c r="D671" s="4">
        <v>33</v>
      </c>
      <c r="E671" s="5">
        <v>8.94</v>
      </c>
      <c r="F671" s="4">
        <v>13</v>
      </c>
      <c r="G671" s="5">
        <v>2.9</v>
      </c>
      <c r="H671" s="4">
        <v>0</v>
      </c>
    </row>
    <row r="672" spans="1:8" x14ac:dyDescent="0.2">
      <c r="A672" s="2" t="s">
        <v>59</v>
      </c>
      <c r="B672" s="4">
        <v>34</v>
      </c>
      <c r="C672" s="5">
        <v>4.1399999999999997</v>
      </c>
      <c r="D672" s="4">
        <v>24</v>
      </c>
      <c r="E672" s="5">
        <v>6.5</v>
      </c>
      <c r="F672" s="4">
        <v>9</v>
      </c>
      <c r="G672" s="5">
        <v>2.0099999999999998</v>
      </c>
      <c r="H672" s="4">
        <v>0</v>
      </c>
    </row>
    <row r="673" spans="1:8" x14ac:dyDescent="0.2">
      <c r="A673" s="2" t="s">
        <v>60</v>
      </c>
      <c r="B673" s="4">
        <v>43</v>
      </c>
      <c r="C673" s="5">
        <v>5.24</v>
      </c>
      <c r="D673" s="4">
        <v>14</v>
      </c>
      <c r="E673" s="5">
        <v>3.79</v>
      </c>
      <c r="F673" s="4">
        <v>29</v>
      </c>
      <c r="G673" s="5">
        <v>6.47</v>
      </c>
      <c r="H673" s="4">
        <v>0</v>
      </c>
    </row>
    <row r="674" spans="1:8" x14ac:dyDescent="0.2">
      <c r="A674" s="1" t="s">
        <v>42</v>
      </c>
      <c r="B674" s="4">
        <v>377</v>
      </c>
      <c r="C674" s="5">
        <v>100.00000000000001</v>
      </c>
      <c r="D674" s="4">
        <v>190</v>
      </c>
      <c r="E674" s="5">
        <v>99.990000000000009</v>
      </c>
      <c r="F674" s="4">
        <v>178</v>
      </c>
      <c r="G674" s="5">
        <v>100</v>
      </c>
      <c r="H674" s="4">
        <v>2</v>
      </c>
    </row>
    <row r="675" spans="1:8" x14ac:dyDescent="0.2">
      <c r="A675" s="2" t="s">
        <v>46</v>
      </c>
      <c r="B675" s="4">
        <v>0</v>
      </c>
      <c r="C675" s="5">
        <v>0</v>
      </c>
      <c r="D675" s="4">
        <v>0</v>
      </c>
      <c r="E675" s="5">
        <v>0</v>
      </c>
      <c r="F675" s="4">
        <v>0</v>
      </c>
      <c r="G675" s="5">
        <v>0</v>
      </c>
      <c r="H675" s="4">
        <v>0</v>
      </c>
    </row>
    <row r="676" spans="1:8" x14ac:dyDescent="0.2">
      <c r="A676" s="2" t="s">
        <v>47</v>
      </c>
      <c r="B676" s="4">
        <v>50</v>
      </c>
      <c r="C676" s="5">
        <v>13.26</v>
      </c>
      <c r="D676" s="4">
        <v>15</v>
      </c>
      <c r="E676" s="5">
        <v>7.89</v>
      </c>
      <c r="F676" s="4">
        <v>35</v>
      </c>
      <c r="G676" s="5">
        <v>19.66</v>
      </c>
      <c r="H676" s="4">
        <v>0</v>
      </c>
    </row>
    <row r="677" spans="1:8" x14ac:dyDescent="0.2">
      <c r="A677" s="2" t="s">
        <v>48</v>
      </c>
      <c r="B677" s="4">
        <v>36</v>
      </c>
      <c r="C677" s="5">
        <v>9.5500000000000007</v>
      </c>
      <c r="D677" s="4">
        <v>8</v>
      </c>
      <c r="E677" s="5">
        <v>4.21</v>
      </c>
      <c r="F677" s="4">
        <v>28</v>
      </c>
      <c r="G677" s="5">
        <v>15.73</v>
      </c>
      <c r="H677" s="4">
        <v>0</v>
      </c>
    </row>
    <row r="678" spans="1:8" x14ac:dyDescent="0.2">
      <c r="A678" s="2" t="s">
        <v>49</v>
      </c>
      <c r="B678" s="4">
        <v>2</v>
      </c>
      <c r="C678" s="5">
        <v>0.53</v>
      </c>
      <c r="D678" s="4">
        <v>0</v>
      </c>
      <c r="E678" s="5">
        <v>0</v>
      </c>
      <c r="F678" s="4">
        <v>0</v>
      </c>
      <c r="G678" s="5">
        <v>0</v>
      </c>
      <c r="H678" s="4">
        <v>0</v>
      </c>
    </row>
    <row r="679" spans="1:8" x14ac:dyDescent="0.2">
      <c r="A679" s="2" t="s">
        <v>50</v>
      </c>
      <c r="B679" s="4">
        <v>3</v>
      </c>
      <c r="C679" s="5">
        <v>0.8</v>
      </c>
      <c r="D679" s="4">
        <v>0</v>
      </c>
      <c r="E679" s="5">
        <v>0</v>
      </c>
      <c r="F679" s="4">
        <v>3</v>
      </c>
      <c r="G679" s="5">
        <v>1.69</v>
      </c>
      <c r="H679" s="4">
        <v>0</v>
      </c>
    </row>
    <row r="680" spans="1:8" x14ac:dyDescent="0.2">
      <c r="A680" s="2" t="s">
        <v>51</v>
      </c>
      <c r="B680" s="4">
        <v>5</v>
      </c>
      <c r="C680" s="5">
        <v>1.33</v>
      </c>
      <c r="D680" s="4">
        <v>0</v>
      </c>
      <c r="E680" s="5">
        <v>0</v>
      </c>
      <c r="F680" s="4">
        <v>5</v>
      </c>
      <c r="G680" s="5">
        <v>2.81</v>
      </c>
      <c r="H680" s="4">
        <v>0</v>
      </c>
    </row>
    <row r="681" spans="1:8" x14ac:dyDescent="0.2">
      <c r="A681" s="2" t="s">
        <v>52</v>
      </c>
      <c r="B681" s="4">
        <v>96</v>
      </c>
      <c r="C681" s="5">
        <v>25.46</v>
      </c>
      <c r="D681" s="4">
        <v>50</v>
      </c>
      <c r="E681" s="5">
        <v>26.32</v>
      </c>
      <c r="F681" s="4">
        <v>46</v>
      </c>
      <c r="G681" s="5">
        <v>25.84</v>
      </c>
      <c r="H681" s="4">
        <v>0</v>
      </c>
    </row>
    <row r="682" spans="1:8" x14ac:dyDescent="0.2">
      <c r="A682" s="2" t="s">
        <v>53</v>
      </c>
      <c r="B682" s="4">
        <v>0</v>
      </c>
      <c r="C682" s="5">
        <v>0</v>
      </c>
      <c r="D682" s="4">
        <v>0</v>
      </c>
      <c r="E682" s="5">
        <v>0</v>
      </c>
      <c r="F682" s="4">
        <v>0</v>
      </c>
      <c r="G682" s="5">
        <v>0</v>
      </c>
      <c r="H682" s="4">
        <v>0</v>
      </c>
    </row>
    <row r="683" spans="1:8" x14ac:dyDescent="0.2">
      <c r="A683" s="2" t="s">
        <v>54</v>
      </c>
      <c r="B683" s="4">
        <v>28</v>
      </c>
      <c r="C683" s="5">
        <v>7.43</v>
      </c>
      <c r="D683" s="4">
        <v>15</v>
      </c>
      <c r="E683" s="5">
        <v>7.89</v>
      </c>
      <c r="F683" s="4">
        <v>11</v>
      </c>
      <c r="G683" s="5">
        <v>6.18</v>
      </c>
      <c r="H683" s="4">
        <v>0</v>
      </c>
    </row>
    <row r="684" spans="1:8" x14ac:dyDescent="0.2">
      <c r="A684" s="2" t="s">
        <v>55</v>
      </c>
      <c r="B684" s="4">
        <v>18</v>
      </c>
      <c r="C684" s="5">
        <v>4.7699999999999996</v>
      </c>
      <c r="D684" s="4">
        <v>7</v>
      </c>
      <c r="E684" s="5">
        <v>3.68</v>
      </c>
      <c r="F684" s="4">
        <v>9</v>
      </c>
      <c r="G684" s="5">
        <v>5.0599999999999996</v>
      </c>
      <c r="H684" s="4">
        <v>0</v>
      </c>
    </row>
    <row r="685" spans="1:8" x14ac:dyDescent="0.2">
      <c r="A685" s="2" t="s">
        <v>56</v>
      </c>
      <c r="B685" s="4">
        <v>59</v>
      </c>
      <c r="C685" s="5">
        <v>15.65</v>
      </c>
      <c r="D685" s="4">
        <v>40</v>
      </c>
      <c r="E685" s="5">
        <v>21.05</v>
      </c>
      <c r="F685" s="4">
        <v>19</v>
      </c>
      <c r="G685" s="5">
        <v>10.67</v>
      </c>
      <c r="H685" s="4">
        <v>0</v>
      </c>
    </row>
    <row r="686" spans="1:8" x14ac:dyDescent="0.2">
      <c r="A686" s="2" t="s">
        <v>57</v>
      </c>
      <c r="B686" s="4">
        <v>41</v>
      </c>
      <c r="C686" s="5">
        <v>10.88</v>
      </c>
      <c r="D686" s="4">
        <v>32</v>
      </c>
      <c r="E686" s="5">
        <v>16.84</v>
      </c>
      <c r="F686" s="4">
        <v>8</v>
      </c>
      <c r="G686" s="5">
        <v>4.49</v>
      </c>
      <c r="H686" s="4">
        <v>0</v>
      </c>
    </row>
    <row r="687" spans="1:8" x14ac:dyDescent="0.2">
      <c r="A687" s="2" t="s">
        <v>58</v>
      </c>
      <c r="B687" s="4">
        <v>13</v>
      </c>
      <c r="C687" s="5">
        <v>3.45</v>
      </c>
      <c r="D687" s="4">
        <v>12</v>
      </c>
      <c r="E687" s="5">
        <v>6.32</v>
      </c>
      <c r="F687" s="4">
        <v>1</v>
      </c>
      <c r="G687" s="5">
        <v>0.56000000000000005</v>
      </c>
      <c r="H687" s="4">
        <v>0</v>
      </c>
    </row>
    <row r="688" spans="1:8" x14ac:dyDescent="0.2">
      <c r="A688" s="2" t="s">
        <v>59</v>
      </c>
      <c r="B688" s="4">
        <v>8</v>
      </c>
      <c r="C688" s="5">
        <v>2.12</v>
      </c>
      <c r="D688" s="4">
        <v>3</v>
      </c>
      <c r="E688" s="5">
        <v>1.58</v>
      </c>
      <c r="F688" s="4">
        <v>3</v>
      </c>
      <c r="G688" s="5">
        <v>1.69</v>
      </c>
      <c r="H688" s="4">
        <v>2</v>
      </c>
    </row>
    <row r="689" spans="1:8" x14ac:dyDescent="0.2">
      <c r="A689" s="2" t="s">
        <v>60</v>
      </c>
      <c r="B689" s="4">
        <v>18</v>
      </c>
      <c r="C689" s="5">
        <v>4.7699999999999996</v>
      </c>
      <c r="D689" s="4">
        <v>8</v>
      </c>
      <c r="E689" s="5">
        <v>4.21</v>
      </c>
      <c r="F689" s="4">
        <v>10</v>
      </c>
      <c r="G689" s="5">
        <v>5.62</v>
      </c>
      <c r="H689" s="4">
        <v>0</v>
      </c>
    </row>
    <row r="690" spans="1:8" x14ac:dyDescent="0.2">
      <c r="A690" s="1" t="s">
        <v>43</v>
      </c>
      <c r="B690" s="4">
        <v>755</v>
      </c>
      <c r="C690" s="5">
        <v>99.97999999999999</v>
      </c>
      <c r="D690" s="4">
        <v>378</v>
      </c>
      <c r="E690" s="5">
        <v>100</v>
      </c>
      <c r="F690" s="4">
        <v>353</v>
      </c>
      <c r="G690" s="5">
        <v>99.99</v>
      </c>
      <c r="H690" s="4">
        <v>1</v>
      </c>
    </row>
    <row r="691" spans="1:8" x14ac:dyDescent="0.2">
      <c r="A691" s="2" t="s">
        <v>46</v>
      </c>
      <c r="B691" s="4">
        <v>0</v>
      </c>
      <c r="C691" s="5">
        <v>0</v>
      </c>
      <c r="D691" s="4">
        <v>0</v>
      </c>
      <c r="E691" s="5">
        <v>0</v>
      </c>
      <c r="F691" s="4">
        <v>0</v>
      </c>
      <c r="G691" s="5">
        <v>0</v>
      </c>
      <c r="H691" s="4">
        <v>0</v>
      </c>
    </row>
    <row r="692" spans="1:8" x14ac:dyDescent="0.2">
      <c r="A692" s="2" t="s">
        <v>47</v>
      </c>
      <c r="B692" s="4">
        <v>120</v>
      </c>
      <c r="C692" s="5">
        <v>15.89</v>
      </c>
      <c r="D692" s="4">
        <v>46</v>
      </c>
      <c r="E692" s="5">
        <v>12.17</v>
      </c>
      <c r="F692" s="4">
        <v>74</v>
      </c>
      <c r="G692" s="5">
        <v>20.96</v>
      </c>
      <c r="H692" s="4">
        <v>0</v>
      </c>
    </row>
    <row r="693" spans="1:8" x14ac:dyDescent="0.2">
      <c r="A693" s="2" t="s">
        <v>48</v>
      </c>
      <c r="B693" s="4">
        <v>152</v>
      </c>
      <c r="C693" s="5">
        <v>20.13</v>
      </c>
      <c r="D693" s="4">
        <v>59</v>
      </c>
      <c r="E693" s="5">
        <v>15.61</v>
      </c>
      <c r="F693" s="4">
        <v>93</v>
      </c>
      <c r="G693" s="5">
        <v>26.35</v>
      </c>
      <c r="H693" s="4">
        <v>0</v>
      </c>
    </row>
    <row r="694" spans="1:8" x14ac:dyDescent="0.2">
      <c r="A694" s="2" t="s">
        <v>49</v>
      </c>
      <c r="B694" s="4">
        <v>3</v>
      </c>
      <c r="C694" s="5">
        <v>0.4</v>
      </c>
      <c r="D694" s="4">
        <v>1</v>
      </c>
      <c r="E694" s="5">
        <v>0.26</v>
      </c>
      <c r="F694" s="4">
        <v>1</v>
      </c>
      <c r="G694" s="5">
        <v>0.28000000000000003</v>
      </c>
      <c r="H694" s="4">
        <v>1</v>
      </c>
    </row>
    <row r="695" spans="1:8" x14ac:dyDescent="0.2">
      <c r="A695" s="2" t="s">
        <v>50</v>
      </c>
      <c r="B695" s="4">
        <v>4</v>
      </c>
      <c r="C695" s="5">
        <v>0.53</v>
      </c>
      <c r="D695" s="4">
        <v>0</v>
      </c>
      <c r="E695" s="5">
        <v>0</v>
      </c>
      <c r="F695" s="4">
        <v>4</v>
      </c>
      <c r="G695" s="5">
        <v>1.1299999999999999</v>
      </c>
      <c r="H695" s="4">
        <v>0</v>
      </c>
    </row>
    <row r="696" spans="1:8" x14ac:dyDescent="0.2">
      <c r="A696" s="2" t="s">
        <v>51</v>
      </c>
      <c r="B696" s="4">
        <v>14</v>
      </c>
      <c r="C696" s="5">
        <v>1.85</v>
      </c>
      <c r="D696" s="4">
        <v>1</v>
      </c>
      <c r="E696" s="5">
        <v>0.26</v>
      </c>
      <c r="F696" s="4">
        <v>13</v>
      </c>
      <c r="G696" s="5">
        <v>3.68</v>
      </c>
      <c r="H696" s="4">
        <v>0</v>
      </c>
    </row>
    <row r="697" spans="1:8" x14ac:dyDescent="0.2">
      <c r="A697" s="2" t="s">
        <v>52</v>
      </c>
      <c r="B697" s="4">
        <v>164</v>
      </c>
      <c r="C697" s="5">
        <v>21.72</v>
      </c>
      <c r="D697" s="4">
        <v>83</v>
      </c>
      <c r="E697" s="5">
        <v>21.96</v>
      </c>
      <c r="F697" s="4">
        <v>80</v>
      </c>
      <c r="G697" s="5">
        <v>22.66</v>
      </c>
      <c r="H697" s="4">
        <v>0</v>
      </c>
    </row>
    <row r="698" spans="1:8" x14ac:dyDescent="0.2">
      <c r="A698" s="2" t="s">
        <v>53</v>
      </c>
      <c r="B698" s="4">
        <v>5</v>
      </c>
      <c r="C698" s="5">
        <v>0.66</v>
      </c>
      <c r="D698" s="4">
        <v>1</v>
      </c>
      <c r="E698" s="5">
        <v>0.26</v>
      </c>
      <c r="F698" s="4">
        <v>4</v>
      </c>
      <c r="G698" s="5">
        <v>1.1299999999999999</v>
      </c>
      <c r="H698" s="4">
        <v>0</v>
      </c>
    </row>
    <row r="699" spans="1:8" x14ac:dyDescent="0.2">
      <c r="A699" s="2" t="s">
        <v>54</v>
      </c>
      <c r="B699" s="4">
        <v>39</v>
      </c>
      <c r="C699" s="5">
        <v>5.17</v>
      </c>
      <c r="D699" s="4">
        <v>12</v>
      </c>
      <c r="E699" s="5">
        <v>3.17</v>
      </c>
      <c r="F699" s="4">
        <v>27</v>
      </c>
      <c r="G699" s="5">
        <v>7.65</v>
      </c>
      <c r="H699" s="4">
        <v>0</v>
      </c>
    </row>
    <row r="700" spans="1:8" x14ac:dyDescent="0.2">
      <c r="A700" s="2" t="s">
        <v>55</v>
      </c>
      <c r="B700" s="4">
        <v>26</v>
      </c>
      <c r="C700" s="5">
        <v>3.44</v>
      </c>
      <c r="D700" s="4">
        <v>13</v>
      </c>
      <c r="E700" s="5">
        <v>3.44</v>
      </c>
      <c r="F700" s="4">
        <v>12</v>
      </c>
      <c r="G700" s="5">
        <v>3.4</v>
      </c>
      <c r="H700" s="4">
        <v>0</v>
      </c>
    </row>
    <row r="701" spans="1:8" x14ac:dyDescent="0.2">
      <c r="A701" s="2" t="s">
        <v>56</v>
      </c>
      <c r="B701" s="4">
        <v>59</v>
      </c>
      <c r="C701" s="5">
        <v>7.81</v>
      </c>
      <c r="D701" s="4">
        <v>50</v>
      </c>
      <c r="E701" s="5">
        <v>13.23</v>
      </c>
      <c r="F701" s="4">
        <v>9</v>
      </c>
      <c r="G701" s="5">
        <v>2.5499999999999998</v>
      </c>
      <c r="H701" s="4">
        <v>0</v>
      </c>
    </row>
    <row r="702" spans="1:8" x14ac:dyDescent="0.2">
      <c r="A702" s="2" t="s">
        <v>57</v>
      </c>
      <c r="B702" s="4">
        <v>91</v>
      </c>
      <c r="C702" s="5">
        <v>12.05</v>
      </c>
      <c r="D702" s="4">
        <v>72</v>
      </c>
      <c r="E702" s="5">
        <v>19.05</v>
      </c>
      <c r="F702" s="4">
        <v>18</v>
      </c>
      <c r="G702" s="5">
        <v>5.0999999999999996</v>
      </c>
      <c r="H702" s="4">
        <v>0</v>
      </c>
    </row>
    <row r="703" spans="1:8" x14ac:dyDescent="0.2">
      <c r="A703" s="2" t="s">
        <v>58</v>
      </c>
      <c r="B703" s="4">
        <v>23</v>
      </c>
      <c r="C703" s="5">
        <v>3.05</v>
      </c>
      <c r="D703" s="4">
        <v>15</v>
      </c>
      <c r="E703" s="5">
        <v>3.97</v>
      </c>
      <c r="F703" s="4">
        <v>5</v>
      </c>
      <c r="G703" s="5">
        <v>1.42</v>
      </c>
      <c r="H703" s="4">
        <v>0</v>
      </c>
    </row>
    <row r="704" spans="1:8" x14ac:dyDescent="0.2">
      <c r="A704" s="2" t="s">
        <v>59</v>
      </c>
      <c r="B704" s="4">
        <v>38</v>
      </c>
      <c r="C704" s="5">
        <v>5.03</v>
      </c>
      <c r="D704" s="4">
        <v>17</v>
      </c>
      <c r="E704" s="5">
        <v>4.5</v>
      </c>
      <c r="F704" s="4">
        <v>4</v>
      </c>
      <c r="G704" s="5">
        <v>1.1299999999999999</v>
      </c>
      <c r="H704" s="4">
        <v>0</v>
      </c>
    </row>
    <row r="705" spans="1:8" x14ac:dyDescent="0.2">
      <c r="A705" s="2" t="s">
        <v>60</v>
      </c>
      <c r="B705" s="4">
        <v>17</v>
      </c>
      <c r="C705" s="5">
        <v>2.25</v>
      </c>
      <c r="D705" s="4">
        <v>8</v>
      </c>
      <c r="E705" s="5">
        <v>2.12</v>
      </c>
      <c r="F705" s="4">
        <v>9</v>
      </c>
      <c r="G705" s="5">
        <v>2.5499999999999998</v>
      </c>
      <c r="H705" s="4">
        <v>0</v>
      </c>
    </row>
    <row r="706" spans="1:8" x14ac:dyDescent="0.2">
      <c r="A706" s="1" t="s">
        <v>44</v>
      </c>
      <c r="B706" s="4">
        <v>295</v>
      </c>
      <c r="C706" s="5">
        <v>99.999999999999986</v>
      </c>
      <c r="D706" s="4">
        <v>208</v>
      </c>
      <c r="E706" s="5">
        <v>99.989999999999981</v>
      </c>
      <c r="F706" s="4">
        <v>78</v>
      </c>
      <c r="G706" s="5">
        <v>99.99</v>
      </c>
      <c r="H706" s="4">
        <v>6</v>
      </c>
    </row>
    <row r="707" spans="1:8" x14ac:dyDescent="0.2">
      <c r="A707" s="2" t="s">
        <v>46</v>
      </c>
      <c r="B707" s="4">
        <v>1</v>
      </c>
      <c r="C707" s="5">
        <v>0.34</v>
      </c>
      <c r="D707" s="4">
        <v>0</v>
      </c>
      <c r="E707" s="5">
        <v>0</v>
      </c>
      <c r="F707" s="4">
        <v>1</v>
      </c>
      <c r="G707" s="5">
        <v>1.28</v>
      </c>
      <c r="H707" s="4">
        <v>0</v>
      </c>
    </row>
    <row r="708" spans="1:8" x14ac:dyDescent="0.2">
      <c r="A708" s="2" t="s">
        <v>47</v>
      </c>
      <c r="B708" s="4">
        <v>46</v>
      </c>
      <c r="C708" s="5">
        <v>15.59</v>
      </c>
      <c r="D708" s="4">
        <v>22</v>
      </c>
      <c r="E708" s="5">
        <v>10.58</v>
      </c>
      <c r="F708" s="4">
        <v>24</v>
      </c>
      <c r="G708" s="5">
        <v>30.77</v>
      </c>
      <c r="H708" s="4">
        <v>0</v>
      </c>
    </row>
    <row r="709" spans="1:8" x14ac:dyDescent="0.2">
      <c r="A709" s="2" t="s">
        <v>48</v>
      </c>
      <c r="B709" s="4">
        <v>38</v>
      </c>
      <c r="C709" s="5">
        <v>12.88</v>
      </c>
      <c r="D709" s="4">
        <v>23</v>
      </c>
      <c r="E709" s="5">
        <v>11.06</v>
      </c>
      <c r="F709" s="4">
        <v>12</v>
      </c>
      <c r="G709" s="5">
        <v>15.38</v>
      </c>
      <c r="H709" s="4">
        <v>3</v>
      </c>
    </row>
    <row r="710" spans="1:8" x14ac:dyDescent="0.2">
      <c r="A710" s="2" t="s">
        <v>49</v>
      </c>
      <c r="B710" s="4">
        <v>3</v>
      </c>
      <c r="C710" s="5">
        <v>1.02</v>
      </c>
      <c r="D710" s="4">
        <v>0</v>
      </c>
      <c r="E710" s="5">
        <v>0</v>
      </c>
      <c r="F710" s="4">
        <v>3</v>
      </c>
      <c r="G710" s="5">
        <v>3.85</v>
      </c>
      <c r="H710" s="4">
        <v>0</v>
      </c>
    </row>
    <row r="711" spans="1:8" x14ac:dyDescent="0.2">
      <c r="A711" s="2" t="s">
        <v>50</v>
      </c>
      <c r="B711" s="4">
        <v>2</v>
      </c>
      <c r="C711" s="5">
        <v>0.68</v>
      </c>
      <c r="D711" s="4">
        <v>0</v>
      </c>
      <c r="E711" s="5">
        <v>0</v>
      </c>
      <c r="F711" s="4">
        <v>2</v>
      </c>
      <c r="G711" s="5">
        <v>2.56</v>
      </c>
      <c r="H711" s="4">
        <v>0</v>
      </c>
    </row>
    <row r="712" spans="1:8" x14ac:dyDescent="0.2">
      <c r="A712" s="2" t="s">
        <v>51</v>
      </c>
      <c r="B712" s="4">
        <v>1</v>
      </c>
      <c r="C712" s="5">
        <v>0.34</v>
      </c>
      <c r="D712" s="4">
        <v>0</v>
      </c>
      <c r="E712" s="5">
        <v>0</v>
      </c>
      <c r="F712" s="4">
        <v>0</v>
      </c>
      <c r="G712" s="5">
        <v>0</v>
      </c>
      <c r="H712" s="4">
        <v>1</v>
      </c>
    </row>
    <row r="713" spans="1:8" x14ac:dyDescent="0.2">
      <c r="A713" s="2" t="s">
        <v>52</v>
      </c>
      <c r="B713" s="4">
        <v>90</v>
      </c>
      <c r="C713" s="5">
        <v>30.51</v>
      </c>
      <c r="D713" s="4">
        <v>70</v>
      </c>
      <c r="E713" s="5">
        <v>33.65</v>
      </c>
      <c r="F713" s="4">
        <v>18</v>
      </c>
      <c r="G713" s="5">
        <v>23.08</v>
      </c>
      <c r="H713" s="4">
        <v>2</v>
      </c>
    </row>
    <row r="714" spans="1:8" x14ac:dyDescent="0.2">
      <c r="A714" s="2" t="s">
        <v>53</v>
      </c>
      <c r="B714" s="4">
        <v>0</v>
      </c>
      <c r="C714" s="5">
        <v>0</v>
      </c>
      <c r="D714" s="4">
        <v>0</v>
      </c>
      <c r="E714" s="5">
        <v>0</v>
      </c>
      <c r="F714" s="4">
        <v>0</v>
      </c>
      <c r="G714" s="5">
        <v>0</v>
      </c>
      <c r="H714" s="4">
        <v>0</v>
      </c>
    </row>
    <row r="715" spans="1:8" x14ac:dyDescent="0.2">
      <c r="A715" s="2" t="s">
        <v>54</v>
      </c>
      <c r="B715" s="4">
        <v>3</v>
      </c>
      <c r="C715" s="5">
        <v>1.02</v>
      </c>
      <c r="D715" s="4">
        <v>1</v>
      </c>
      <c r="E715" s="5">
        <v>0.48</v>
      </c>
      <c r="F715" s="4">
        <v>2</v>
      </c>
      <c r="G715" s="5">
        <v>2.56</v>
      </c>
      <c r="H715" s="4">
        <v>0</v>
      </c>
    </row>
    <row r="716" spans="1:8" x14ac:dyDescent="0.2">
      <c r="A716" s="2" t="s">
        <v>55</v>
      </c>
      <c r="B716" s="4">
        <v>4</v>
      </c>
      <c r="C716" s="5">
        <v>1.36</v>
      </c>
      <c r="D716" s="4">
        <v>3</v>
      </c>
      <c r="E716" s="5">
        <v>1.44</v>
      </c>
      <c r="F716" s="4">
        <v>1</v>
      </c>
      <c r="G716" s="5">
        <v>1.28</v>
      </c>
      <c r="H716" s="4">
        <v>0</v>
      </c>
    </row>
    <row r="717" spans="1:8" x14ac:dyDescent="0.2">
      <c r="A717" s="2" t="s">
        <v>56</v>
      </c>
      <c r="B717" s="4">
        <v>50</v>
      </c>
      <c r="C717" s="5">
        <v>16.95</v>
      </c>
      <c r="D717" s="4">
        <v>45</v>
      </c>
      <c r="E717" s="5">
        <v>21.63</v>
      </c>
      <c r="F717" s="4">
        <v>5</v>
      </c>
      <c r="G717" s="5">
        <v>6.41</v>
      </c>
      <c r="H717" s="4">
        <v>0</v>
      </c>
    </row>
    <row r="718" spans="1:8" x14ac:dyDescent="0.2">
      <c r="A718" s="2" t="s">
        <v>57</v>
      </c>
      <c r="B718" s="4">
        <v>28</v>
      </c>
      <c r="C718" s="5">
        <v>9.49</v>
      </c>
      <c r="D718" s="4">
        <v>28</v>
      </c>
      <c r="E718" s="5">
        <v>13.46</v>
      </c>
      <c r="F718" s="4">
        <v>0</v>
      </c>
      <c r="G718" s="5">
        <v>0</v>
      </c>
      <c r="H718" s="4">
        <v>0</v>
      </c>
    </row>
    <row r="719" spans="1:8" x14ac:dyDescent="0.2">
      <c r="A719" s="2" t="s">
        <v>58</v>
      </c>
      <c r="B719" s="4">
        <v>5</v>
      </c>
      <c r="C719" s="5">
        <v>1.69</v>
      </c>
      <c r="D719" s="4">
        <v>4</v>
      </c>
      <c r="E719" s="5">
        <v>1.92</v>
      </c>
      <c r="F719" s="4">
        <v>0</v>
      </c>
      <c r="G719" s="5">
        <v>0</v>
      </c>
      <c r="H719" s="4">
        <v>0</v>
      </c>
    </row>
    <row r="720" spans="1:8" x14ac:dyDescent="0.2">
      <c r="A720" s="2" t="s">
        <v>59</v>
      </c>
      <c r="B720" s="4">
        <v>15</v>
      </c>
      <c r="C720" s="5">
        <v>5.08</v>
      </c>
      <c r="D720" s="4">
        <v>8</v>
      </c>
      <c r="E720" s="5">
        <v>3.85</v>
      </c>
      <c r="F720" s="4">
        <v>5</v>
      </c>
      <c r="G720" s="5">
        <v>6.41</v>
      </c>
      <c r="H720" s="4">
        <v>0</v>
      </c>
    </row>
    <row r="721" spans="1:8" x14ac:dyDescent="0.2">
      <c r="A721" s="2" t="s">
        <v>60</v>
      </c>
      <c r="B721" s="4">
        <v>9</v>
      </c>
      <c r="C721" s="5">
        <v>3.05</v>
      </c>
      <c r="D721" s="4">
        <v>4</v>
      </c>
      <c r="E721" s="5">
        <v>1.92</v>
      </c>
      <c r="F721" s="4">
        <v>5</v>
      </c>
      <c r="G721" s="5">
        <v>6.41</v>
      </c>
      <c r="H721" s="4">
        <v>0</v>
      </c>
    </row>
    <row r="722" spans="1:8" x14ac:dyDescent="0.2">
      <c r="A722" s="1" t="s">
        <v>45</v>
      </c>
      <c r="B722" s="4">
        <v>472</v>
      </c>
      <c r="C722" s="5">
        <v>100.03000000000002</v>
      </c>
      <c r="D722" s="4">
        <v>295</v>
      </c>
      <c r="E722" s="5">
        <v>99.989999999999981</v>
      </c>
      <c r="F722" s="4">
        <v>169</v>
      </c>
      <c r="G722" s="5">
        <v>100.01000000000002</v>
      </c>
      <c r="H722" s="4">
        <v>3</v>
      </c>
    </row>
    <row r="723" spans="1:8" x14ac:dyDescent="0.2">
      <c r="A723" s="2" t="s">
        <v>46</v>
      </c>
      <c r="B723" s="4">
        <v>0</v>
      </c>
      <c r="C723" s="5">
        <v>0</v>
      </c>
      <c r="D723" s="4">
        <v>0</v>
      </c>
      <c r="E723" s="5">
        <v>0</v>
      </c>
      <c r="F723" s="4">
        <v>0</v>
      </c>
      <c r="G723" s="5">
        <v>0</v>
      </c>
      <c r="H723" s="4">
        <v>0</v>
      </c>
    </row>
    <row r="724" spans="1:8" x14ac:dyDescent="0.2">
      <c r="A724" s="2" t="s">
        <v>47</v>
      </c>
      <c r="B724" s="4">
        <v>105</v>
      </c>
      <c r="C724" s="5">
        <v>22.25</v>
      </c>
      <c r="D724" s="4">
        <v>52</v>
      </c>
      <c r="E724" s="5">
        <v>17.63</v>
      </c>
      <c r="F724" s="4">
        <v>53</v>
      </c>
      <c r="G724" s="5">
        <v>31.36</v>
      </c>
      <c r="H724" s="4">
        <v>0</v>
      </c>
    </row>
    <row r="725" spans="1:8" x14ac:dyDescent="0.2">
      <c r="A725" s="2" t="s">
        <v>48</v>
      </c>
      <c r="B725" s="4">
        <v>62</v>
      </c>
      <c r="C725" s="5">
        <v>13.14</v>
      </c>
      <c r="D725" s="4">
        <v>27</v>
      </c>
      <c r="E725" s="5">
        <v>9.15</v>
      </c>
      <c r="F725" s="4">
        <v>35</v>
      </c>
      <c r="G725" s="5">
        <v>20.71</v>
      </c>
      <c r="H725" s="4">
        <v>0</v>
      </c>
    </row>
    <row r="726" spans="1:8" x14ac:dyDescent="0.2">
      <c r="A726" s="2" t="s">
        <v>49</v>
      </c>
      <c r="B726" s="4">
        <v>0</v>
      </c>
      <c r="C726" s="5">
        <v>0</v>
      </c>
      <c r="D726" s="4">
        <v>0</v>
      </c>
      <c r="E726" s="5">
        <v>0</v>
      </c>
      <c r="F726" s="4">
        <v>0</v>
      </c>
      <c r="G726" s="5">
        <v>0</v>
      </c>
      <c r="H726" s="4">
        <v>0</v>
      </c>
    </row>
    <row r="727" spans="1:8" x14ac:dyDescent="0.2">
      <c r="A727" s="2" t="s">
        <v>50</v>
      </c>
      <c r="B727" s="4">
        <v>3</v>
      </c>
      <c r="C727" s="5">
        <v>0.64</v>
      </c>
      <c r="D727" s="4">
        <v>1</v>
      </c>
      <c r="E727" s="5">
        <v>0.34</v>
      </c>
      <c r="F727" s="4">
        <v>2</v>
      </c>
      <c r="G727" s="5">
        <v>1.18</v>
      </c>
      <c r="H727" s="4">
        <v>0</v>
      </c>
    </row>
    <row r="728" spans="1:8" x14ac:dyDescent="0.2">
      <c r="A728" s="2" t="s">
        <v>51</v>
      </c>
      <c r="B728" s="4">
        <v>4</v>
      </c>
      <c r="C728" s="5">
        <v>0.85</v>
      </c>
      <c r="D728" s="4">
        <v>1</v>
      </c>
      <c r="E728" s="5">
        <v>0.34</v>
      </c>
      <c r="F728" s="4">
        <v>3</v>
      </c>
      <c r="G728" s="5">
        <v>1.78</v>
      </c>
      <c r="H728" s="4">
        <v>0</v>
      </c>
    </row>
    <row r="729" spans="1:8" x14ac:dyDescent="0.2">
      <c r="A729" s="2" t="s">
        <v>52</v>
      </c>
      <c r="B729" s="4">
        <v>122</v>
      </c>
      <c r="C729" s="5">
        <v>25.85</v>
      </c>
      <c r="D729" s="4">
        <v>76</v>
      </c>
      <c r="E729" s="5">
        <v>25.76</v>
      </c>
      <c r="F729" s="4">
        <v>45</v>
      </c>
      <c r="G729" s="5">
        <v>26.63</v>
      </c>
      <c r="H729" s="4">
        <v>1</v>
      </c>
    </row>
    <row r="730" spans="1:8" x14ac:dyDescent="0.2">
      <c r="A730" s="2" t="s">
        <v>53</v>
      </c>
      <c r="B730" s="4">
        <v>3</v>
      </c>
      <c r="C730" s="5">
        <v>0.64</v>
      </c>
      <c r="D730" s="4">
        <v>0</v>
      </c>
      <c r="E730" s="5">
        <v>0</v>
      </c>
      <c r="F730" s="4">
        <v>3</v>
      </c>
      <c r="G730" s="5">
        <v>1.78</v>
      </c>
      <c r="H730" s="4">
        <v>0</v>
      </c>
    </row>
    <row r="731" spans="1:8" x14ac:dyDescent="0.2">
      <c r="A731" s="2" t="s">
        <v>54</v>
      </c>
      <c r="B731" s="4">
        <v>15</v>
      </c>
      <c r="C731" s="5">
        <v>3.18</v>
      </c>
      <c r="D731" s="4">
        <v>6</v>
      </c>
      <c r="E731" s="5">
        <v>2.0299999999999998</v>
      </c>
      <c r="F731" s="4">
        <v>8</v>
      </c>
      <c r="G731" s="5">
        <v>4.7300000000000004</v>
      </c>
      <c r="H731" s="4">
        <v>0</v>
      </c>
    </row>
    <row r="732" spans="1:8" x14ac:dyDescent="0.2">
      <c r="A732" s="2" t="s">
        <v>55</v>
      </c>
      <c r="B732" s="4">
        <v>21</v>
      </c>
      <c r="C732" s="5">
        <v>4.45</v>
      </c>
      <c r="D732" s="4">
        <v>14</v>
      </c>
      <c r="E732" s="5">
        <v>4.75</v>
      </c>
      <c r="F732" s="4">
        <v>7</v>
      </c>
      <c r="G732" s="5">
        <v>4.1399999999999997</v>
      </c>
      <c r="H732" s="4">
        <v>0</v>
      </c>
    </row>
    <row r="733" spans="1:8" x14ac:dyDescent="0.2">
      <c r="A733" s="2" t="s">
        <v>56</v>
      </c>
      <c r="B733" s="4">
        <v>27</v>
      </c>
      <c r="C733" s="5">
        <v>5.72</v>
      </c>
      <c r="D733" s="4">
        <v>25</v>
      </c>
      <c r="E733" s="5">
        <v>8.4700000000000006</v>
      </c>
      <c r="F733" s="4">
        <v>2</v>
      </c>
      <c r="G733" s="5">
        <v>1.18</v>
      </c>
      <c r="H733" s="4">
        <v>0</v>
      </c>
    </row>
    <row r="734" spans="1:8" x14ac:dyDescent="0.2">
      <c r="A734" s="2" t="s">
        <v>57</v>
      </c>
      <c r="B734" s="4">
        <v>54</v>
      </c>
      <c r="C734" s="5">
        <v>11.44</v>
      </c>
      <c r="D734" s="4">
        <v>49</v>
      </c>
      <c r="E734" s="5">
        <v>16.61</v>
      </c>
      <c r="F734" s="4">
        <v>4</v>
      </c>
      <c r="G734" s="5">
        <v>2.37</v>
      </c>
      <c r="H734" s="4">
        <v>0</v>
      </c>
    </row>
    <row r="735" spans="1:8" x14ac:dyDescent="0.2">
      <c r="A735" s="2" t="s">
        <v>58</v>
      </c>
      <c r="B735" s="4">
        <v>19</v>
      </c>
      <c r="C735" s="5">
        <v>4.03</v>
      </c>
      <c r="D735" s="4">
        <v>18</v>
      </c>
      <c r="E735" s="5">
        <v>6.1</v>
      </c>
      <c r="F735" s="4">
        <v>0</v>
      </c>
      <c r="G735" s="5">
        <v>0</v>
      </c>
      <c r="H735" s="4">
        <v>0</v>
      </c>
    </row>
    <row r="736" spans="1:8" x14ac:dyDescent="0.2">
      <c r="A736" s="2" t="s">
        <v>59</v>
      </c>
      <c r="B736" s="4">
        <v>23</v>
      </c>
      <c r="C736" s="5">
        <v>4.87</v>
      </c>
      <c r="D736" s="4">
        <v>18</v>
      </c>
      <c r="E736" s="5">
        <v>6.1</v>
      </c>
      <c r="F736" s="4">
        <v>3</v>
      </c>
      <c r="G736" s="5">
        <v>1.78</v>
      </c>
      <c r="H736" s="4">
        <v>2</v>
      </c>
    </row>
    <row r="737" spans="1:8" x14ac:dyDescent="0.2">
      <c r="A737" s="2" t="s">
        <v>60</v>
      </c>
      <c r="B737" s="4">
        <v>14</v>
      </c>
      <c r="C737" s="5">
        <v>2.97</v>
      </c>
      <c r="D737" s="4">
        <v>8</v>
      </c>
      <c r="E737" s="5">
        <v>2.71</v>
      </c>
      <c r="F737" s="4">
        <v>4</v>
      </c>
      <c r="G737" s="5">
        <v>2.37</v>
      </c>
      <c r="H737" s="4">
        <v>0</v>
      </c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　産業大分類別　事業所数</oddHeader>
    <oddFooter>&amp;C&amp;P /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4688A-C763-4362-A0E6-736EC35E3F1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209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367</v>
      </c>
      <c r="D6" s="8">
        <v>11.61</v>
      </c>
      <c r="E6" s="12">
        <v>86</v>
      </c>
      <c r="F6" s="8">
        <v>4.9800000000000004</v>
      </c>
      <c r="G6" s="12">
        <v>281</v>
      </c>
      <c r="H6" s="8">
        <v>20.13</v>
      </c>
      <c r="I6" s="12">
        <v>0</v>
      </c>
    </row>
    <row r="7" spans="2:9" ht="15" customHeight="1" x14ac:dyDescent="0.2">
      <c r="B7" t="s">
        <v>48</v>
      </c>
      <c r="C7" s="12">
        <v>194</v>
      </c>
      <c r="D7" s="8">
        <v>6.14</v>
      </c>
      <c r="E7" s="12">
        <v>68</v>
      </c>
      <c r="F7" s="8">
        <v>3.94</v>
      </c>
      <c r="G7" s="12">
        <v>126</v>
      </c>
      <c r="H7" s="8">
        <v>9.0299999999999994</v>
      </c>
      <c r="I7" s="12">
        <v>0</v>
      </c>
    </row>
    <row r="8" spans="2:9" ht="15" customHeight="1" x14ac:dyDescent="0.2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37</v>
      </c>
      <c r="D9" s="8">
        <v>1.17</v>
      </c>
      <c r="E9" s="12">
        <v>1</v>
      </c>
      <c r="F9" s="8">
        <v>0.06</v>
      </c>
      <c r="G9" s="12">
        <v>36</v>
      </c>
      <c r="H9" s="8">
        <v>2.58</v>
      </c>
      <c r="I9" s="12">
        <v>0</v>
      </c>
    </row>
    <row r="10" spans="2:9" ht="15" customHeight="1" x14ac:dyDescent="0.2">
      <c r="B10" t="s">
        <v>51</v>
      </c>
      <c r="C10" s="12">
        <v>22</v>
      </c>
      <c r="D10" s="8">
        <v>0.7</v>
      </c>
      <c r="E10" s="12">
        <v>2</v>
      </c>
      <c r="F10" s="8">
        <v>0.12</v>
      </c>
      <c r="G10" s="12">
        <v>20</v>
      </c>
      <c r="H10" s="8">
        <v>1.43</v>
      </c>
      <c r="I10" s="12">
        <v>0</v>
      </c>
    </row>
    <row r="11" spans="2:9" ht="15" customHeight="1" x14ac:dyDescent="0.2">
      <c r="B11" t="s">
        <v>52</v>
      </c>
      <c r="C11" s="12">
        <v>650</v>
      </c>
      <c r="D11" s="8">
        <v>20.56</v>
      </c>
      <c r="E11" s="12">
        <v>286</v>
      </c>
      <c r="F11" s="8">
        <v>16.57</v>
      </c>
      <c r="G11" s="12">
        <v>358</v>
      </c>
      <c r="H11" s="8">
        <v>25.64</v>
      </c>
      <c r="I11" s="12">
        <v>6</v>
      </c>
    </row>
    <row r="12" spans="2:9" ht="15" customHeight="1" x14ac:dyDescent="0.2">
      <c r="B12" t="s">
        <v>53</v>
      </c>
      <c r="C12" s="12">
        <v>16</v>
      </c>
      <c r="D12" s="8">
        <v>0.51</v>
      </c>
      <c r="E12" s="12">
        <v>2</v>
      </c>
      <c r="F12" s="8">
        <v>0.12</v>
      </c>
      <c r="G12" s="12">
        <v>14</v>
      </c>
      <c r="H12" s="8">
        <v>1</v>
      </c>
      <c r="I12" s="12">
        <v>0</v>
      </c>
    </row>
    <row r="13" spans="2:9" ht="15" customHeight="1" x14ac:dyDescent="0.2">
      <c r="B13" t="s">
        <v>54</v>
      </c>
      <c r="C13" s="12">
        <v>478</v>
      </c>
      <c r="D13" s="8">
        <v>15.12</v>
      </c>
      <c r="E13" s="12">
        <v>249</v>
      </c>
      <c r="F13" s="8">
        <v>14.43</v>
      </c>
      <c r="G13" s="12">
        <v>229</v>
      </c>
      <c r="H13" s="8">
        <v>16.399999999999999</v>
      </c>
      <c r="I13" s="12">
        <v>0</v>
      </c>
    </row>
    <row r="14" spans="2:9" ht="15" customHeight="1" x14ac:dyDescent="0.2">
      <c r="B14" t="s">
        <v>55</v>
      </c>
      <c r="C14" s="12">
        <v>181</v>
      </c>
      <c r="D14" s="8">
        <v>5.73</v>
      </c>
      <c r="E14" s="12">
        <v>101</v>
      </c>
      <c r="F14" s="8">
        <v>5.85</v>
      </c>
      <c r="G14" s="12">
        <v>80</v>
      </c>
      <c r="H14" s="8">
        <v>5.73</v>
      </c>
      <c r="I14" s="12">
        <v>0</v>
      </c>
    </row>
    <row r="15" spans="2:9" ht="15" customHeight="1" x14ac:dyDescent="0.2">
      <c r="B15" t="s">
        <v>56</v>
      </c>
      <c r="C15" s="12">
        <v>453</v>
      </c>
      <c r="D15" s="8">
        <v>14.33</v>
      </c>
      <c r="E15" s="12">
        <v>398</v>
      </c>
      <c r="F15" s="8">
        <v>23.06</v>
      </c>
      <c r="G15" s="12">
        <v>55</v>
      </c>
      <c r="H15" s="8">
        <v>3.94</v>
      </c>
      <c r="I15" s="12">
        <v>0</v>
      </c>
    </row>
    <row r="16" spans="2:9" ht="15" customHeight="1" x14ac:dyDescent="0.2">
      <c r="B16" t="s">
        <v>57</v>
      </c>
      <c r="C16" s="12">
        <v>349</v>
      </c>
      <c r="D16" s="8">
        <v>11.04</v>
      </c>
      <c r="E16" s="12">
        <v>275</v>
      </c>
      <c r="F16" s="8">
        <v>15.93</v>
      </c>
      <c r="G16" s="12">
        <v>72</v>
      </c>
      <c r="H16" s="8">
        <v>5.16</v>
      </c>
      <c r="I16" s="12">
        <v>1</v>
      </c>
    </row>
    <row r="17" spans="2:9" ht="15" customHeight="1" x14ac:dyDescent="0.2">
      <c r="B17" t="s">
        <v>58</v>
      </c>
      <c r="C17" s="12">
        <v>145</v>
      </c>
      <c r="D17" s="8">
        <v>4.59</v>
      </c>
      <c r="E17" s="12">
        <v>119</v>
      </c>
      <c r="F17" s="8">
        <v>6.89</v>
      </c>
      <c r="G17" s="12">
        <v>23</v>
      </c>
      <c r="H17" s="8">
        <v>1.65</v>
      </c>
      <c r="I17" s="12">
        <v>1</v>
      </c>
    </row>
    <row r="18" spans="2:9" ht="15" customHeight="1" x14ac:dyDescent="0.2">
      <c r="B18" t="s">
        <v>59</v>
      </c>
      <c r="C18" s="12">
        <v>178</v>
      </c>
      <c r="D18" s="8">
        <v>5.63</v>
      </c>
      <c r="E18" s="12">
        <v>103</v>
      </c>
      <c r="F18" s="8">
        <v>5.97</v>
      </c>
      <c r="G18" s="12">
        <v>51</v>
      </c>
      <c r="H18" s="8">
        <v>3.65</v>
      </c>
      <c r="I18" s="12">
        <v>0</v>
      </c>
    </row>
    <row r="19" spans="2:9" ht="15" customHeight="1" x14ac:dyDescent="0.2">
      <c r="B19" t="s">
        <v>60</v>
      </c>
      <c r="C19" s="12">
        <v>91</v>
      </c>
      <c r="D19" s="8">
        <v>2.88</v>
      </c>
      <c r="E19" s="12">
        <v>36</v>
      </c>
      <c r="F19" s="8">
        <v>2.09</v>
      </c>
      <c r="G19" s="12">
        <v>51</v>
      </c>
      <c r="H19" s="8">
        <v>3.65</v>
      </c>
      <c r="I19" s="12">
        <v>3</v>
      </c>
    </row>
    <row r="20" spans="2:9" ht="15" customHeight="1" x14ac:dyDescent="0.2">
      <c r="B20" s="9" t="s">
        <v>191</v>
      </c>
      <c r="C20" s="12">
        <f>SUM(LTBL_22206[総数／事業所数])</f>
        <v>3161</v>
      </c>
      <c r="E20" s="12">
        <f>SUBTOTAL(109,LTBL_22206[個人／事業所数])</f>
        <v>1726</v>
      </c>
      <c r="G20" s="12">
        <f>SUBTOTAL(109,LTBL_22206[法人／事業所数])</f>
        <v>1396</v>
      </c>
      <c r="I20" s="12">
        <f>SUBTOTAL(109,LTBL_22206[法人以外の団体／事業所数])</f>
        <v>11</v>
      </c>
    </row>
    <row r="21" spans="2:9" ht="15" customHeight="1" x14ac:dyDescent="0.2">
      <c r="E21" s="11">
        <f>LTBL_22206[[#Totals],[個人／事業所数]]/LTBL_22206[[#Totals],[総数／事業所数]]</f>
        <v>0.5460297374248656</v>
      </c>
      <c r="G21" s="11">
        <f>LTBL_22206[[#Totals],[法人／事業所数]]/LTBL_22206[[#Totals],[総数／事業所数]]</f>
        <v>0.44163239481176841</v>
      </c>
      <c r="I21" s="11">
        <f>LTBL_22206[[#Totals],[法人以外の団体／事業所数]]/LTBL_22206[[#Totals],[総数／事業所数]]</f>
        <v>3.4799114204365706E-3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439</v>
      </c>
      <c r="D24" s="8">
        <v>13.89</v>
      </c>
      <c r="E24" s="12">
        <v>390</v>
      </c>
      <c r="F24" s="8">
        <v>22.6</v>
      </c>
      <c r="G24" s="12">
        <v>49</v>
      </c>
      <c r="H24" s="8">
        <v>3.51</v>
      </c>
      <c r="I24" s="12">
        <v>0</v>
      </c>
    </row>
    <row r="25" spans="2:9" ht="15" customHeight="1" x14ac:dyDescent="0.2">
      <c r="B25" t="s">
        <v>81</v>
      </c>
      <c r="C25" s="12">
        <v>418</v>
      </c>
      <c r="D25" s="8">
        <v>13.22</v>
      </c>
      <c r="E25" s="12">
        <v>234</v>
      </c>
      <c r="F25" s="8">
        <v>13.56</v>
      </c>
      <c r="G25" s="12">
        <v>184</v>
      </c>
      <c r="H25" s="8">
        <v>13.18</v>
      </c>
      <c r="I25" s="12">
        <v>0</v>
      </c>
    </row>
    <row r="26" spans="2:9" ht="15" customHeight="1" x14ac:dyDescent="0.2">
      <c r="B26" t="s">
        <v>85</v>
      </c>
      <c r="C26" s="12">
        <v>302</v>
      </c>
      <c r="D26" s="8">
        <v>9.5500000000000007</v>
      </c>
      <c r="E26" s="12">
        <v>254</v>
      </c>
      <c r="F26" s="8">
        <v>14.72</v>
      </c>
      <c r="G26" s="12">
        <v>48</v>
      </c>
      <c r="H26" s="8">
        <v>3.44</v>
      </c>
      <c r="I26" s="12">
        <v>0</v>
      </c>
    </row>
    <row r="27" spans="2:9" ht="15" customHeight="1" x14ac:dyDescent="0.2">
      <c r="B27" t="s">
        <v>79</v>
      </c>
      <c r="C27" s="12">
        <v>171</v>
      </c>
      <c r="D27" s="8">
        <v>5.41</v>
      </c>
      <c r="E27" s="12">
        <v>81</v>
      </c>
      <c r="F27" s="8">
        <v>4.6900000000000004</v>
      </c>
      <c r="G27" s="12">
        <v>90</v>
      </c>
      <c r="H27" s="8">
        <v>6.45</v>
      </c>
      <c r="I27" s="12">
        <v>0</v>
      </c>
    </row>
    <row r="28" spans="2:9" ht="15" customHeight="1" x14ac:dyDescent="0.2">
      <c r="B28" t="s">
        <v>86</v>
      </c>
      <c r="C28" s="12">
        <v>145</v>
      </c>
      <c r="D28" s="8">
        <v>4.59</v>
      </c>
      <c r="E28" s="12">
        <v>119</v>
      </c>
      <c r="F28" s="8">
        <v>6.89</v>
      </c>
      <c r="G28" s="12">
        <v>23</v>
      </c>
      <c r="H28" s="8">
        <v>1.65</v>
      </c>
      <c r="I28" s="12">
        <v>1</v>
      </c>
    </row>
    <row r="29" spans="2:9" ht="15" customHeight="1" x14ac:dyDescent="0.2">
      <c r="B29" t="s">
        <v>69</v>
      </c>
      <c r="C29" s="12">
        <v>140</v>
      </c>
      <c r="D29" s="8">
        <v>4.43</v>
      </c>
      <c r="E29" s="12">
        <v>29</v>
      </c>
      <c r="F29" s="8">
        <v>1.68</v>
      </c>
      <c r="G29" s="12">
        <v>111</v>
      </c>
      <c r="H29" s="8">
        <v>7.95</v>
      </c>
      <c r="I29" s="12">
        <v>0</v>
      </c>
    </row>
    <row r="30" spans="2:9" ht="15" customHeight="1" x14ac:dyDescent="0.2">
      <c r="B30" t="s">
        <v>77</v>
      </c>
      <c r="C30" s="12">
        <v>126</v>
      </c>
      <c r="D30" s="8">
        <v>3.99</v>
      </c>
      <c r="E30" s="12">
        <v>82</v>
      </c>
      <c r="F30" s="8">
        <v>4.75</v>
      </c>
      <c r="G30" s="12">
        <v>44</v>
      </c>
      <c r="H30" s="8">
        <v>3.15</v>
      </c>
      <c r="I30" s="12">
        <v>0</v>
      </c>
    </row>
    <row r="31" spans="2:9" ht="15" customHeight="1" x14ac:dyDescent="0.2">
      <c r="B31" t="s">
        <v>70</v>
      </c>
      <c r="C31" s="12">
        <v>118</v>
      </c>
      <c r="D31" s="8">
        <v>3.73</v>
      </c>
      <c r="E31" s="12">
        <v>36</v>
      </c>
      <c r="F31" s="8">
        <v>2.09</v>
      </c>
      <c r="G31" s="12">
        <v>82</v>
      </c>
      <c r="H31" s="8">
        <v>5.87</v>
      </c>
      <c r="I31" s="12">
        <v>0</v>
      </c>
    </row>
    <row r="32" spans="2:9" ht="15" customHeight="1" x14ac:dyDescent="0.2">
      <c r="B32" t="s">
        <v>87</v>
      </c>
      <c r="C32" s="12">
        <v>112</v>
      </c>
      <c r="D32" s="8">
        <v>3.54</v>
      </c>
      <c r="E32" s="12">
        <v>102</v>
      </c>
      <c r="F32" s="8">
        <v>5.91</v>
      </c>
      <c r="G32" s="12">
        <v>10</v>
      </c>
      <c r="H32" s="8">
        <v>0.72</v>
      </c>
      <c r="I32" s="12">
        <v>0</v>
      </c>
    </row>
    <row r="33" spans="2:9" ht="15" customHeight="1" x14ac:dyDescent="0.2">
      <c r="B33" t="s">
        <v>71</v>
      </c>
      <c r="C33" s="12">
        <v>109</v>
      </c>
      <c r="D33" s="8">
        <v>3.45</v>
      </c>
      <c r="E33" s="12">
        <v>21</v>
      </c>
      <c r="F33" s="8">
        <v>1.22</v>
      </c>
      <c r="G33" s="12">
        <v>88</v>
      </c>
      <c r="H33" s="8">
        <v>6.3</v>
      </c>
      <c r="I33" s="12">
        <v>0</v>
      </c>
    </row>
    <row r="34" spans="2:9" ht="15" customHeight="1" x14ac:dyDescent="0.2">
      <c r="B34" t="s">
        <v>82</v>
      </c>
      <c r="C34" s="12">
        <v>102</v>
      </c>
      <c r="D34" s="8">
        <v>3.23</v>
      </c>
      <c r="E34" s="12">
        <v>69</v>
      </c>
      <c r="F34" s="8">
        <v>4</v>
      </c>
      <c r="G34" s="12">
        <v>33</v>
      </c>
      <c r="H34" s="8">
        <v>2.36</v>
      </c>
      <c r="I34" s="12">
        <v>0</v>
      </c>
    </row>
    <row r="35" spans="2:9" ht="15" customHeight="1" x14ac:dyDescent="0.2">
      <c r="B35" t="s">
        <v>76</v>
      </c>
      <c r="C35" s="12">
        <v>83</v>
      </c>
      <c r="D35" s="8">
        <v>2.63</v>
      </c>
      <c r="E35" s="12">
        <v>45</v>
      </c>
      <c r="F35" s="8">
        <v>2.61</v>
      </c>
      <c r="G35" s="12">
        <v>38</v>
      </c>
      <c r="H35" s="8">
        <v>2.72</v>
      </c>
      <c r="I35" s="12">
        <v>0</v>
      </c>
    </row>
    <row r="36" spans="2:9" ht="15" customHeight="1" x14ac:dyDescent="0.2">
      <c r="B36" t="s">
        <v>78</v>
      </c>
      <c r="C36" s="12">
        <v>80</v>
      </c>
      <c r="D36" s="8">
        <v>2.5299999999999998</v>
      </c>
      <c r="E36" s="12">
        <v>35</v>
      </c>
      <c r="F36" s="8">
        <v>2.0299999999999998</v>
      </c>
      <c r="G36" s="12">
        <v>45</v>
      </c>
      <c r="H36" s="8">
        <v>3.22</v>
      </c>
      <c r="I36" s="12">
        <v>0</v>
      </c>
    </row>
    <row r="37" spans="2:9" ht="15" customHeight="1" x14ac:dyDescent="0.2">
      <c r="B37" t="s">
        <v>83</v>
      </c>
      <c r="C37" s="12">
        <v>71</v>
      </c>
      <c r="D37" s="8">
        <v>2.25</v>
      </c>
      <c r="E37" s="12">
        <v>32</v>
      </c>
      <c r="F37" s="8">
        <v>1.85</v>
      </c>
      <c r="G37" s="12">
        <v>39</v>
      </c>
      <c r="H37" s="8">
        <v>2.79</v>
      </c>
      <c r="I37" s="12">
        <v>0</v>
      </c>
    </row>
    <row r="38" spans="2:9" ht="15" customHeight="1" x14ac:dyDescent="0.2">
      <c r="B38" t="s">
        <v>90</v>
      </c>
      <c r="C38" s="12">
        <v>66</v>
      </c>
      <c r="D38" s="8">
        <v>2.09</v>
      </c>
      <c r="E38" s="12">
        <v>1</v>
      </c>
      <c r="F38" s="8">
        <v>0.06</v>
      </c>
      <c r="G38" s="12">
        <v>41</v>
      </c>
      <c r="H38" s="8">
        <v>2.94</v>
      </c>
      <c r="I38" s="12">
        <v>0</v>
      </c>
    </row>
    <row r="39" spans="2:9" ht="15" customHeight="1" x14ac:dyDescent="0.2">
      <c r="B39" t="s">
        <v>80</v>
      </c>
      <c r="C39" s="12">
        <v>48</v>
      </c>
      <c r="D39" s="8">
        <v>1.52</v>
      </c>
      <c r="E39" s="12">
        <v>10</v>
      </c>
      <c r="F39" s="8">
        <v>0.57999999999999996</v>
      </c>
      <c r="G39" s="12">
        <v>38</v>
      </c>
      <c r="H39" s="8">
        <v>2.72</v>
      </c>
      <c r="I39" s="12">
        <v>0</v>
      </c>
    </row>
    <row r="40" spans="2:9" ht="15" customHeight="1" x14ac:dyDescent="0.2">
      <c r="B40" t="s">
        <v>89</v>
      </c>
      <c r="C40" s="12">
        <v>47</v>
      </c>
      <c r="D40" s="8">
        <v>1.49</v>
      </c>
      <c r="E40" s="12">
        <v>17</v>
      </c>
      <c r="F40" s="8">
        <v>0.98</v>
      </c>
      <c r="G40" s="12">
        <v>30</v>
      </c>
      <c r="H40" s="8">
        <v>2.15</v>
      </c>
      <c r="I40" s="12">
        <v>0</v>
      </c>
    </row>
    <row r="41" spans="2:9" ht="15" customHeight="1" x14ac:dyDescent="0.2">
      <c r="B41" t="s">
        <v>74</v>
      </c>
      <c r="C41" s="12">
        <v>41</v>
      </c>
      <c r="D41" s="8">
        <v>1.3</v>
      </c>
      <c r="E41" s="12">
        <v>8</v>
      </c>
      <c r="F41" s="8">
        <v>0.46</v>
      </c>
      <c r="G41" s="12">
        <v>27</v>
      </c>
      <c r="H41" s="8">
        <v>1.93</v>
      </c>
      <c r="I41" s="12">
        <v>6</v>
      </c>
    </row>
    <row r="42" spans="2:9" ht="15" customHeight="1" x14ac:dyDescent="0.2">
      <c r="B42" t="s">
        <v>75</v>
      </c>
      <c r="C42" s="12">
        <v>40</v>
      </c>
      <c r="D42" s="8">
        <v>1.27</v>
      </c>
      <c r="E42" s="12">
        <v>6</v>
      </c>
      <c r="F42" s="8">
        <v>0.35</v>
      </c>
      <c r="G42" s="12">
        <v>34</v>
      </c>
      <c r="H42" s="8">
        <v>2.44</v>
      </c>
      <c r="I42" s="12">
        <v>0</v>
      </c>
    </row>
    <row r="43" spans="2:9" ht="15" customHeight="1" x14ac:dyDescent="0.2">
      <c r="B43" t="s">
        <v>72</v>
      </c>
      <c r="C43" s="12">
        <v>38</v>
      </c>
      <c r="D43" s="8">
        <v>1.2</v>
      </c>
      <c r="E43" s="12">
        <v>15</v>
      </c>
      <c r="F43" s="8">
        <v>0.87</v>
      </c>
      <c r="G43" s="12">
        <v>23</v>
      </c>
      <c r="H43" s="8">
        <v>1.65</v>
      </c>
      <c r="I43" s="12">
        <v>0</v>
      </c>
    </row>
    <row r="44" spans="2:9" ht="15" customHeight="1" x14ac:dyDescent="0.2">
      <c r="B44" t="s">
        <v>73</v>
      </c>
      <c r="C44" s="12">
        <v>38</v>
      </c>
      <c r="D44" s="8">
        <v>1.2</v>
      </c>
      <c r="E44" s="12">
        <v>13</v>
      </c>
      <c r="F44" s="8">
        <v>0.75</v>
      </c>
      <c r="G44" s="12">
        <v>25</v>
      </c>
      <c r="H44" s="8">
        <v>1.79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235</v>
      </c>
      <c r="D48" s="8">
        <v>7.43</v>
      </c>
      <c r="E48" s="12">
        <v>156</v>
      </c>
      <c r="F48" s="8">
        <v>9.0399999999999991</v>
      </c>
      <c r="G48" s="12">
        <v>79</v>
      </c>
      <c r="H48" s="8">
        <v>5.66</v>
      </c>
      <c r="I48" s="12">
        <v>0</v>
      </c>
    </row>
    <row r="49" spans="2:9" ht="15" customHeight="1" x14ac:dyDescent="0.2">
      <c r="B49" t="s">
        <v>132</v>
      </c>
      <c r="C49" s="12">
        <v>174</v>
      </c>
      <c r="D49" s="8">
        <v>5.5</v>
      </c>
      <c r="E49" s="12">
        <v>154</v>
      </c>
      <c r="F49" s="8">
        <v>8.92</v>
      </c>
      <c r="G49" s="12">
        <v>20</v>
      </c>
      <c r="H49" s="8">
        <v>1.43</v>
      </c>
      <c r="I49" s="12">
        <v>0</v>
      </c>
    </row>
    <row r="50" spans="2:9" ht="15" customHeight="1" x14ac:dyDescent="0.2">
      <c r="B50" t="s">
        <v>130</v>
      </c>
      <c r="C50" s="12">
        <v>118</v>
      </c>
      <c r="D50" s="8">
        <v>3.73</v>
      </c>
      <c r="E50" s="12">
        <v>112</v>
      </c>
      <c r="F50" s="8">
        <v>6.49</v>
      </c>
      <c r="G50" s="12">
        <v>6</v>
      </c>
      <c r="H50" s="8">
        <v>0.43</v>
      </c>
      <c r="I50" s="12">
        <v>0</v>
      </c>
    </row>
    <row r="51" spans="2:9" ht="15" customHeight="1" x14ac:dyDescent="0.2">
      <c r="B51" t="s">
        <v>129</v>
      </c>
      <c r="C51" s="12">
        <v>115</v>
      </c>
      <c r="D51" s="8">
        <v>3.64</v>
      </c>
      <c r="E51" s="12">
        <v>105</v>
      </c>
      <c r="F51" s="8">
        <v>6.08</v>
      </c>
      <c r="G51" s="12">
        <v>10</v>
      </c>
      <c r="H51" s="8">
        <v>0.72</v>
      </c>
      <c r="I51" s="12">
        <v>0</v>
      </c>
    </row>
    <row r="52" spans="2:9" ht="15" customHeight="1" x14ac:dyDescent="0.2">
      <c r="B52" t="s">
        <v>125</v>
      </c>
      <c r="C52" s="12">
        <v>107</v>
      </c>
      <c r="D52" s="8">
        <v>3.39</v>
      </c>
      <c r="E52" s="12">
        <v>44</v>
      </c>
      <c r="F52" s="8">
        <v>2.5499999999999998</v>
      </c>
      <c r="G52" s="12">
        <v>63</v>
      </c>
      <c r="H52" s="8">
        <v>4.51</v>
      </c>
      <c r="I52" s="12">
        <v>0</v>
      </c>
    </row>
    <row r="53" spans="2:9" ht="15" customHeight="1" x14ac:dyDescent="0.2">
      <c r="B53" t="s">
        <v>128</v>
      </c>
      <c r="C53" s="12">
        <v>107</v>
      </c>
      <c r="D53" s="8">
        <v>3.39</v>
      </c>
      <c r="E53" s="12">
        <v>96</v>
      </c>
      <c r="F53" s="8">
        <v>5.56</v>
      </c>
      <c r="G53" s="12">
        <v>11</v>
      </c>
      <c r="H53" s="8">
        <v>0.79</v>
      </c>
      <c r="I53" s="12">
        <v>0</v>
      </c>
    </row>
    <row r="54" spans="2:9" ht="15" customHeight="1" x14ac:dyDescent="0.2">
      <c r="B54" t="s">
        <v>133</v>
      </c>
      <c r="C54" s="12">
        <v>99</v>
      </c>
      <c r="D54" s="8">
        <v>3.13</v>
      </c>
      <c r="E54" s="12">
        <v>87</v>
      </c>
      <c r="F54" s="8">
        <v>5.04</v>
      </c>
      <c r="G54" s="12">
        <v>11</v>
      </c>
      <c r="H54" s="8">
        <v>0.79</v>
      </c>
      <c r="I54" s="12">
        <v>1</v>
      </c>
    </row>
    <row r="55" spans="2:9" ht="15" customHeight="1" x14ac:dyDescent="0.2">
      <c r="B55" t="s">
        <v>134</v>
      </c>
      <c r="C55" s="12">
        <v>82</v>
      </c>
      <c r="D55" s="8">
        <v>2.59</v>
      </c>
      <c r="E55" s="12">
        <v>72</v>
      </c>
      <c r="F55" s="8">
        <v>4.17</v>
      </c>
      <c r="G55" s="12">
        <v>10</v>
      </c>
      <c r="H55" s="8">
        <v>0.72</v>
      </c>
      <c r="I55" s="12">
        <v>0</v>
      </c>
    </row>
    <row r="56" spans="2:9" ht="15" customHeight="1" x14ac:dyDescent="0.2">
      <c r="B56" t="s">
        <v>131</v>
      </c>
      <c r="C56" s="12">
        <v>71</v>
      </c>
      <c r="D56" s="8">
        <v>2.25</v>
      </c>
      <c r="E56" s="12">
        <v>68</v>
      </c>
      <c r="F56" s="8">
        <v>3.94</v>
      </c>
      <c r="G56" s="12">
        <v>3</v>
      </c>
      <c r="H56" s="8">
        <v>0.21</v>
      </c>
      <c r="I56" s="12">
        <v>0</v>
      </c>
    </row>
    <row r="57" spans="2:9" ht="15" customHeight="1" x14ac:dyDescent="0.2">
      <c r="B57" t="s">
        <v>124</v>
      </c>
      <c r="C57" s="12">
        <v>57</v>
      </c>
      <c r="D57" s="8">
        <v>1.8</v>
      </c>
      <c r="E57" s="12">
        <v>35</v>
      </c>
      <c r="F57" s="8">
        <v>2.0299999999999998</v>
      </c>
      <c r="G57" s="12">
        <v>22</v>
      </c>
      <c r="H57" s="8">
        <v>1.58</v>
      </c>
      <c r="I57" s="12">
        <v>0</v>
      </c>
    </row>
    <row r="58" spans="2:9" ht="15" customHeight="1" x14ac:dyDescent="0.2">
      <c r="B58" t="s">
        <v>121</v>
      </c>
      <c r="C58" s="12">
        <v>52</v>
      </c>
      <c r="D58" s="8">
        <v>1.65</v>
      </c>
      <c r="E58" s="12">
        <v>34</v>
      </c>
      <c r="F58" s="8">
        <v>1.97</v>
      </c>
      <c r="G58" s="12">
        <v>18</v>
      </c>
      <c r="H58" s="8">
        <v>1.29</v>
      </c>
      <c r="I58" s="12">
        <v>0</v>
      </c>
    </row>
    <row r="59" spans="2:9" ht="15" customHeight="1" x14ac:dyDescent="0.2">
      <c r="B59" t="s">
        <v>127</v>
      </c>
      <c r="C59" s="12">
        <v>49</v>
      </c>
      <c r="D59" s="8">
        <v>1.55</v>
      </c>
      <c r="E59" s="12">
        <v>22</v>
      </c>
      <c r="F59" s="8">
        <v>1.27</v>
      </c>
      <c r="G59" s="12">
        <v>27</v>
      </c>
      <c r="H59" s="8">
        <v>1.93</v>
      </c>
      <c r="I59" s="12">
        <v>0</v>
      </c>
    </row>
    <row r="60" spans="2:9" ht="15" customHeight="1" x14ac:dyDescent="0.2">
      <c r="B60" t="s">
        <v>146</v>
      </c>
      <c r="C60" s="12">
        <v>48</v>
      </c>
      <c r="D60" s="8">
        <v>1.52</v>
      </c>
      <c r="E60" s="12">
        <v>30</v>
      </c>
      <c r="F60" s="8">
        <v>1.74</v>
      </c>
      <c r="G60" s="12">
        <v>18</v>
      </c>
      <c r="H60" s="8">
        <v>1.29</v>
      </c>
      <c r="I60" s="12">
        <v>0</v>
      </c>
    </row>
    <row r="61" spans="2:9" ht="15" customHeight="1" x14ac:dyDescent="0.2">
      <c r="B61" t="s">
        <v>119</v>
      </c>
      <c r="C61" s="12">
        <v>47</v>
      </c>
      <c r="D61" s="8">
        <v>1.49</v>
      </c>
      <c r="E61" s="12">
        <v>9</v>
      </c>
      <c r="F61" s="8">
        <v>0.52</v>
      </c>
      <c r="G61" s="12">
        <v>38</v>
      </c>
      <c r="H61" s="8">
        <v>2.72</v>
      </c>
      <c r="I61" s="12">
        <v>0</v>
      </c>
    </row>
    <row r="62" spans="2:9" ht="15" customHeight="1" x14ac:dyDescent="0.2">
      <c r="B62" t="s">
        <v>120</v>
      </c>
      <c r="C62" s="12">
        <v>45</v>
      </c>
      <c r="D62" s="8">
        <v>1.42</v>
      </c>
      <c r="E62" s="12">
        <v>9</v>
      </c>
      <c r="F62" s="8">
        <v>0.52</v>
      </c>
      <c r="G62" s="12">
        <v>36</v>
      </c>
      <c r="H62" s="8">
        <v>2.58</v>
      </c>
      <c r="I62" s="12">
        <v>0</v>
      </c>
    </row>
    <row r="63" spans="2:9" ht="15" customHeight="1" x14ac:dyDescent="0.2">
      <c r="B63" t="s">
        <v>123</v>
      </c>
      <c r="C63" s="12">
        <v>45</v>
      </c>
      <c r="D63" s="8">
        <v>1.42</v>
      </c>
      <c r="E63" s="12">
        <v>11</v>
      </c>
      <c r="F63" s="8">
        <v>0.64</v>
      </c>
      <c r="G63" s="12">
        <v>34</v>
      </c>
      <c r="H63" s="8">
        <v>2.44</v>
      </c>
      <c r="I63" s="12">
        <v>0</v>
      </c>
    </row>
    <row r="64" spans="2:9" ht="15" customHeight="1" x14ac:dyDescent="0.2">
      <c r="B64" t="s">
        <v>116</v>
      </c>
      <c r="C64" s="12">
        <v>42</v>
      </c>
      <c r="D64" s="8">
        <v>1.33</v>
      </c>
      <c r="E64" s="12">
        <v>10</v>
      </c>
      <c r="F64" s="8">
        <v>0.57999999999999996</v>
      </c>
      <c r="G64" s="12">
        <v>32</v>
      </c>
      <c r="H64" s="8">
        <v>2.29</v>
      </c>
      <c r="I64" s="12">
        <v>0</v>
      </c>
    </row>
    <row r="65" spans="2:9" ht="15" customHeight="1" x14ac:dyDescent="0.2">
      <c r="B65" t="s">
        <v>122</v>
      </c>
      <c r="C65" s="12">
        <v>42</v>
      </c>
      <c r="D65" s="8">
        <v>1.33</v>
      </c>
      <c r="E65" s="12">
        <v>20</v>
      </c>
      <c r="F65" s="8">
        <v>1.1599999999999999</v>
      </c>
      <c r="G65" s="12">
        <v>22</v>
      </c>
      <c r="H65" s="8">
        <v>1.58</v>
      </c>
      <c r="I65" s="12">
        <v>0</v>
      </c>
    </row>
    <row r="66" spans="2:9" ht="15" customHeight="1" x14ac:dyDescent="0.2">
      <c r="B66" t="s">
        <v>153</v>
      </c>
      <c r="C66" s="12">
        <v>42</v>
      </c>
      <c r="D66" s="8">
        <v>1.33</v>
      </c>
      <c r="E66" s="12">
        <v>31</v>
      </c>
      <c r="F66" s="8">
        <v>1.8</v>
      </c>
      <c r="G66" s="12">
        <v>11</v>
      </c>
      <c r="H66" s="8">
        <v>0.79</v>
      </c>
      <c r="I66" s="12">
        <v>0</v>
      </c>
    </row>
    <row r="67" spans="2:9" ht="15" customHeight="1" x14ac:dyDescent="0.2">
      <c r="B67" t="s">
        <v>137</v>
      </c>
      <c r="C67" s="12">
        <v>39</v>
      </c>
      <c r="D67" s="8">
        <v>1.23</v>
      </c>
      <c r="E67" s="12">
        <v>18</v>
      </c>
      <c r="F67" s="8">
        <v>1.04</v>
      </c>
      <c r="G67" s="12">
        <v>21</v>
      </c>
      <c r="H67" s="8">
        <v>1.5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23279-9332-40F8-9069-EF02EBB2C4E3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210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0.03</v>
      </c>
      <c r="E5" s="12">
        <v>0</v>
      </c>
      <c r="F5" s="8">
        <v>0</v>
      </c>
      <c r="G5" s="12">
        <v>1</v>
      </c>
      <c r="H5" s="8">
        <v>0.08</v>
      </c>
      <c r="I5" s="12">
        <v>0</v>
      </c>
    </row>
    <row r="6" spans="2:9" ht="15" customHeight="1" x14ac:dyDescent="0.2">
      <c r="B6" t="s">
        <v>47</v>
      </c>
      <c r="C6" s="12">
        <v>552</v>
      </c>
      <c r="D6" s="8">
        <v>17.27</v>
      </c>
      <c r="E6" s="12">
        <v>245</v>
      </c>
      <c r="F6" s="8">
        <v>12.87</v>
      </c>
      <c r="G6" s="12">
        <v>307</v>
      </c>
      <c r="H6" s="8">
        <v>23.95</v>
      </c>
      <c r="I6" s="12">
        <v>0</v>
      </c>
    </row>
    <row r="7" spans="2:9" ht="15" customHeight="1" x14ac:dyDescent="0.2">
      <c r="B7" t="s">
        <v>48</v>
      </c>
      <c r="C7" s="12">
        <v>355</v>
      </c>
      <c r="D7" s="8">
        <v>11.11</v>
      </c>
      <c r="E7" s="12">
        <v>135</v>
      </c>
      <c r="F7" s="8">
        <v>7.09</v>
      </c>
      <c r="G7" s="12">
        <v>220</v>
      </c>
      <c r="H7" s="8">
        <v>17.16</v>
      </c>
      <c r="I7" s="12">
        <v>0</v>
      </c>
    </row>
    <row r="8" spans="2:9" ht="15" customHeight="1" x14ac:dyDescent="0.2">
      <c r="B8" t="s">
        <v>49</v>
      </c>
      <c r="C8" s="12">
        <v>11</v>
      </c>
      <c r="D8" s="8">
        <v>0.34</v>
      </c>
      <c r="E8" s="12">
        <v>0</v>
      </c>
      <c r="F8" s="8">
        <v>0</v>
      </c>
      <c r="G8" s="12">
        <v>11</v>
      </c>
      <c r="H8" s="8">
        <v>0.86</v>
      </c>
      <c r="I8" s="12">
        <v>0</v>
      </c>
    </row>
    <row r="9" spans="2:9" ht="15" customHeight="1" x14ac:dyDescent="0.2">
      <c r="B9" t="s">
        <v>50</v>
      </c>
      <c r="C9" s="12">
        <v>12</v>
      </c>
      <c r="D9" s="8">
        <v>0.38</v>
      </c>
      <c r="E9" s="12">
        <v>1</v>
      </c>
      <c r="F9" s="8">
        <v>0.05</v>
      </c>
      <c r="G9" s="12">
        <v>11</v>
      </c>
      <c r="H9" s="8">
        <v>0.86</v>
      </c>
      <c r="I9" s="12">
        <v>0</v>
      </c>
    </row>
    <row r="10" spans="2:9" ht="15" customHeight="1" x14ac:dyDescent="0.2">
      <c r="B10" t="s">
        <v>51</v>
      </c>
      <c r="C10" s="12">
        <v>25</v>
      </c>
      <c r="D10" s="8">
        <v>0.78</v>
      </c>
      <c r="E10" s="12">
        <v>2</v>
      </c>
      <c r="F10" s="8">
        <v>0.11</v>
      </c>
      <c r="G10" s="12">
        <v>23</v>
      </c>
      <c r="H10" s="8">
        <v>1.79</v>
      </c>
      <c r="I10" s="12">
        <v>0</v>
      </c>
    </row>
    <row r="11" spans="2:9" ht="15" customHeight="1" x14ac:dyDescent="0.2">
      <c r="B11" t="s">
        <v>52</v>
      </c>
      <c r="C11" s="12">
        <v>731</v>
      </c>
      <c r="D11" s="8">
        <v>22.87</v>
      </c>
      <c r="E11" s="12">
        <v>417</v>
      </c>
      <c r="F11" s="8">
        <v>21.91</v>
      </c>
      <c r="G11" s="12">
        <v>314</v>
      </c>
      <c r="H11" s="8">
        <v>24.49</v>
      </c>
      <c r="I11" s="12">
        <v>0</v>
      </c>
    </row>
    <row r="12" spans="2:9" ht="15" customHeight="1" x14ac:dyDescent="0.2">
      <c r="B12" t="s">
        <v>53</v>
      </c>
      <c r="C12" s="12">
        <v>35</v>
      </c>
      <c r="D12" s="8">
        <v>1.1000000000000001</v>
      </c>
      <c r="E12" s="12">
        <v>8</v>
      </c>
      <c r="F12" s="8">
        <v>0.42</v>
      </c>
      <c r="G12" s="12">
        <v>27</v>
      </c>
      <c r="H12" s="8">
        <v>2.11</v>
      </c>
      <c r="I12" s="12">
        <v>0</v>
      </c>
    </row>
    <row r="13" spans="2:9" ht="15" customHeight="1" x14ac:dyDescent="0.2">
      <c r="B13" t="s">
        <v>54</v>
      </c>
      <c r="C13" s="12">
        <v>164</v>
      </c>
      <c r="D13" s="8">
        <v>5.13</v>
      </c>
      <c r="E13" s="12">
        <v>62</v>
      </c>
      <c r="F13" s="8">
        <v>3.26</v>
      </c>
      <c r="G13" s="12">
        <v>101</v>
      </c>
      <c r="H13" s="8">
        <v>7.88</v>
      </c>
      <c r="I13" s="12">
        <v>0</v>
      </c>
    </row>
    <row r="14" spans="2:9" ht="15" customHeight="1" x14ac:dyDescent="0.2">
      <c r="B14" t="s">
        <v>55</v>
      </c>
      <c r="C14" s="12">
        <v>131</v>
      </c>
      <c r="D14" s="8">
        <v>4.0999999999999996</v>
      </c>
      <c r="E14" s="12">
        <v>89</v>
      </c>
      <c r="F14" s="8">
        <v>4.68</v>
      </c>
      <c r="G14" s="12">
        <v>41</v>
      </c>
      <c r="H14" s="8">
        <v>3.2</v>
      </c>
      <c r="I14" s="12">
        <v>0</v>
      </c>
    </row>
    <row r="15" spans="2:9" ht="15" customHeight="1" x14ac:dyDescent="0.2">
      <c r="B15" t="s">
        <v>56</v>
      </c>
      <c r="C15" s="12">
        <v>442</v>
      </c>
      <c r="D15" s="8">
        <v>13.83</v>
      </c>
      <c r="E15" s="12">
        <v>386</v>
      </c>
      <c r="F15" s="8">
        <v>20.28</v>
      </c>
      <c r="G15" s="12">
        <v>55</v>
      </c>
      <c r="H15" s="8">
        <v>4.29</v>
      </c>
      <c r="I15" s="12">
        <v>0</v>
      </c>
    </row>
    <row r="16" spans="2:9" ht="15" customHeight="1" x14ac:dyDescent="0.2">
      <c r="B16" t="s">
        <v>57</v>
      </c>
      <c r="C16" s="12">
        <v>367</v>
      </c>
      <c r="D16" s="8">
        <v>11.48</v>
      </c>
      <c r="E16" s="12">
        <v>312</v>
      </c>
      <c r="F16" s="8">
        <v>16.399999999999999</v>
      </c>
      <c r="G16" s="12">
        <v>55</v>
      </c>
      <c r="H16" s="8">
        <v>4.29</v>
      </c>
      <c r="I16" s="12">
        <v>0</v>
      </c>
    </row>
    <row r="17" spans="2:9" ht="15" customHeight="1" x14ac:dyDescent="0.2">
      <c r="B17" t="s">
        <v>58</v>
      </c>
      <c r="C17" s="12">
        <v>114</v>
      </c>
      <c r="D17" s="8">
        <v>3.57</v>
      </c>
      <c r="E17" s="12">
        <v>85</v>
      </c>
      <c r="F17" s="8">
        <v>4.47</v>
      </c>
      <c r="G17" s="12">
        <v>24</v>
      </c>
      <c r="H17" s="8">
        <v>1.87</v>
      </c>
      <c r="I17" s="12">
        <v>1</v>
      </c>
    </row>
    <row r="18" spans="2:9" ht="15" customHeight="1" x14ac:dyDescent="0.2">
      <c r="B18" t="s">
        <v>59</v>
      </c>
      <c r="C18" s="12">
        <v>147</v>
      </c>
      <c r="D18" s="8">
        <v>4.5999999999999996</v>
      </c>
      <c r="E18" s="12">
        <v>89</v>
      </c>
      <c r="F18" s="8">
        <v>4.68</v>
      </c>
      <c r="G18" s="12">
        <v>58</v>
      </c>
      <c r="H18" s="8">
        <v>4.5199999999999996</v>
      </c>
      <c r="I18" s="12">
        <v>0</v>
      </c>
    </row>
    <row r="19" spans="2:9" ht="15" customHeight="1" x14ac:dyDescent="0.2">
      <c r="B19" t="s">
        <v>60</v>
      </c>
      <c r="C19" s="12">
        <v>109</v>
      </c>
      <c r="D19" s="8">
        <v>3.41</v>
      </c>
      <c r="E19" s="12">
        <v>72</v>
      </c>
      <c r="F19" s="8">
        <v>3.78</v>
      </c>
      <c r="G19" s="12">
        <v>34</v>
      </c>
      <c r="H19" s="8">
        <v>2.65</v>
      </c>
      <c r="I19" s="12">
        <v>1</v>
      </c>
    </row>
    <row r="20" spans="2:9" ht="15" customHeight="1" x14ac:dyDescent="0.2">
      <c r="B20" s="9" t="s">
        <v>191</v>
      </c>
      <c r="C20" s="12">
        <f>SUM(LTBL_22207[総数／事業所数])</f>
        <v>3196</v>
      </c>
      <c r="E20" s="12">
        <f>SUBTOTAL(109,LTBL_22207[個人／事業所数])</f>
        <v>1903</v>
      </c>
      <c r="G20" s="12">
        <f>SUBTOTAL(109,LTBL_22207[法人／事業所数])</f>
        <v>1282</v>
      </c>
      <c r="I20" s="12">
        <f>SUBTOTAL(109,LTBL_22207[法人以外の団体／事業所数])</f>
        <v>2</v>
      </c>
    </row>
    <row r="21" spans="2:9" ht="15" customHeight="1" x14ac:dyDescent="0.2">
      <c r="E21" s="11">
        <f>LTBL_22207[[#Totals],[個人／事業所数]]/LTBL_22207[[#Totals],[総数／事業所数]]</f>
        <v>0.59543178973717148</v>
      </c>
      <c r="G21" s="11">
        <f>LTBL_22207[[#Totals],[法人／事業所数]]/LTBL_22207[[#Totals],[総数／事業所数]]</f>
        <v>0.40112640801001254</v>
      </c>
      <c r="I21" s="11">
        <f>LTBL_22207[[#Totals],[法人以外の団体／事業所数]]/LTBL_22207[[#Totals],[総数／事業所数]]</f>
        <v>6.2578222778473093E-4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396</v>
      </c>
      <c r="D24" s="8">
        <v>12.39</v>
      </c>
      <c r="E24" s="12">
        <v>364</v>
      </c>
      <c r="F24" s="8">
        <v>19.13</v>
      </c>
      <c r="G24" s="12">
        <v>32</v>
      </c>
      <c r="H24" s="8">
        <v>2.5</v>
      </c>
      <c r="I24" s="12">
        <v>0</v>
      </c>
    </row>
    <row r="25" spans="2:9" ht="15" customHeight="1" x14ac:dyDescent="0.2">
      <c r="B25" t="s">
        <v>85</v>
      </c>
      <c r="C25" s="12">
        <v>320</v>
      </c>
      <c r="D25" s="8">
        <v>10.01</v>
      </c>
      <c r="E25" s="12">
        <v>285</v>
      </c>
      <c r="F25" s="8">
        <v>14.98</v>
      </c>
      <c r="G25" s="12">
        <v>35</v>
      </c>
      <c r="H25" s="8">
        <v>2.73</v>
      </c>
      <c r="I25" s="12">
        <v>0</v>
      </c>
    </row>
    <row r="26" spans="2:9" ht="15" customHeight="1" x14ac:dyDescent="0.2">
      <c r="B26" t="s">
        <v>79</v>
      </c>
      <c r="C26" s="12">
        <v>249</v>
      </c>
      <c r="D26" s="8">
        <v>7.79</v>
      </c>
      <c r="E26" s="12">
        <v>139</v>
      </c>
      <c r="F26" s="8">
        <v>7.3</v>
      </c>
      <c r="G26" s="12">
        <v>110</v>
      </c>
      <c r="H26" s="8">
        <v>8.58</v>
      </c>
      <c r="I26" s="12">
        <v>0</v>
      </c>
    </row>
    <row r="27" spans="2:9" ht="15" customHeight="1" x14ac:dyDescent="0.2">
      <c r="B27" t="s">
        <v>69</v>
      </c>
      <c r="C27" s="12">
        <v>233</v>
      </c>
      <c r="D27" s="8">
        <v>7.29</v>
      </c>
      <c r="E27" s="12">
        <v>108</v>
      </c>
      <c r="F27" s="8">
        <v>5.68</v>
      </c>
      <c r="G27" s="12">
        <v>125</v>
      </c>
      <c r="H27" s="8">
        <v>9.75</v>
      </c>
      <c r="I27" s="12">
        <v>0</v>
      </c>
    </row>
    <row r="28" spans="2:9" ht="15" customHeight="1" x14ac:dyDescent="0.2">
      <c r="B28" t="s">
        <v>70</v>
      </c>
      <c r="C28" s="12">
        <v>177</v>
      </c>
      <c r="D28" s="8">
        <v>5.54</v>
      </c>
      <c r="E28" s="12">
        <v>92</v>
      </c>
      <c r="F28" s="8">
        <v>4.83</v>
      </c>
      <c r="G28" s="12">
        <v>85</v>
      </c>
      <c r="H28" s="8">
        <v>6.63</v>
      </c>
      <c r="I28" s="12">
        <v>0</v>
      </c>
    </row>
    <row r="29" spans="2:9" ht="15" customHeight="1" x14ac:dyDescent="0.2">
      <c r="B29" t="s">
        <v>77</v>
      </c>
      <c r="C29" s="12">
        <v>157</v>
      </c>
      <c r="D29" s="8">
        <v>4.91</v>
      </c>
      <c r="E29" s="12">
        <v>125</v>
      </c>
      <c r="F29" s="8">
        <v>6.57</v>
      </c>
      <c r="G29" s="12">
        <v>32</v>
      </c>
      <c r="H29" s="8">
        <v>2.5</v>
      </c>
      <c r="I29" s="12">
        <v>0</v>
      </c>
    </row>
    <row r="30" spans="2:9" ht="15" customHeight="1" x14ac:dyDescent="0.2">
      <c r="B30" t="s">
        <v>71</v>
      </c>
      <c r="C30" s="12">
        <v>142</v>
      </c>
      <c r="D30" s="8">
        <v>4.4400000000000004</v>
      </c>
      <c r="E30" s="12">
        <v>45</v>
      </c>
      <c r="F30" s="8">
        <v>2.36</v>
      </c>
      <c r="G30" s="12">
        <v>97</v>
      </c>
      <c r="H30" s="8">
        <v>7.57</v>
      </c>
      <c r="I30" s="12">
        <v>0</v>
      </c>
    </row>
    <row r="31" spans="2:9" ht="15" customHeight="1" x14ac:dyDescent="0.2">
      <c r="B31" t="s">
        <v>81</v>
      </c>
      <c r="C31" s="12">
        <v>123</v>
      </c>
      <c r="D31" s="8">
        <v>3.85</v>
      </c>
      <c r="E31" s="12">
        <v>46</v>
      </c>
      <c r="F31" s="8">
        <v>2.42</v>
      </c>
      <c r="G31" s="12">
        <v>76</v>
      </c>
      <c r="H31" s="8">
        <v>5.93</v>
      </c>
      <c r="I31" s="12">
        <v>0</v>
      </c>
    </row>
    <row r="32" spans="2:9" ht="15" customHeight="1" x14ac:dyDescent="0.2">
      <c r="B32" t="s">
        <v>86</v>
      </c>
      <c r="C32" s="12">
        <v>114</v>
      </c>
      <c r="D32" s="8">
        <v>3.57</v>
      </c>
      <c r="E32" s="12">
        <v>85</v>
      </c>
      <c r="F32" s="8">
        <v>4.47</v>
      </c>
      <c r="G32" s="12">
        <v>24</v>
      </c>
      <c r="H32" s="8">
        <v>1.87</v>
      </c>
      <c r="I32" s="12">
        <v>1</v>
      </c>
    </row>
    <row r="33" spans="2:9" ht="15" customHeight="1" x14ac:dyDescent="0.2">
      <c r="B33" t="s">
        <v>87</v>
      </c>
      <c r="C33" s="12">
        <v>97</v>
      </c>
      <c r="D33" s="8">
        <v>3.04</v>
      </c>
      <c r="E33" s="12">
        <v>88</v>
      </c>
      <c r="F33" s="8">
        <v>4.62</v>
      </c>
      <c r="G33" s="12">
        <v>9</v>
      </c>
      <c r="H33" s="8">
        <v>0.7</v>
      </c>
      <c r="I33" s="12">
        <v>0</v>
      </c>
    </row>
    <row r="34" spans="2:9" ht="15" customHeight="1" x14ac:dyDescent="0.2">
      <c r="B34" t="s">
        <v>78</v>
      </c>
      <c r="C34" s="12">
        <v>89</v>
      </c>
      <c r="D34" s="8">
        <v>2.78</v>
      </c>
      <c r="E34" s="12">
        <v>58</v>
      </c>
      <c r="F34" s="8">
        <v>3.05</v>
      </c>
      <c r="G34" s="12">
        <v>31</v>
      </c>
      <c r="H34" s="8">
        <v>2.42</v>
      </c>
      <c r="I34" s="12">
        <v>0</v>
      </c>
    </row>
    <row r="35" spans="2:9" ht="15" customHeight="1" x14ac:dyDescent="0.2">
      <c r="B35" t="s">
        <v>76</v>
      </c>
      <c r="C35" s="12">
        <v>83</v>
      </c>
      <c r="D35" s="8">
        <v>2.6</v>
      </c>
      <c r="E35" s="12">
        <v>55</v>
      </c>
      <c r="F35" s="8">
        <v>2.89</v>
      </c>
      <c r="G35" s="12">
        <v>28</v>
      </c>
      <c r="H35" s="8">
        <v>2.1800000000000002</v>
      </c>
      <c r="I35" s="12">
        <v>0</v>
      </c>
    </row>
    <row r="36" spans="2:9" ht="15" customHeight="1" x14ac:dyDescent="0.2">
      <c r="B36" t="s">
        <v>83</v>
      </c>
      <c r="C36" s="12">
        <v>70</v>
      </c>
      <c r="D36" s="8">
        <v>2.19</v>
      </c>
      <c r="E36" s="12">
        <v>46</v>
      </c>
      <c r="F36" s="8">
        <v>2.42</v>
      </c>
      <c r="G36" s="12">
        <v>23</v>
      </c>
      <c r="H36" s="8">
        <v>1.79</v>
      </c>
      <c r="I36" s="12">
        <v>0</v>
      </c>
    </row>
    <row r="37" spans="2:9" ht="15" customHeight="1" x14ac:dyDescent="0.2">
      <c r="B37" t="s">
        <v>72</v>
      </c>
      <c r="C37" s="12">
        <v>60</v>
      </c>
      <c r="D37" s="8">
        <v>1.88</v>
      </c>
      <c r="E37" s="12">
        <v>22</v>
      </c>
      <c r="F37" s="8">
        <v>1.1599999999999999</v>
      </c>
      <c r="G37" s="12">
        <v>38</v>
      </c>
      <c r="H37" s="8">
        <v>2.96</v>
      </c>
      <c r="I37" s="12">
        <v>0</v>
      </c>
    </row>
    <row r="38" spans="2:9" ht="15" customHeight="1" x14ac:dyDescent="0.2">
      <c r="B38" t="s">
        <v>88</v>
      </c>
      <c r="C38" s="12">
        <v>59</v>
      </c>
      <c r="D38" s="8">
        <v>1.85</v>
      </c>
      <c r="E38" s="12">
        <v>56</v>
      </c>
      <c r="F38" s="8">
        <v>2.94</v>
      </c>
      <c r="G38" s="12">
        <v>3</v>
      </c>
      <c r="H38" s="8">
        <v>0.23</v>
      </c>
      <c r="I38" s="12">
        <v>0</v>
      </c>
    </row>
    <row r="39" spans="2:9" ht="15" customHeight="1" x14ac:dyDescent="0.2">
      <c r="B39" t="s">
        <v>82</v>
      </c>
      <c r="C39" s="12">
        <v>56</v>
      </c>
      <c r="D39" s="8">
        <v>1.75</v>
      </c>
      <c r="E39" s="12">
        <v>43</v>
      </c>
      <c r="F39" s="8">
        <v>2.2599999999999998</v>
      </c>
      <c r="G39" s="12">
        <v>13</v>
      </c>
      <c r="H39" s="8">
        <v>1.01</v>
      </c>
      <c r="I39" s="12">
        <v>0</v>
      </c>
    </row>
    <row r="40" spans="2:9" ht="15" customHeight="1" x14ac:dyDescent="0.2">
      <c r="B40" t="s">
        <v>90</v>
      </c>
      <c r="C40" s="12">
        <v>50</v>
      </c>
      <c r="D40" s="8">
        <v>1.56</v>
      </c>
      <c r="E40" s="12">
        <v>1</v>
      </c>
      <c r="F40" s="8">
        <v>0.05</v>
      </c>
      <c r="G40" s="12">
        <v>49</v>
      </c>
      <c r="H40" s="8">
        <v>3.82</v>
      </c>
      <c r="I40" s="12">
        <v>0</v>
      </c>
    </row>
    <row r="41" spans="2:9" ht="15" customHeight="1" x14ac:dyDescent="0.2">
      <c r="B41" t="s">
        <v>73</v>
      </c>
      <c r="C41" s="12">
        <v>43</v>
      </c>
      <c r="D41" s="8">
        <v>1.35</v>
      </c>
      <c r="E41" s="12">
        <v>14</v>
      </c>
      <c r="F41" s="8">
        <v>0.74</v>
      </c>
      <c r="G41" s="12">
        <v>29</v>
      </c>
      <c r="H41" s="8">
        <v>2.2599999999999998</v>
      </c>
      <c r="I41" s="12">
        <v>0</v>
      </c>
    </row>
    <row r="42" spans="2:9" ht="15" customHeight="1" x14ac:dyDescent="0.2">
      <c r="B42" t="s">
        <v>74</v>
      </c>
      <c r="C42" s="12">
        <v>37</v>
      </c>
      <c r="D42" s="8">
        <v>1.1599999999999999</v>
      </c>
      <c r="E42" s="12">
        <v>10</v>
      </c>
      <c r="F42" s="8">
        <v>0.53</v>
      </c>
      <c r="G42" s="12">
        <v>27</v>
      </c>
      <c r="H42" s="8">
        <v>2.11</v>
      </c>
      <c r="I42" s="12">
        <v>0</v>
      </c>
    </row>
    <row r="43" spans="2:9" ht="15" customHeight="1" x14ac:dyDescent="0.2">
      <c r="B43" t="s">
        <v>95</v>
      </c>
      <c r="C43" s="12">
        <v>36</v>
      </c>
      <c r="D43" s="8">
        <v>1.1299999999999999</v>
      </c>
      <c r="E43" s="12">
        <v>18</v>
      </c>
      <c r="F43" s="8">
        <v>0.95</v>
      </c>
      <c r="G43" s="12">
        <v>18</v>
      </c>
      <c r="H43" s="8">
        <v>1.4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191</v>
      </c>
      <c r="D47" s="8">
        <v>5.98</v>
      </c>
      <c r="E47" s="12">
        <v>173</v>
      </c>
      <c r="F47" s="8">
        <v>9.09</v>
      </c>
      <c r="G47" s="12">
        <v>18</v>
      </c>
      <c r="H47" s="8">
        <v>1.4</v>
      </c>
      <c r="I47" s="12">
        <v>0</v>
      </c>
    </row>
    <row r="48" spans="2:9" ht="15" customHeight="1" x14ac:dyDescent="0.2">
      <c r="B48" t="s">
        <v>116</v>
      </c>
      <c r="C48" s="12">
        <v>92</v>
      </c>
      <c r="D48" s="8">
        <v>2.88</v>
      </c>
      <c r="E48" s="12">
        <v>29</v>
      </c>
      <c r="F48" s="8">
        <v>1.52</v>
      </c>
      <c r="G48" s="12">
        <v>63</v>
      </c>
      <c r="H48" s="8">
        <v>4.91</v>
      </c>
      <c r="I48" s="12">
        <v>0</v>
      </c>
    </row>
    <row r="49" spans="2:9" ht="15" customHeight="1" x14ac:dyDescent="0.2">
      <c r="B49" t="s">
        <v>130</v>
      </c>
      <c r="C49" s="12">
        <v>77</v>
      </c>
      <c r="D49" s="8">
        <v>2.41</v>
      </c>
      <c r="E49" s="12">
        <v>75</v>
      </c>
      <c r="F49" s="8">
        <v>3.94</v>
      </c>
      <c r="G49" s="12">
        <v>2</v>
      </c>
      <c r="H49" s="8">
        <v>0.16</v>
      </c>
      <c r="I49" s="12">
        <v>0</v>
      </c>
    </row>
    <row r="50" spans="2:9" ht="15" customHeight="1" x14ac:dyDescent="0.2">
      <c r="B50" t="s">
        <v>118</v>
      </c>
      <c r="C50" s="12">
        <v>76</v>
      </c>
      <c r="D50" s="8">
        <v>2.38</v>
      </c>
      <c r="E50" s="12">
        <v>53</v>
      </c>
      <c r="F50" s="8">
        <v>2.79</v>
      </c>
      <c r="G50" s="12">
        <v>23</v>
      </c>
      <c r="H50" s="8">
        <v>1.79</v>
      </c>
      <c r="I50" s="12">
        <v>0</v>
      </c>
    </row>
    <row r="51" spans="2:9" ht="15" customHeight="1" x14ac:dyDescent="0.2">
      <c r="B51" t="s">
        <v>131</v>
      </c>
      <c r="C51" s="12">
        <v>76</v>
      </c>
      <c r="D51" s="8">
        <v>2.38</v>
      </c>
      <c r="E51" s="12">
        <v>76</v>
      </c>
      <c r="F51" s="8">
        <v>3.99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128</v>
      </c>
      <c r="C52" s="12">
        <v>75</v>
      </c>
      <c r="D52" s="8">
        <v>2.35</v>
      </c>
      <c r="E52" s="12">
        <v>63</v>
      </c>
      <c r="F52" s="8">
        <v>3.31</v>
      </c>
      <c r="G52" s="12">
        <v>12</v>
      </c>
      <c r="H52" s="8">
        <v>0.94</v>
      </c>
      <c r="I52" s="12">
        <v>0</v>
      </c>
    </row>
    <row r="53" spans="2:9" ht="15" customHeight="1" x14ac:dyDescent="0.2">
      <c r="B53" t="s">
        <v>134</v>
      </c>
      <c r="C53" s="12">
        <v>73</v>
      </c>
      <c r="D53" s="8">
        <v>2.2799999999999998</v>
      </c>
      <c r="E53" s="12">
        <v>69</v>
      </c>
      <c r="F53" s="8">
        <v>3.63</v>
      </c>
      <c r="G53" s="12">
        <v>4</v>
      </c>
      <c r="H53" s="8">
        <v>0.31</v>
      </c>
      <c r="I53" s="12">
        <v>0</v>
      </c>
    </row>
    <row r="54" spans="2:9" ht="15" customHeight="1" x14ac:dyDescent="0.2">
      <c r="B54" t="s">
        <v>121</v>
      </c>
      <c r="C54" s="12">
        <v>72</v>
      </c>
      <c r="D54" s="8">
        <v>2.25</v>
      </c>
      <c r="E54" s="12">
        <v>54</v>
      </c>
      <c r="F54" s="8">
        <v>2.84</v>
      </c>
      <c r="G54" s="12">
        <v>18</v>
      </c>
      <c r="H54" s="8">
        <v>1.4</v>
      </c>
      <c r="I54" s="12">
        <v>0</v>
      </c>
    </row>
    <row r="55" spans="2:9" ht="15" customHeight="1" x14ac:dyDescent="0.2">
      <c r="B55" t="s">
        <v>119</v>
      </c>
      <c r="C55" s="12">
        <v>70</v>
      </c>
      <c r="D55" s="8">
        <v>2.19</v>
      </c>
      <c r="E55" s="12">
        <v>27</v>
      </c>
      <c r="F55" s="8">
        <v>1.42</v>
      </c>
      <c r="G55" s="12">
        <v>43</v>
      </c>
      <c r="H55" s="8">
        <v>3.35</v>
      </c>
      <c r="I55" s="12">
        <v>0</v>
      </c>
    </row>
    <row r="56" spans="2:9" ht="15" customHeight="1" x14ac:dyDescent="0.2">
      <c r="B56" t="s">
        <v>124</v>
      </c>
      <c r="C56" s="12">
        <v>69</v>
      </c>
      <c r="D56" s="8">
        <v>2.16</v>
      </c>
      <c r="E56" s="12">
        <v>50</v>
      </c>
      <c r="F56" s="8">
        <v>2.63</v>
      </c>
      <c r="G56" s="12">
        <v>19</v>
      </c>
      <c r="H56" s="8">
        <v>1.48</v>
      </c>
      <c r="I56" s="12">
        <v>0</v>
      </c>
    </row>
    <row r="57" spans="2:9" ht="15" customHeight="1" x14ac:dyDescent="0.2">
      <c r="B57" t="s">
        <v>162</v>
      </c>
      <c r="C57" s="12">
        <v>69</v>
      </c>
      <c r="D57" s="8">
        <v>2.16</v>
      </c>
      <c r="E57" s="12">
        <v>65</v>
      </c>
      <c r="F57" s="8">
        <v>3.42</v>
      </c>
      <c r="G57" s="12">
        <v>4</v>
      </c>
      <c r="H57" s="8">
        <v>0.31</v>
      </c>
      <c r="I57" s="12">
        <v>0</v>
      </c>
    </row>
    <row r="58" spans="2:9" ht="15" customHeight="1" x14ac:dyDescent="0.2">
      <c r="B58" t="s">
        <v>133</v>
      </c>
      <c r="C58" s="12">
        <v>62</v>
      </c>
      <c r="D58" s="8">
        <v>1.94</v>
      </c>
      <c r="E58" s="12">
        <v>56</v>
      </c>
      <c r="F58" s="8">
        <v>2.94</v>
      </c>
      <c r="G58" s="12">
        <v>6</v>
      </c>
      <c r="H58" s="8">
        <v>0.47</v>
      </c>
      <c r="I58" s="12">
        <v>0</v>
      </c>
    </row>
    <row r="59" spans="2:9" ht="15" customHeight="1" x14ac:dyDescent="0.2">
      <c r="B59" t="s">
        <v>129</v>
      </c>
      <c r="C59" s="12">
        <v>61</v>
      </c>
      <c r="D59" s="8">
        <v>1.91</v>
      </c>
      <c r="E59" s="12">
        <v>59</v>
      </c>
      <c r="F59" s="8">
        <v>3.1</v>
      </c>
      <c r="G59" s="12">
        <v>2</v>
      </c>
      <c r="H59" s="8">
        <v>0.16</v>
      </c>
      <c r="I59" s="12">
        <v>0</v>
      </c>
    </row>
    <row r="60" spans="2:9" ht="15" customHeight="1" x14ac:dyDescent="0.2">
      <c r="B60" t="s">
        <v>126</v>
      </c>
      <c r="C60" s="12">
        <v>59</v>
      </c>
      <c r="D60" s="8">
        <v>1.85</v>
      </c>
      <c r="E60" s="12">
        <v>30</v>
      </c>
      <c r="F60" s="8">
        <v>1.58</v>
      </c>
      <c r="G60" s="12">
        <v>28</v>
      </c>
      <c r="H60" s="8">
        <v>2.1800000000000002</v>
      </c>
      <c r="I60" s="12">
        <v>0</v>
      </c>
    </row>
    <row r="61" spans="2:9" ht="15" customHeight="1" x14ac:dyDescent="0.2">
      <c r="B61" t="s">
        <v>135</v>
      </c>
      <c r="C61" s="12">
        <v>59</v>
      </c>
      <c r="D61" s="8">
        <v>1.85</v>
      </c>
      <c r="E61" s="12">
        <v>56</v>
      </c>
      <c r="F61" s="8">
        <v>2.94</v>
      </c>
      <c r="G61" s="12">
        <v>3</v>
      </c>
      <c r="H61" s="8">
        <v>0.23</v>
      </c>
      <c r="I61" s="12">
        <v>0</v>
      </c>
    </row>
    <row r="62" spans="2:9" ht="15" customHeight="1" x14ac:dyDescent="0.2">
      <c r="B62" t="s">
        <v>120</v>
      </c>
      <c r="C62" s="12">
        <v>50</v>
      </c>
      <c r="D62" s="8">
        <v>1.56</v>
      </c>
      <c r="E62" s="12">
        <v>17</v>
      </c>
      <c r="F62" s="8">
        <v>0.89</v>
      </c>
      <c r="G62" s="12">
        <v>33</v>
      </c>
      <c r="H62" s="8">
        <v>2.57</v>
      </c>
      <c r="I62" s="12">
        <v>0</v>
      </c>
    </row>
    <row r="63" spans="2:9" ht="15" customHeight="1" x14ac:dyDescent="0.2">
      <c r="B63" t="s">
        <v>123</v>
      </c>
      <c r="C63" s="12">
        <v>50</v>
      </c>
      <c r="D63" s="8">
        <v>1.56</v>
      </c>
      <c r="E63" s="12">
        <v>22</v>
      </c>
      <c r="F63" s="8">
        <v>1.1599999999999999</v>
      </c>
      <c r="G63" s="12">
        <v>28</v>
      </c>
      <c r="H63" s="8">
        <v>2.1800000000000002</v>
      </c>
      <c r="I63" s="12">
        <v>0</v>
      </c>
    </row>
    <row r="64" spans="2:9" ht="15" customHeight="1" x14ac:dyDescent="0.2">
      <c r="B64" t="s">
        <v>122</v>
      </c>
      <c r="C64" s="12">
        <v>48</v>
      </c>
      <c r="D64" s="8">
        <v>1.5</v>
      </c>
      <c r="E64" s="12">
        <v>25</v>
      </c>
      <c r="F64" s="8">
        <v>1.31</v>
      </c>
      <c r="G64" s="12">
        <v>23</v>
      </c>
      <c r="H64" s="8">
        <v>1.79</v>
      </c>
      <c r="I64" s="12">
        <v>0</v>
      </c>
    </row>
    <row r="65" spans="2:9" ht="15" customHeight="1" x14ac:dyDescent="0.2">
      <c r="B65" t="s">
        <v>153</v>
      </c>
      <c r="C65" s="12">
        <v>46</v>
      </c>
      <c r="D65" s="8">
        <v>1.44</v>
      </c>
      <c r="E65" s="12">
        <v>29</v>
      </c>
      <c r="F65" s="8">
        <v>1.52</v>
      </c>
      <c r="G65" s="12">
        <v>17</v>
      </c>
      <c r="H65" s="8">
        <v>1.33</v>
      </c>
      <c r="I65" s="12">
        <v>0</v>
      </c>
    </row>
    <row r="66" spans="2:9" ht="15" customHeight="1" x14ac:dyDescent="0.2">
      <c r="B66" t="s">
        <v>117</v>
      </c>
      <c r="C66" s="12">
        <v>43</v>
      </c>
      <c r="D66" s="8">
        <v>1.35</v>
      </c>
      <c r="E66" s="12">
        <v>14</v>
      </c>
      <c r="F66" s="8">
        <v>0.74</v>
      </c>
      <c r="G66" s="12">
        <v>29</v>
      </c>
      <c r="H66" s="8">
        <v>2.2599999999999998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F67C8-D587-4BCA-A93E-53AC4F471F0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211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346</v>
      </c>
      <c r="D6" s="8">
        <v>13.37</v>
      </c>
      <c r="E6" s="12">
        <v>119</v>
      </c>
      <c r="F6" s="8">
        <v>8.32</v>
      </c>
      <c r="G6" s="12">
        <v>227</v>
      </c>
      <c r="H6" s="8">
        <v>19.89</v>
      </c>
      <c r="I6" s="12">
        <v>0</v>
      </c>
    </row>
    <row r="7" spans="2:9" ht="15" customHeight="1" x14ac:dyDescent="0.2">
      <c r="B7" t="s">
        <v>48</v>
      </c>
      <c r="C7" s="12">
        <v>115</v>
      </c>
      <c r="D7" s="8">
        <v>4.4400000000000004</v>
      </c>
      <c r="E7" s="12">
        <v>40</v>
      </c>
      <c r="F7" s="8">
        <v>2.8</v>
      </c>
      <c r="G7" s="12">
        <v>75</v>
      </c>
      <c r="H7" s="8">
        <v>6.57</v>
      </c>
      <c r="I7" s="12">
        <v>0</v>
      </c>
    </row>
    <row r="8" spans="2:9" ht="15" customHeight="1" x14ac:dyDescent="0.2">
      <c r="B8" t="s">
        <v>49</v>
      </c>
      <c r="C8" s="12">
        <v>6</v>
      </c>
      <c r="D8" s="8">
        <v>0.23</v>
      </c>
      <c r="E8" s="12">
        <v>0</v>
      </c>
      <c r="F8" s="8">
        <v>0</v>
      </c>
      <c r="G8" s="12">
        <v>6</v>
      </c>
      <c r="H8" s="8">
        <v>0.53</v>
      </c>
      <c r="I8" s="12">
        <v>0</v>
      </c>
    </row>
    <row r="9" spans="2:9" ht="15" customHeight="1" x14ac:dyDescent="0.2">
      <c r="B9" t="s">
        <v>50</v>
      </c>
      <c r="C9" s="12">
        <v>14</v>
      </c>
      <c r="D9" s="8">
        <v>0.54</v>
      </c>
      <c r="E9" s="12">
        <v>2</v>
      </c>
      <c r="F9" s="8">
        <v>0.14000000000000001</v>
      </c>
      <c r="G9" s="12">
        <v>12</v>
      </c>
      <c r="H9" s="8">
        <v>1.05</v>
      </c>
      <c r="I9" s="12">
        <v>0</v>
      </c>
    </row>
    <row r="10" spans="2:9" ht="15" customHeight="1" x14ac:dyDescent="0.2">
      <c r="B10" t="s">
        <v>51</v>
      </c>
      <c r="C10" s="12">
        <v>9</v>
      </c>
      <c r="D10" s="8">
        <v>0.35</v>
      </c>
      <c r="E10" s="12">
        <v>2</v>
      </c>
      <c r="F10" s="8">
        <v>0.14000000000000001</v>
      </c>
      <c r="G10" s="12">
        <v>7</v>
      </c>
      <c r="H10" s="8">
        <v>0.61</v>
      </c>
      <c r="I10" s="12">
        <v>0</v>
      </c>
    </row>
    <row r="11" spans="2:9" ht="15" customHeight="1" x14ac:dyDescent="0.2">
      <c r="B11" t="s">
        <v>52</v>
      </c>
      <c r="C11" s="12">
        <v>574</v>
      </c>
      <c r="D11" s="8">
        <v>22.18</v>
      </c>
      <c r="E11" s="12">
        <v>279</v>
      </c>
      <c r="F11" s="8">
        <v>19.5</v>
      </c>
      <c r="G11" s="12">
        <v>295</v>
      </c>
      <c r="H11" s="8">
        <v>25.85</v>
      </c>
      <c r="I11" s="12">
        <v>0</v>
      </c>
    </row>
    <row r="12" spans="2:9" ht="15" customHeight="1" x14ac:dyDescent="0.2">
      <c r="B12" t="s">
        <v>53</v>
      </c>
      <c r="C12" s="12">
        <v>18</v>
      </c>
      <c r="D12" s="8">
        <v>0.7</v>
      </c>
      <c r="E12" s="12">
        <v>5</v>
      </c>
      <c r="F12" s="8">
        <v>0.35</v>
      </c>
      <c r="G12" s="12">
        <v>12</v>
      </c>
      <c r="H12" s="8">
        <v>1.05</v>
      </c>
      <c r="I12" s="12">
        <v>1</v>
      </c>
    </row>
    <row r="13" spans="2:9" ht="15" customHeight="1" x14ac:dyDescent="0.2">
      <c r="B13" t="s">
        <v>54</v>
      </c>
      <c r="C13" s="12">
        <v>269</v>
      </c>
      <c r="D13" s="8">
        <v>10.39</v>
      </c>
      <c r="E13" s="12">
        <v>116</v>
      </c>
      <c r="F13" s="8">
        <v>8.11</v>
      </c>
      <c r="G13" s="12">
        <v>153</v>
      </c>
      <c r="H13" s="8">
        <v>13.41</v>
      </c>
      <c r="I13" s="12">
        <v>0</v>
      </c>
    </row>
    <row r="14" spans="2:9" ht="15" customHeight="1" x14ac:dyDescent="0.2">
      <c r="B14" t="s">
        <v>55</v>
      </c>
      <c r="C14" s="12">
        <v>92</v>
      </c>
      <c r="D14" s="8">
        <v>3.55</v>
      </c>
      <c r="E14" s="12">
        <v>47</v>
      </c>
      <c r="F14" s="8">
        <v>3.28</v>
      </c>
      <c r="G14" s="12">
        <v>45</v>
      </c>
      <c r="H14" s="8">
        <v>3.94</v>
      </c>
      <c r="I14" s="12">
        <v>0</v>
      </c>
    </row>
    <row r="15" spans="2:9" ht="15" customHeight="1" x14ac:dyDescent="0.2">
      <c r="B15" t="s">
        <v>56</v>
      </c>
      <c r="C15" s="12">
        <v>566</v>
      </c>
      <c r="D15" s="8">
        <v>21.87</v>
      </c>
      <c r="E15" s="12">
        <v>409</v>
      </c>
      <c r="F15" s="8">
        <v>28.58</v>
      </c>
      <c r="G15" s="12">
        <v>156</v>
      </c>
      <c r="H15" s="8">
        <v>13.67</v>
      </c>
      <c r="I15" s="12">
        <v>0</v>
      </c>
    </row>
    <row r="16" spans="2:9" ht="15" customHeight="1" x14ac:dyDescent="0.2">
      <c r="B16" t="s">
        <v>57</v>
      </c>
      <c r="C16" s="12">
        <v>305</v>
      </c>
      <c r="D16" s="8">
        <v>11.79</v>
      </c>
      <c r="E16" s="12">
        <v>248</v>
      </c>
      <c r="F16" s="8">
        <v>17.329999999999998</v>
      </c>
      <c r="G16" s="12">
        <v>56</v>
      </c>
      <c r="H16" s="8">
        <v>4.91</v>
      </c>
      <c r="I16" s="12">
        <v>1</v>
      </c>
    </row>
    <row r="17" spans="2:9" ht="15" customHeight="1" x14ac:dyDescent="0.2">
      <c r="B17" t="s">
        <v>58</v>
      </c>
      <c r="C17" s="12">
        <v>84</v>
      </c>
      <c r="D17" s="8">
        <v>3.25</v>
      </c>
      <c r="E17" s="12">
        <v>57</v>
      </c>
      <c r="F17" s="8">
        <v>3.98</v>
      </c>
      <c r="G17" s="12">
        <v>22</v>
      </c>
      <c r="H17" s="8">
        <v>1.93</v>
      </c>
      <c r="I17" s="12">
        <v>4</v>
      </c>
    </row>
    <row r="18" spans="2:9" ht="15" customHeight="1" x14ac:dyDescent="0.2">
      <c r="B18" t="s">
        <v>59</v>
      </c>
      <c r="C18" s="12">
        <v>120</v>
      </c>
      <c r="D18" s="8">
        <v>4.6399999999999997</v>
      </c>
      <c r="E18" s="12">
        <v>78</v>
      </c>
      <c r="F18" s="8">
        <v>5.45</v>
      </c>
      <c r="G18" s="12">
        <v>37</v>
      </c>
      <c r="H18" s="8">
        <v>3.24</v>
      </c>
      <c r="I18" s="12">
        <v>1</v>
      </c>
    </row>
    <row r="19" spans="2:9" ht="15" customHeight="1" x14ac:dyDescent="0.2">
      <c r="B19" t="s">
        <v>60</v>
      </c>
      <c r="C19" s="12">
        <v>70</v>
      </c>
      <c r="D19" s="8">
        <v>2.7</v>
      </c>
      <c r="E19" s="12">
        <v>29</v>
      </c>
      <c r="F19" s="8">
        <v>2.0299999999999998</v>
      </c>
      <c r="G19" s="12">
        <v>38</v>
      </c>
      <c r="H19" s="8">
        <v>3.33</v>
      </c>
      <c r="I19" s="12">
        <v>2</v>
      </c>
    </row>
    <row r="20" spans="2:9" ht="15" customHeight="1" x14ac:dyDescent="0.2">
      <c r="B20" s="9" t="s">
        <v>191</v>
      </c>
      <c r="C20" s="12">
        <f>SUM(LTBL_22208[総数／事業所数])</f>
        <v>2588</v>
      </c>
      <c r="E20" s="12">
        <f>SUBTOTAL(109,LTBL_22208[個人／事業所数])</f>
        <v>1431</v>
      </c>
      <c r="G20" s="12">
        <f>SUBTOTAL(109,LTBL_22208[法人／事業所数])</f>
        <v>1141</v>
      </c>
      <c r="I20" s="12">
        <f>SUBTOTAL(109,LTBL_22208[法人以外の団体／事業所数])</f>
        <v>9</v>
      </c>
    </row>
    <row r="21" spans="2:9" ht="15" customHeight="1" x14ac:dyDescent="0.2">
      <c r="E21" s="11">
        <f>LTBL_22208[[#Totals],[個人／事業所数]]/LTBL_22208[[#Totals],[総数／事業所数]]</f>
        <v>0.55293663060278209</v>
      </c>
      <c r="G21" s="11">
        <f>LTBL_22208[[#Totals],[法人／事業所数]]/LTBL_22208[[#Totals],[総数／事業所数]]</f>
        <v>0.44088098918083463</v>
      </c>
      <c r="I21" s="11">
        <f>LTBL_22208[[#Totals],[法人以外の団体／事業所数]]/LTBL_22208[[#Totals],[総数／事業所数]]</f>
        <v>3.4775888717156105E-3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382</v>
      </c>
      <c r="D24" s="8">
        <v>14.76</v>
      </c>
      <c r="E24" s="12">
        <v>307</v>
      </c>
      <c r="F24" s="8">
        <v>21.45</v>
      </c>
      <c r="G24" s="12">
        <v>75</v>
      </c>
      <c r="H24" s="8">
        <v>6.57</v>
      </c>
      <c r="I24" s="12">
        <v>0</v>
      </c>
    </row>
    <row r="25" spans="2:9" ht="15" customHeight="1" x14ac:dyDescent="0.2">
      <c r="B25" t="s">
        <v>85</v>
      </c>
      <c r="C25" s="12">
        <v>228</v>
      </c>
      <c r="D25" s="8">
        <v>8.81</v>
      </c>
      <c r="E25" s="12">
        <v>199</v>
      </c>
      <c r="F25" s="8">
        <v>13.91</v>
      </c>
      <c r="G25" s="12">
        <v>28</v>
      </c>
      <c r="H25" s="8">
        <v>2.4500000000000002</v>
      </c>
      <c r="I25" s="12">
        <v>1</v>
      </c>
    </row>
    <row r="26" spans="2:9" ht="15" customHeight="1" x14ac:dyDescent="0.2">
      <c r="B26" t="s">
        <v>81</v>
      </c>
      <c r="C26" s="12">
        <v>194</v>
      </c>
      <c r="D26" s="8">
        <v>7.5</v>
      </c>
      <c r="E26" s="12">
        <v>109</v>
      </c>
      <c r="F26" s="8">
        <v>7.62</v>
      </c>
      <c r="G26" s="12">
        <v>85</v>
      </c>
      <c r="H26" s="8">
        <v>7.45</v>
      </c>
      <c r="I26" s="12">
        <v>0</v>
      </c>
    </row>
    <row r="27" spans="2:9" ht="15" customHeight="1" x14ac:dyDescent="0.2">
      <c r="B27" t="s">
        <v>77</v>
      </c>
      <c r="C27" s="12">
        <v>181</v>
      </c>
      <c r="D27" s="8">
        <v>6.99</v>
      </c>
      <c r="E27" s="12">
        <v>98</v>
      </c>
      <c r="F27" s="8">
        <v>6.85</v>
      </c>
      <c r="G27" s="12">
        <v>83</v>
      </c>
      <c r="H27" s="8">
        <v>7.27</v>
      </c>
      <c r="I27" s="12">
        <v>0</v>
      </c>
    </row>
    <row r="28" spans="2:9" ht="15" customHeight="1" x14ac:dyDescent="0.2">
      <c r="B28" t="s">
        <v>99</v>
      </c>
      <c r="C28" s="12">
        <v>174</v>
      </c>
      <c r="D28" s="8">
        <v>6.72</v>
      </c>
      <c r="E28" s="12">
        <v>97</v>
      </c>
      <c r="F28" s="8">
        <v>6.78</v>
      </c>
      <c r="G28" s="12">
        <v>77</v>
      </c>
      <c r="H28" s="8">
        <v>6.75</v>
      </c>
      <c r="I28" s="12">
        <v>0</v>
      </c>
    </row>
    <row r="29" spans="2:9" ht="15" customHeight="1" x14ac:dyDescent="0.2">
      <c r="B29" t="s">
        <v>79</v>
      </c>
      <c r="C29" s="12">
        <v>173</v>
      </c>
      <c r="D29" s="8">
        <v>6.68</v>
      </c>
      <c r="E29" s="12">
        <v>91</v>
      </c>
      <c r="F29" s="8">
        <v>6.36</v>
      </c>
      <c r="G29" s="12">
        <v>82</v>
      </c>
      <c r="H29" s="8">
        <v>7.19</v>
      </c>
      <c r="I29" s="12">
        <v>0</v>
      </c>
    </row>
    <row r="30" spans="2:9" ht="15" customHeight="1" x14ac:dyDescent="0.2">
      <c r="B30" t="s">
        <v>69</v>
      </c>
      <c r="C30" s="12">
        <v>151</v>
      </c>
      <c r="D30" s="8">
        <v>5.83</v>
      </c>
      <c r="E30" s="12">
        <v>47</v>
      </c>
      <c r="F30" s="8">
        <v>3.28</v>
      </c>
      <c r="G30" s="12">
        <v>104</v>
      </c>
      <c r="H30" s="8">
        <v>9.11</v>
      </c>
      <c r="I30" s="12">
        <v>0</v>
      </c>
    </row>
    <row r="31" spans="2:9" ht="15" customHeight="1" x14ac:dyDescent="0.2">
      <c r="B31" t="s">
        <v>70</v>
      </c>
      <c r="C31" s="12">
        <v>111</v>
      </c>
      <c r="D31" s="8">
        <v>4.29</v>
      </c>
      <c r="E31" s="12">
        <v>44</v>
      </c>
      <c r="F31" s="8">
        <v>3.07</v>
      </c>
      <c r="G31" s="12">
        <v>67</v>
      </c>
      <c r="H31" s="8">
        <v>5.87</v>
      </c>
      <c r="I31" s="12">
        <v>0</v>
      </c>
    </row>
    <row r="32" spans="2:9" ht="15" customHeight="1" x14ac:dyDescent="0.2">
      <c r="B32" t="s">
        <v>71</v>
      </c>
      <c r="C32" s="12">
        <v>84</v>
      </c>
      <c r="D32" s="8">
        <v>3.25</v>
      </c>
      <c r="E32" s="12">
        <v>28</v>
      </c>
      <c r="F32" s="8">
        <v>1.96</v>
      </c>
      <c r="G32" s="12">
        <v>56</v>
      </c>
      <c r="H32" s="8">
        <v>4.91</v>
      </c>
      <c r="I32" s="12">
        <v>0</v>
      </c>
    </row>
    <row r="33" spans="2:9" ht="15" customHeight="1" x14ac:dyDescent="0.2">
      <c r="B33" t="s">
        <v>86</v>
      </c>
      <c r="C33" s="12">
        <v>84</v>
      </c>
      <c r="D33" s="8">
        <v>3.25</v>
      </c>
      <c r="E33" s="12">
        <v>57</v>
      </c>
      <c r="F33" s="8">
        <v>3.98</v>
      </c>
      <c r="G33" s="12">
        <v>22</v>
      </c>
      <c r="H33" s="8">
        <v>1.93</v>
      </c>
      <c r="I33" s="12">
        <v>4</v>
      </c>
    </row>
    <row r="34" spans="2:9" ht="15" customHeight="1" x14ac:dyDescent="0.2">
      <c r="B34" t="s">
        <v>87</v>
      </c>
      <c r="C34" s="12">
        <v>84</v>
      </c>
      <c r="D34" s="8">
        <v>3.25</v>
      </c>
      <c r="E34" s="12">
        <v>77</v>
      </c>
      <c r="F34" s="8">
        <v>5.38</v>
      </c>
      <c r="G34" s="12">
        <v>7</v>
      </c>
      <c r="H34" s="8">
        <v>0.61</v>
      </c>
      <c r="I34" s="12">
        <v>0</v>
      </c>
    </row>
    <row r="35" spans="2:9" ht="15" customHeight="1" x14ac:dyDescent="0.2">
      <c r="B35" t="s">
        <v>76</v>
      </c>
      <c r="C35" s="12">
        <v>68</v>
      </c>
      <c r="D35" s="8">
        <v>2.63</v>
      </c>
      <c r="E35" s="12">
        <v>36</v>
      </c>
      <c r="F35" s="8">
        <v>2.52</v>
      </c>
      <c r="G35" s="12">
        <v>32</v>
      </c>
      <c r="H35" s="8">
        <v>2.8</v>
      </c>
      <c r="I35" s="12">
        <v>0</v>
      </c>
    </row>
    <row r="36" spans="2:9" ht="15" customHeight="1" x14ac:dyDescent="0.2">
      <c r="B36" t="s">
        <v>80</v>
      </c>
      <c r="C36" s="12">
        <v>64</v>
      </c>
      <c r="D36" s="8">
        <v>2.4700000000000002</v>
      </c>
      <c r="E36" s="12">
        <v>2</v>
      </c>
      <c r="F36" s="8">
        <v>0.14000000000000001</v>
      </c>
      <c r="G36" s="12">
        <v>62</v>
      </c>
      <c r="H36" s="8">
        <v>5.43</v>
      </c>
      <c r="I36" s="12">
        <v>0</v>
      </c>
    </row>
    <row r="37" spans="2:9" ht="15" customHeight="1" x14ac:dyDescent="0.2">
      <c r="B37" t="s">
        <v>78</v>
      </c>
      <c r="C37" s="12">
        <v>52</v>
      </c>
      <c r="D37" s="8">
        <v>2.0099999999999998</v>
      </c>
      <c r="E37" s="12">
        <v>31</v>
      </c>
      <c r="F37" s="8">
        <v>2.17</v>
      </c>
      <c r="G37" s="12">
        <v>21</v>
      </c>
      <c r="H37" s="8">
        <v>1.84</v>
      </c>
      <c r="I37" s="12">
        <v>0</v>
      </c>
    </row>
    <row r="38" spans="2:9" ht="15" customHeight="1" x14ac:dyDescent="0.2">
      <c r="B38" t="s">
        <v>83</v>
      </c>
      <c r="C38" s="12">
        <v>46</v>
      </c>
      <c r="D38" s="8">
        <v>1.78</v>
      </c>
      <c r="E38" s="12">
        <v>15</v>
      </c>
      <c r="F38" s="8">
        <v>1.05</v>
      </c>
      <c r="G38" s="12">
        <v>31</v>
      </c>
      <c r="H38" s="8">
        <v>2.72</v>
      </c>
      <c r="I38" s="12">
        <v>0</v>
      </c>
    </row>
    <row r="39" spans="2:9" ht="15" customHeight="1" x14ac:dyDescent="0.2">
      <c r="B39" t="s">
        <v>100</v>
      </c>
      <c r="C39" s="12">
        <v>45</v>
      </c>
      <c r="D39" s="8">
        <v>1.74</v>
      </c>
      <c r="E39" s="12">
        <v>13</v>
      </c>
      <c r="F39" s="8">
        <v>0.91</v>
      </c>
      <c r="G39" s="12">
        <v>32</v>
      </c>
      <c r="H39" s="8">
        <v>2.8</v>
      </c>
      <c r="I39" s="12">
        <v>0</v>
      </c>
    </row>
    <row r="40" spans="2:9" ht="15" customHeight="1" x14ac:dyDescent="0.2">
      <c r="B40" t="s">
        <v>82</v>
      </c>
      <c r="C40" s="12">
        <v>45</v>
      </c>
      <c r="D40" s="8">
        <v>1.74</v>
      </c>
      <c r="E40" s="12">
        <v>32</v>
      </c>
      <c r="F40" s="8">
        <v>2.2400000000000002</v>
      </c>
      <c r="G40" s="12">
        <v>13</v>
      </c>
      <c r="H40" s="8">
        <v>1.1399999999999999</v>
      </c>
      <c r="I40" s="12">
        <v>0</v>
      </c>
    </row>
    <row r="41" spans="2:9" ht="15" customHeight="1" x14ac:dyDescent="0.2">
      <c r="B41" t="s">
        <v>101</v>
      </c>
      <c r="C41" s="12">
        <v>42</v>
      </c>
      <c r="D41" s="8">
        <v>1.62</v>
      </c>
      <c r="E41" s="12">
        <v>25</v>
      </c>
      <c r="F41" s="8">
        <v>1.75</v>
      </c>
      <c r="G41" s="12">
        <v>17</v>
      </c>
      <c r="H41" s="8">
        <v>1.49</v>
      </c>
      <c r="I41" s="12">
        <v>0</v>
      </c>
    </row>
    <row r="42" spans="2:9" ht="15" customHeight="1" x14ac:dyDescent="0.2">
      <c r="B42" t="s">
        <v>93</v>
      </c>
      <c r="C42" s="12">
        <v>36</v>
      </c>
      <c r="D42" s="8">
        <v>1.39</v>
      </c>
      <c r="E42" s="12">
        <v>11</v>
      </c>
      <c r="F42" s="8">
        <v>0.77</v>
      </c>
      <c r="G42" s="12">
        <v>25</v>
      </c>
      <c r="H42" s="8">
        <v>2.19</v>
      </c>
      <c r="I42" s="12">
        <v>0</v>
      </c>
    </row>
    <row r="43" spans="2:9" ht="15" customHeight="1" x14ac:dyDescent="0.2">
      <c r="B43" t="s">
        <v>90</v>
      </c>
      <c r="C43" s="12">
        <v>36</v>
      </c>
      <c r="D43" s="8">
        <v>1.39</v>
      </c>
      <c r="E43" s="12">
        <v>1</v>
      </c>
      <c r="F43" s="8">
        <v>7.0000000000000007E-2</v>
      </c>
      <c r="G43" s="12">
        <v>30</v>
      </c>
      <c r="H43" s="8">
        <v>2.63</v>
      </c>
      <c r="I43" s="12">
        <v>1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136</v>
      </c>
      <c r="D47" s="8">
        <v>5.26</v>
      </c>
      <c r="E47" s="12">
        <v>89</v>
      </c>
      <c r="F47" s="8">
        <v>6.22</v>
      </c>
      <c r="G47" s="12">
        <v>47</v>
      </c>
      <c r="H47" s="8">
        <v>4.12</v>
      </c>
      <c r="I47" s="12">
        <v>0</v>
      </c>
    </row>
    <row r="48" spans="2:9" ht="15" customHeight="1" x14ac:dyDescent="0.2">
      <c r="B48" t="s">
        <v>160</v>
      </c>
      <c r="C48" s="12">
        <v>124</v>
      </c>
      <c r="D48" s="8">
        <v>4.79</v>
      </c>
      <c r="E48" s="12">
        <v>92</v>
      </c>
      <c r="F48" s="8">
        <v>6.43</v>
      </c>
      <c r="G48" s="12">
        <v>32</v>
      </c>
      <c r="H48" s="8">
        <v>2.8</v>
      </c>
      <c r="I48" s="12">
        <v>0</v>
      </c>
    </row>
    <row r="49" spans="2:9" ht="15" customHeight="1" x14ac:dyDescent="0.2">
      <c r="B49" t="s">
        <v>132</v>
      </c>
      <c r="C49" s="12">
        <v>122</v>
      </c>
      <c r="D49" s="8">
        <v>4.71</v>
      </c>
      <c r="E49" s="12">
        <v>110</v>
      </c>
      <c r="F49" s="8">
        <v>7.69</v>
      </c>
      <c r="G49" s="12">
        <v>12</v>
      </c>
      <c r="H49" s="8">
        <v>1.05</v>
      </c>
      <c r="I49" s="12">
        <v>0</v>
      </c>
    </row>
    <row r="50" spans="2:9" ht="15" customHeight="1" x14ac:dyDescent="0.2">
      <c r="B50" t="s">
        <v>128</v>
      </c>
      <c r="C50" s="12">
        <v>114</v>
      </c>
      <c r="D50" s="8">
        <v>4.4000000000000004</v>
      </c>
      <c r="E50" s="12">
        <v>94</v>
      </c>
      <c r="F50" s="8">
        <v>6.57</v>
      </c>
      <c r="G50" s="12">
        <v>20</v>
      </c>
      <c r="H50" s="8">
        <v>1.75</v>
      </c>
      <c r="I50" s="12">
        <v>0</v>
      </c>
    </row>
    <row r="51" spans="2:9" ht="15" customHeight="1" x14ac:dyDescent="0.2">
      <c r="B51" t="s">
        <v>121</v>
      </c>
      <c r="C51" s="12">
        <v>83</v>
      </c>
      <c r="D51" s="8">
        <v>3.21</v>
      </c>
      <c r="E51" s="12">
        <v>42</v>
      </c>
      <c r="F51" s="8">
        <v>2.94</v>
      </c>
      <c r="G51" s="12">
        <v>41</v>
      </c>
      <c r="H51" s="8">
        <v>3.59</v>
      </c>
      <c r="I51" s="12">
        <v>0</v>
      </c>
    </row>
    <row r="52" spans="2:9" ht="15" customHeight="1" x14ac:dyDescent="0.2">
      <c r="B52" t="s">
        <v>124</v>
      </c>
      <c r="C52" s="12">
        <v>63</v>
      </c>
      <c r="D52" s="8">
        <v>2.4300000000000002</v>
      </c>
      <c r="E52" s="12">
        <v>39</v>
      </c>
      <c r="F52" s="8">
        <v>2.73</v>
      </c>
      <c r="G52" s="12">
        <v>24</v>
      </c>
      <c r="H52" s="8">
        <v>2.1</v>
      </c>
      <c r="I52" s="12">
        <v>0</v>
      </c>
    </row>
    <row r="53" spans="2:9" ht="15" customHeight="1" x14ac:dyDescent="0.2">
      <c r="B53" t="s">
        <v>129</v>
      </c>
      <c r="C53" s="12">
        <v>62</v>
      </c>
      <c r="D53" s="8">
        <v>2.4</v>
      </c>
      <c r="E53" s="12">
        <v>56</v>
      </c>
      <c r="F53" s="8">
        <v>3.91</v>
      </c>
      <c r="G53" s="12">
        <v>6</v>
      </c>
      <c r="H53" s="8">
        <v>0.53</v>
      </c>
      <c r="I53" s="12">
        <v>0</v>
      </c>
    </row>
    <row r="54" spans="2:9" ht="15" customHeight="1" x14ac:dyDescent="0.2">
      <c r="B54" t="s">
        <v>131</v>
      </c>
      <c r="C54" s="12">
        <v>61</v>
      </c>
      <c r="D54" s="8">
        <v>2.36</v>
      </c>
      <c r="E54" s="12">
        <v>61</v>
      </c>
      <c r="F54" s="8">
        <v>4.26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130</v>
      </c>
      <c r="C55" s="12">
        <v>60</v>
      </c>
      <c r="D55" s="8">
        <v>2.3199999999999998</v>
      </c>
      <c r="E55" s="12">
        <v>55</v>
      </c>
      <c r="F55" s="8">
        <v>3.84</v>
      </c>
      <c r="G55" s="12">
        <v>5</v>
      </c>
      <c r="H55" s="8">
        <v>0.44</v>
      </c>
      <c r="I55" s="12">
        <v>0</v>
      </c>
    </row>
    <row r="56" spans="2:9" ht="15" customHeight="1" x14ac:dyDescent="0.2">
      <c r="B56" t="s">
        <v>139</v>
      </c>
      <c r="C56" s="12">
        <v>56</v>
      </c>
      <c r="D56" s="8">
        <v>2.16</v>
      </c>
      <c r="E56" s="12">
        <v>47</v>
      </c>
      <c r="F56" s="8">
        <v>3.28</v>
      </c>
      <c r="G56" s="12">
        <v>9</v>
      </c>
      <c r="H56" s="8">
        <v>0.79</v>
      </c>
      <c r="I56" s="12">
        <v>0</v>
      </c>
    </row>
    <row r="57" spans="2:9" ht="15" customHeight="1" x14ac:dyDescent="0.2">
      <c r="B57" t="s">
        <v>134</v>
      </c>
      <c r="C57" s="12">
        <v>54</v>
      </c>
      <c r="D57" s="8">
        <v>2.09</v>
      </c>
      <c r="E57" s="12">
        <v>50</v>
      </c>
      <c r="F57" s="8">
        <v>3.49</v>
      </c>
      <c r="G57" s="12">
        <v>4</v>
      </c>
      <c r="H57" s="8">
        <v>0.35</v>
      </c>
      <c r="I57" s="12">
        <v>0</v>
      </c>
    </row>
    <row r="58" spans="2:9" ht="15" customHeight="1" x14ac:dyDescent="0.2">
      <c r="B58" t="s">
        <v>161</v>
      </c>
      <c r="C58" s="12">
        <v>50</v>
      </c>
      <c r="D58" s="8">
        <v>1.93</v>
      </c>
      <c r="E58" s="12">
        <v>30</v>
      </c>
      <c r="F58" s="8">
        <v>2.1</v>
      </c>
      <c r="G58" s="12">
        <v>20</v>
      </c>
      <c r="H58" s="8">
        <v>1.75</v>
      </c>
      <c r="I58" s="12">
        <v>0</v>
      </c>
    </row>
    <row r="59" spans="2:9" ht="15" customHeight="1" x14ac:dyDescent="0.2">
      <c r="B59" t="s">
        <v>133</v>
      </c>
      <c r="C59" s="12">
        <v>49</v>
      </c>
      <c r="D59" s="8">
        <v>1.89</v>
      </c>
      <c r="E59" s="12">
        <v>38</v>
      </c>
      <c r="F59" s="8">
        <v>2.66</v>
      </c>
      <c r="G59" s="12">
        <v>11</v>
      </c>
      <c r="H59" s="8">
        <v>0.96</v>
      </c>
      <c r="I59" s="12">
        <v>0</v>
      </c>
    </row>
    <row r="60" spans="2:9" ht="15" customHeight="1" x14ac:dyDescent="0.2">
      <c r="B60" t="s">
        <v>116</v>
      </c>
      <c r="C60" s="12">
        <v>48</v>
      </c>
      <c r="D60" s="8">
        <v>1.85</v>
      </c>
      <c r="E60" s="12">
        <v>17</v>
      </c>
      <c r="F60" s="8">
        <v>1.19</v>
      </c>
      <c r="G60" s="12">
        <v>31</v>
      </c>
      <c r="H60" s="8">
        <v>2.72</v>
      </c>
      <c r="I60" s="12">
        <v>0</v>
      </c>
    </row>
    <row r="61" spans="2:9" ht="15" customHeight="1" x14ac:dyDescent="0.2">
      <c r="B61" t="s">
        <v>136</v>
      </c>
      <c r="C61" s="12">
        <v>46</v>
      </c>
      <c r="D61" s="8">
        <v>1.78</v>
      </c>
      <c r="E61" s="12">
        <v>24</v>
      </c>
      <c r="F61" s="8">
        <v>1.68</v>
      </c>
      <c r="G61" s="12">
        <v>22</v>
      </c>
      <c r="H61" s="8">
        <v>1.93</v>
      </c>
      <c r="I61" s="12">
        <v>0</v>
      </c>
    </row>
    <row r="62" spans="2:9" ht="15" customHeight="1" x14ac:dyDescent="0.2">
      <c r="B62" t="s">
        <v>119</v>
      </c>
      <c r="C62" s="12">
        <v>42</v>
      </c>
      <c r="D62" s="8">
        <v>1.62</v>
      </c>
      <c r="E62" s="12">
        <v>17</v>
      </c>
      <c r="F62" s="8">
        <v>1.19</v>
      </c>
      <c r="G62" s="12">
        <v>25</v>
      </c>
      <c r="H62" s="8">
        <v>2.19</v>
      </c>
      <c r="I62" s="12">
        <v>0</v>
      </c>
    </row>
    <row r="63" spans="2:9" ht="15" customHeight="1" x14ac:dyDescent="0.2">
      <c r="B63" t="s">
        <v>163</v>
      </c>
      <c r="C63" s="12">
        <v>39</v>
      </c>
      <c r="D63" s="8">
        <v>1.51</v>
      </c>
      <c r="E63" s="12">
        <v>0</v>
      </c>
      <c r="F63" s="8">
        <v>0</v>
      </c>
      <c r="G63" s="12">
        <v>39</v>
      </c>
      <c r="H63" s="8">
        <v>3.42</v>
      </c>
      <c r="I63" s="12">
        <v>0</v>
      </c>
    </row>
    <row r="64" spans="2:9" ht="15" customHeight="1" x14ac:dyDescent="0.2">
      <c r="B64" t="s">
        <v>149</v>
      </c>
      <c r="C64" s="12">
        <v>38</v>
      </c>
      <c r="D64" s="8">
        <v>1.47</v>
      </c>
      <c r="E64" s="12">
        <v>9</v>
      </c>
      <c r="F64" s="8">
        <v>0.63</v>
      </c>
      <c r="G64" s="12">
        <v>29</v>
      </c>
      <c r="H64" s="8">
        <v>2.54</v>
      </c>
      <c r="I64" s="12">
        <v>0</v>
      </c>
    </row>
    <row r="65" spans="2:9" ht="15" customHeight="1" x14ac:dyDescent="0.2">
      <c r="B65" t="s">
        <v>138</v>
      </c>
      <c r="C65" s="12">
        <v>38</v>
      </c>
      <c r="D65" s="8">
        <v>1.47</v>
      </c>
      <c r="E65" s="12">
        <v>2</v>
      </c>
      <c r="F65" s="8">
        <v>0.14000000000000001</v>
      </c>
      <c r="G65" s="12">
        <v>36</v>
      </c>
      <c r="H65" s="8">
        <v>3.16</v>
      </c>
      <c r="I65" s="12">
        <v>0</v>
      </c>
    </row>
    <row r="66" spans="2:9" ht="15" customHeight="1" x14ac:dyDescent="0.2">
      <c r="B66" t="s">
        <v>120</v>
      </c>
      <c r="C66" s="12">
        <v>36</v>
      </c>
      <c r="D66" s="8">
        <v>1.39</v>
      </c>
      <c r="E66" s="12">
        <v>9</v>
      </c>
      <c r="F66" s="8">
        <v>0.63</v>
      </c>
      <c r="G66" s="12">
        <v>27</v>
      </c>
      <c r="H66" s="8">
        <v>2.37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26BBA-167E-48B4-84F5-4BC49A49959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212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3</v>
      </c>
      <c r="D5" s="8">
        <v>0.12</v>
      </c>
      <c r="E5" s="12">
        <v>0</v>
      </c>
      <c r="F5" s="8">
        <v>0</v>
      </c>
      <c r="G5" s="12">
        <v>3</v>
      </c>
      <c r="H5" s="8">
        <v>0.32</v>
      </c>
      <c r="I5" s="12">
        <v>0</v>
      </c>
    </row>
    <row r="6" spans="2:9" ht="15" customHeight="1" x14ac:dyDescent="0.2">
      <c r="B6" t="s">
        <v>47</v>
      </c>
      <c r="C6" s="12">
        <v>397</v>
      </c>
      <c r="D6" s="8">
        <v>15.51</v>
      </c>
      <c r="E6" s="12">
        <v>207</v>
      </c>
      <c r="F6" s="8">
        <v>12.95</v>
      </c>
      <c r="G6" s="12">
        <v>190</v>
      </c>
      <c r="H6" s="8">
        <v>20.23</v>
      </c>
      <c r="I6" s="12">
        <v>0</v>
      </c>
    </row>
    <row r="7" spans="2:9" ht="15" customHeight="1" x14ac:dyDescent="0.2">
      <c r="B7" t="s">
        <v>48</v>
      </c>
      <c r="C7" s="12">
        <v>332</v>
      </c>
      <c r="D7" s="8">
        <v>12.97</v>
      </c>
      <c r="E7" s="12">
        <v>130</v>
      </c>
      <c r="F7" s="8">
        <v>8.14</v>
      </c>
      <c r="G7" s="12">
        <v>200</v>
      </c>
      <c r="H7" s="8">
        <v>21.3</v>
      </c>
      <c r="I7" s="12">
        <v>2</v>
      </c>
    </row>
    <row r="8" spans="2:9" ht="15" customHeight="1" x14ac:dyDescent="0.2">
      <c r="B8" t="s">
        <v>49</v>
      </c>
      <c r="C8" s="12">
        <v>8</v>
      </c>
      <c r="D8" s="8">
        <v>0.31</v>
      </c>
      <c r="E8" s="12">
        <v>3</v>
      </c>
      <c r="F8" s="8">
        <v>0.19</v>
      </c>
      <c r="G8" s="12">
        <v>4</v>
      </c>
      <c r="H8" s="8">
        <v>0.43</v>
      </c>
      <c r="I8" s="12">
        <v>0</v>
      </c>
    </row>
    <row r="9" spans="2:9" ht="15" customHeight="1" x14ac:dyDescent="0.2">
      <c r="B9" t="s">
        <v>50</v>
      </c>
      <c r="C9" s="12">
        <v>21</v>
      </c>
      <c r="D9" s="8">
        <v>0.82</v>
      </c>
      <c r="E9" s="12">
        <v>3</v>
      </c>
      <c r="F9" s="8">
        <v>0.19</v>
      </c>
      <c r="G9" s="12">
        <v>18</v>
      </c>
      <c r="H9" s="8">
        <v>1.92</v>
      </c>
      <c r="I9" s="12">
        <v>0</v>
      </c>
    </row>
    <row r="10" spans="2:9" ht="15" customHeight="1" x14ac:dyDescent="0.2">
      <c r="B10" t="s">
        <v>51</v>
      </c>
      <c r="C10" s="12">
        <v>19</v>
      </c>
      <c r="D10" s="8">
        <v>0.74</v>
      </c>
      <c r="E10" s="12">
        <v>4</v>
      </c>
      <c r="F10" s="8">
        <v>0.25</v>
      </c>
      <c r="G10" s="12">
        <v>15</v>
      </c>
      <c r="H10" s="8">
        <v>1.6</v>
      </c>
      <c r="I10" s="12">
        <v>0</v>
      </c>
    </row>
    <row r="11" spans="2:9" ht="15" customHeight="1" x14ac:dyDescent="0.2">
      <c r="B11" t="s">
        <v>52</v>
      </c>
      <c r="C11" s="12">
        <v>575</v>
      </c>
      <c r="D11" s="8">
        <v>22.47</v>
      </c>
      <c r="E11" s="12">
        <v>357</v>
      </c>
      <c r="F11" s="8">
        <v>22.34</v>
      </c>
      <c r="G11" s="12">
        <v>217</v>
      </c>
      <c r="H11" s="8">
        <v>23.11</v>
      </c>
      <c r="I11" s="12">
        <v>1</v>
      </c>
    </row>
    <row r="12" spans="2:9" ht="15" customHeight="1" x14ac:dyDescent="0.2">
      <c r="B12" t="s">
        <v>53</v>
      </c>
      <c r="C12" s="12">
        <v>25</v>
      </c>
      <c r="D12" s="8">
        <v>0.98</v>
      </c>
      <c r="E12" s="12">
        <v>5</v>
      </c>
      <c r="F12" s="8">
        <v>0.31</v>
      </c>
      <c r="G12" s="12">
        <v>19</v>
      </c>
      <c r="H12" s="8">
        <v>2.02</v>
      </c>
      <c r="I12" s="12">
        <v>1</v>
      </c>
    </row>
    <row r="13" spans="2:9" ht="15" customHeight="1" x14ac:dyDescent="0.2">
      <c r="B13" t="s">
        <v>54</v>
      </c>
      <c r="C13" s="12">
        <v>197</v>
      </c>
      <c r="D13" s="8">
        <v>7.7</v>
      </c>
      <c r="E13" s="12">
        <v>143</v>
      </c>
      <c r="F13" s="8">
        <v>8.9499999999999993</v>
      </c>
      <c r="G13" s="12">
        <v>54</v>
      </c>
      <c r="H13" s="8">
        <v>5.75</v>
      </c>
      <c r="I13" s="12">
        <v>0</v>
      </c>
    </row>
    <row r="14" spans="2:9" ht="15" customHeight="1" x14ac:dyDescent="0.2">
      <c r="B14" t="s">
        <v>55</v>
      </c>
      <c r="C14" s="12">
        <v>121</v>
      </c>
      <c r="D14" s="8">
        <v>4.7300000000000004</v>
      </c>
      <c r="E14" s="12">
        <v>84</v>
      </c>
      <c r="F14" s="8">
        <v>5.26</v>
      </c>
      <c r="G14" s="12">
        <v>36</v>
      </c>
      <c r="H14" s="8">
        <v>3.83</v>
      </c>
      <c r="I14" s="12">
        <v>0</v>
      </c>
    </row>
    <row r="15" spans="2:9" ht="15" customHeight="1" x14ac:dyDescent="0.2">
      <c r="B15" t="s">
        <v>56</v>
      </c>
      <c r="C15" s="12">
        <v>272</v>
      </c>
      <c r="D15" s="8">
        <v>10.63</v>
      </c>
      <c r="E15" s="12">
        <v>220</v>
      </c>
      <c r="F15" s="8">
        <v>13.77</v>
      </c>
      <c r="G15" s="12">
        <v>50</v>
      </c>
      <c r="H15" s="8">
        <v>5.32</v>
      </c>
      <c r="I15" s="12">
        <v>1</v>
      </c>
    </row>
    <row r="16" spans="2:9" ht="15" customHeight="1" x14ac:dyDescent="0.2">
      <c r="B16" t="s">
        <v>57</v>
      </c>
      <c r="C16" s="12">
        <v>324</v>
      </c>
      <c r="D16" s="8">
        <v>12.66</v>
      </c>
      <c r="E16" s="12">
        <v>274</v>
      </c>
      <c r="F16" s="8">
        <v>17.149999999999999</v>
      </c>
      <c r="G16" s="12">
        <v>50</v>
      </c>
      <c r="H16" s="8">
        <v>5.32</v>
      </c>
      <c r="I16" s="12">
        <v>0</v>
      </c>
    </row>
    <row r="17" spans="2:9" ht="15" customHeight="1" x14ac:dyDescent="0.2">
      <c r="B17" t="s">
        <v>58</v>
      </c>
      <c r="C17" s="12">
        <v>87</v>
      </c>
      <c r="D17" s="8">
        <v>3.4</v>
      </c>
      <c r="E17" s="12">
        <v>67</v>
      </c>
      <c r="F17" s="8">
        <v>4.1900000000000004</v>
      </c>
      <c r="G17" s="12">
        <v>16</v>
      </c>
      <c r="H17" s="8">
        <v>1.7</v>
      </c>
      <c r="I17" s="12">
        <v>0</v>
      </c>
    </row>
    <row r="18" spans="2:9" ht="15" customHeight="1" x14ac:dyDescent="0.2">
      <c r="B18" t="s">
        <v>59</v>
      </c>
      <c r="C18" s="12">
        <v>103</v>
      </c>
      <c r="D18" s="8">
        <v>4.03</v>
      </c>
      <c r="E18" s="12">
        <v>62</v>
      </c>
      <c r="F18" s="8">
        <v>3.88</v>
      </c>
      <c r="G18" s="12">
        <v>36</v>
      </c>
      <c r="H18" s="8">
        <v>3.83</v>
      </c>
      <c r="I18" s="12">
        <v>0</v>
      </c>
    </row>
    <row r="19" spans="2:9" ht="15" customHeight="1" x14ac:dyDescent="0.2">
      <c r="B19" t="s">
        <v>60</v>
      </c>
      <c r="C19" s="12">
        <v>75</v>
      </c>
      <c r="D19" s="8">
        <v>2.93</v>
      </c>
      <c r="E19" s="12">
        <v>39</v>
      </c>
      <c r="F19" s="8">
        <v>2.44</v>
      </c>
      <c r="G19" s="12">
        <v>31</v>
      </c>
      <c r="H19" s="8">
        <v>3.3</v>
      </c>
      <c r="I19" s="12">
        <v>0</v>
      </c>
    </row>
    <row r="20" spans="2:9" ht="15" customHeight="1" x14ac:dyDescent="0.2">
      <c r="B20" s="9" t="s">
        <v>191</v>
      </c>
      <c r="C20" s="12">
        <f>SUM(LTBL_22209[総数／事業所数])</f>
        <v>2559</v>
      </c>
      <c r="E20" s="12">
        <f>SUBTOTAL(109,LTBL_22209[個人／事業所数])</f>
        <v>1598</v>
      </c>
      <c r="G20" s="12">
        <f>SUBTOTAL(109,LTBL_22209[法人／事業所数])</f>
        <v>939</v>
      </c>
      <c r="I20" s="12">
        <f>SUBTOTAL(109,LTBL_22209[法人以外の団体／事業所数])</f>
        <v>5</v>
      </c>
    </row>
    <row r="21" spans="2:9" ht="15" customHeight="1" x14ac:dyDescent="0.2">
      <c r="E21" s="11">
        <f>LTBL_22209[[#Totals],[個人／事業所数]]/LTBL_22209[[#Totals],[総数／事業所数]]</f>
        <v>0.62446268073466193</v>
      </c>
      <c r="G21" s="11">
        <f>LTBL_22209[[#Totals],[法人／事業所数]]/LTBL_22209[[#Totals],[総数／事業所数]]</f>
        <v>0.36694021101992969</v>
      </c>
      <c r="I21" s="11">
        <f>LTBL_22209[[#Totals],[法人以外の団体／事業所数]]/LTBL_22209[[#Totals],[総数／事業所数]]</f>
        <v>1.9538882375928096E-3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278</v>
      </c>
      <c r="D24" s="8">
        <v>10.86</v>
      </c>
      <c r="E24" s="12">
        <v>241</v>
      </c>
      <c r="F24" s="8">
        <v>15.08</v>
      </c>
      <c r="G24" s="12">
        <v>37</v>
      </c>
      <c r="H24" s="8">
        <v>3.94</v>
      </c>
      <c r="I24" s="12">
        <v>0</v>
      </c>
    </row>
    <row r="25" spans="2:9" ht="15" customHeight="1" x14ac:dyDescent="0.2">
      <c r="B25" t="s">
        <v>84</v>
      </c>
      <c r="C25" s="12">
        <v>233</v>
      </c>
      <c r="D25" s="8">
        <v>9.11</v>
      </c>
      <c r="E25" s="12">
        <v>211</v>
      </c>
      <c r="F25" s="8">
        <v>13.2</v>
      </c>
      <c r="G25" s="12">
        <v>22</v>
      </c>
      <c r="H25" s="8">
        <v>2.34</v>
      </c>
      <c r="I25" s="12">
        <v>0</v>
      </c>
    </row>
    <row r="26" spans="2:9" ht="15" customHeight="1" x14ac:dyDescent="0.2">
      <c r="B26" t="s">
        <v>79</v>
      </c>
      <c r="C26" s="12">
        <v>172</v>
      </c>
      <c r="D26" s="8">
        <v>6.72</v>
      </c>
      <c r="E26" s="12">
        <v>106</v>
      </c>
      <c r="F26" s="8">
        <v>6.63</v>
      </c>
      <c r="G26" s="12">
        <v>66</v>
      </c>
      <c r="H26" s="8">
        <v>7.03</v>
      </c>
      <c r="I26" s="12">
        <v>0</v>
      </c>
    </row>
    <row r="27" spans="2:9" ht="15" customHeight="1" x14ac:dyDescent="0.2">
      <c r="B27" t="s">
        <v>81</v>
      </c>
      <c r="C27" s="12">
        <v>170</v>
      </c>
      <c r="D27" s="8">
        <v>6.64</v>
      </c>
      <c r="E27" s="12">
        <v>137</v>
      </c>
      <c r="F27" s="8">
        <v>8.57</v>
      </c>
      <c r="G27" s="12">
        <v>33</v>
      </c>
      <c r="H27" s="8">
        <v>3.51</v>
      </c>
      <c r="I27" s="12">
        <v>0</v>
      </c>
    </row>
    <row r="28" spans="2:9" ht="15" customHeight="1" x14ac:dyDescent="0.2">
      <c r="B28" t="s">
        <v>77</v>
      </c>
      <c r="C28" s="12">
        <v>161</v>
      </c>
      <c r="D28" s="8">
        <v>6.29</v>
      </c>
      <c r="E28" s="12">
        <v>124</v>
      </c>
      <c r="F28" s="8">
        <v>7.76</v>
      </c>
      <c r="G28" s="12">
        <v>37</v>
      </c>
      <c r="H28" s="8">
        <v>3.94</v>
      </c>
      <c r="I28" s="12">
        <v>0</v>
      </c>
    </row>
    <row r="29" spans="2:9" ht="15" customHeight="1" x14ac:dyDescent="0.2">
      <c r="B29" t="s">
        <v>69</v>
      </c>
      <c r="C29" s="12">
        <v>156</v>
      </c>
      <c r="D29" s="8">
        <v>6.1</v>
      </c>
      <c r="E29" s="12">
        <v>62</v>
      </c>
      <c r="F29" s="8">
        <v>3.88</v>
      </c>
      <c r="G29" s="12">
        <v>94</v>
      </c>
      <c r="H29" s="8">
        <v>10.01</v>
      </c>
      <c r="I29" s="12">
        <v>0</v>
      </c>
    </row>
    <row r="30" spans="2:9" ht="15" customHeight="1" x14ac:dyDescent="0.2">
      <c r="B30" t="s">
        <v>70</v>
      </c>
      <c r="C30" s="12">
        <v>156</v>
      </c>
      <c r="D30" s="8">
        <v>6.1</v>
      </c>
      <c r="E30" s="12">
        <v>103</v>
      </c>
      <c r="F30" s="8">
        <v>6.45</v>
      </c>
      <c r="G30" s="12">
        <v>53</v>
      </c>
      <c r="H30" s="8">
        <v>5.64</v>
      </c>
      <c r="I30" s="12">
        <v>0</v>
      </c>
    </row>
    <row r="31" spans="2:9" ht="15" customHeight="1" x14ac:dyDescent="0.2">
      <c r="B31" t="s">
        <v>86</v>
      </c>
      <c r="C31" s="12">
        <v>87</v>
      </c>
      <c r="D31" s="8">
        <v>3.4</v>
      </c>
      <c r="E31" s="12">
        <v>67</v>
      </c>
      <c r="F31" s="8">
        <v>4.1900000000000004</v>
      </c>
      <c r="G31" s="12">
        <v>16</v>
      </c>
      <c r="H31" s="8">
        <v>1.7</v>
      </c>
      <c r="I31" s="12">
        <v>0</v>
      </c>
    </row>
    <row r="32" spans="2:9" ht="15" customHeight="1" x14ac:dyDescent="0.2">
      <c r="B32" t="s">
        <v>71</v>
      </c>
      <c r="C32" s="12">
        <v>85</v>
      </c>
      <c r="D32" s="8">
        <v>3.32</v>
      </c>
      <c r="E32" s="12">
        <v>42</v>
      </c>
      <c r="F32" s="8">
        <v>2.63</v>
      </c>
      <c r="G32" s="12">
        <v>43</v>
      </c>
      <c r="H32" s="8">
        <v>4.58</v>
      </c>
      <c r="I32" s="12">
        <v>0</v>
      </c>
    </row>
    <row r="33" spans="2:9" ht="15" customHeight="1" x14ac:dyDescent="0.2">
      <c r="B33" t="s">
        <v>78</v>
      </c>
      <c r="C33" s="12">
        <v>76</v>
      </c>
      <c r="D33" s="8">
        <v>2.97</v>
      </c>
      <c r="E33" s="12">
        <v>48</v>
      </c>
      <c r="F33" s="8">
        <v>3</v>
      </c>
      <c r="G33" s="12">
        <v>28</v>
      </c>
      <c r="H33" s="8">
        <v>2.98</v>
      </c>
      <c r="I33" s="12">
        <v>0</v>
      </c>
    </row>
    <row r="34" spans="2:9" ht="15" customHeight="1" x14ac:dyDescent="0.2">
      <c r="B34" t="s">
        <v>76</v>
      </c>
      <c r="C34" s="12">
        <v>67</v>
      </c>
      <c r="D34" s="8">
        <v>2.62</v>
      </c>
      <c r="E34" s="12">
        <v>47</v>
      </c>
      <c r="F34" s="8">
        <v>2.94</v>
      </c>
      <c r="G34" s="12">
        <v>20</v>
      </c>
      <c r="H34" s="8">
        <v>2.13</v>
      </c>
      <c r="I34" s="12">
        <v>0</v>
      </c>
    </row>
    <row r="35" spans="2:9" ht="15" customHeight="1" x14ac:dyDescent="0.2">
      <c r="B35" t="s">
        <v>87</v>
      </c>
      <c r="C35" s="12">
        <v>67</v>
      </c>
      <c r="D35" s="8">
        <v>2.62</v>
      </c>
      <c r="E35" s="12">
        <v>61</v>
      </c>
      <c r="F35" s="8">
        <v>3.82</v>
      </c>
      <c r="G35" s="12">
        <v>6</v>
      </c>
      <c r="H35" s="8">
        <v>0.64</v>
      </c>
      <c r="I35" s="12">
        <v>0</v>
      </c>
    </row>
    <row r="36" spans="2:9" ht="15" customHeight="1" x14ac:dyDescent="0.2">
      <c r="B36" t="s">
        <v>83</v>
      </c>
      <c r="C36" s="12">
        <v>65</v>
      </c>
      <c r="D36" s="8">
        <v>2.54</v>
      </c>
      <c r="E36" s="12">
        <v>42</v>
      </c>
      <c r="F36" s="8">
        <v>2.63</v>
      </c>
      <c r="G36" s="12">
        <v>22</v>
      </c>
      <c r="H36" s="8">
        <v>2.34</v>
      </c>
      <c r="I36" s="12">
        <v>0</v>
      </c>
    </row>
    <row r="37" spans="2:9" ht="15" customHeight="1" x14ac:dyDescent="0.2">
      <c r="B37" t="s">
        <v>73</v>
      </c>
      <c r="C37" s="12">
        <v>56</v>
      </c>
      <c r="D37" s="8">
        <v>2.19</v>
      </c>
      <c r="E37" s="12">
        <v>17</v>
      </c>
      <c r="F37" s="8">
        <v>1.06</v>
      </c>
      <c r="G37" s="12">
        <v>39</v>
      </c>
      <c r="H37" s="8">
        <v>4.1500000000000004</v>
      </c>
      <c r="I37" s="12">
        <v>0</v>
      </c>
    </row>
    <row r="38" spans="2:9" ht="15" customHeight="1" x14ac:dyDescent="0.2">
      <c r="B38" t="s">
        <v>82</v>
      </c>
      <c r="C38" s="12">
        <v>54</v>
      </c>
      <c r="D38" s="8">
        <v>2.11</v>
      </c>
      <c r="E38" s="12">
        <v>42</v>
      </c>
      <c r="F38" s="8">
        <v>2.63</v>
      </c>
      <c r="G38" s="12">
        <v>12</v>
      </c>
      <c r="H38" s="8">
        <v>1.28</v>
      </c>
      <c r="I38" s="12">
        <v>0</v>
      </c>
    </row>
    <row r="39" spans="2:9" ht="15" customHeight="1" x14ac:dyDescent="0.2">
      <c r="B39" t="s">
        <v>97</v>
      </c>
      <c r="C39" s="12">
        <v>44</v>
      </c>
      <c r="D39" s="8">
        <v>1.72</v>
      </c>
      <c r="E39" s="12">
        <v>17</v>
      </c>
      <c r="F39" s="8">
        <v>1.06</v>
      </c>
      <c r="G39" s="12">
        <v>25</v>
      </c>
      <c r="H39" s="8">
        <v>2.66</v>
      </c>
      <c r="I39" s="12">
        <v>2</v>
      </c>
    </row>
    <row r="40" spans="2:9" ht="15" customHeight="1" x14ac:dyDescent="0.2">
      <c r="B40" t="s">
        <v>72</v>
      </c>
      <c r="C40" s="12">
        <v>37</v>
      </c>
      <c r="D40" s="8">
        <v>1.45</v>
      </c>
      <c r="E40" s="12">
        <v>17</v>
      </c>
      <c r="F40" s="8">
        <v>1.06</v>
      </c>
      <c r="G40" s="12">
        <v>20</v>
      </c>
      <c r="H40" s="8">
        <v>2.13</v>
      </c>
      <c r="I40" s="12">
        <v>0</v>
      </c>
    </row>
    <row r="41" spans="2:9" ht="15" customHeight="1" x14ac:dyDescent="0.2">
      <c r="B41" t="s">
        <v>90</v>
      </c>
      <c r="C41" s="12">
        <v>36</v>
      </c>
      <c r="D41" s="8">
        <v>1.41</v>
      </c>
      <c r="E41" s="12">
        <v>1</v>
      </c>
      <c r="F41" s="8">
        <v>0.06</v>
      </c>
      <c r="G41" s="12">
        <v>30</v>
      </c>
      <c r="H41" s="8">
        <v>3.19</v>
      </c>
      <c r="I41" s="12">
        <v>0</v>
      </c>
    </row>
    <row r="42" spans="2:9" ht="15" customHeight="1" x14ac:dyDescent="0.2">
      <c r="B42" t="s">
        <v>103</v>
      </c>
      <c r="C42" s="12">
        <v>34</v>
      </c>
      <c r="D42" s="8">
        <v>1.33</v>
      </c>
      <c r="E42" s="12">
        <v>5</v>
      </c>
      <c r="F42" s="8">
        <v>0.31</v>
      </c>
      <c r="G42" s="12">
        <v>27</v>
      </c>
      <c r="H42" s="8">
        <v>2.88</v>
      </c>
      <c r="I42" s="12">
        <v>1</v>
      </c>
    </row>
    <row r="43" spans="2:9" ht="15" customHeight="1" x14ac:dyDescent="0.2">
      <c r="B43" t="s">
        <v>74</v>
      </c>
      <c r="C43" s="12">
        <v>33</v>
      </c>
      <c r="D43" s="8">
        <v>1.29</v>
      </c>
      <c r="E43" s="12">
        <v>8</v>
      </c>
      <c r="F43" s="8">
        <v>0.5</v>
      </c>
      <c r="G43" s="12">
        <v>25</v>
      </c>
      <c r="H43" s="8">
        <v>2.66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132</v>
      </c>
      <c r="D47" s="8">
        <v>5.16</v>
      </c>
      <c r="E47" s="12">
        <v>121</v>
      </c>
      <c r="F47" s="8">
        <v>7.57</v>
      </c>
      <c r="G47" s="12">
        <v>11</v>
      </c>
      <c r="H47" s="8">
        <v>1.17</v>
      </c>
      <c r="I47" s="12">
        <v>0</v>
      </c>
    </row>
    <row r="48" spans="2:9" ht="15" customHeight="1" x14ac:dyDescent="0.2">
      <c r="B48" t="s">
        <v>126</v>
      </c>
      <c r="C48" s="12">
        <v>121</v>
      </c>
      <c r="D48" s="8">
        <v>4.7300000000000004</v>
      </c>
      <c r="E48" s="12">
        <v>106</v>
      </c>
      <c r="F48" s="8">
        <v>6.63</v>
      </c>
      <c r="G48" s="12">
        <v>15</v>
      </c>
      <c r="H48" s="8">
        <v>1.6</v>
      </c>
      <c r="I48" s="12">
        <v>0</v>
      </c>
    </row>
    <row r="49" spans="2:9" ht="15" customHeight="1" x14ac:dyDescent="0.2">
      <c r="B49" t="s">
        <v>131</v>
      </c>
      <c r="C49" s="12">
        <v>92</v>
      </c>
      <c r="D49" s="8">
        <v>3.6</v>
      </c>
      <c r="E49" s="12">
        <v>91</v>
      </c>
      <c r="F49" s="8">
        <v>5.69</v>
      </c>
      <c r="G49" s="12">
        <v>1</v>
      </c>
      <c r="H49" s="8">
        <v>0.11</v>
      </c>
      <c r="I49" s="12">
        <v>0</v>
      </c>
    </row>
    <row r="50" spans="2:9" ht="15" customHeight="1" x14ac:dyDescent="0.2">
      <c r="B50" t="s">
        <v>121</v>
      </c>
      <c r="C50" s="12">
        <v>78</v>
      </c>
      <c r="D50" s="8">
        <v>3.05</v>
      </c>
      <c r="E50" s="12">
        <v>54</v>
      </c>
      <c r="F50" s="8">
        <v>3.38</v>
      </c>
      <c r="G50" s="12">
        <v>24</v>
      </c>
      <c r="H50" s="8">
        <v>2.56</v>
      </c>
      <c r="I50" s="12">
        <v>0</v>
      </c>
    </row>
    <row r="51" spans="2:9" ht="15" customHeight="1" x14ac:dyDescent="0.2">
      <c r="B51" t="s">
        <v>129</v>
      </c>
      <c r="C51" s="12">
        <v>62</v>
      </c>
      <c r="D51" s="8">
        <v>2.42</v>
      </c>
      <c r="E51" s="12">
        <v>58</v>
      </c>
      <c r="F51" s="8">
        <v>3.63</v>
      </c>
      <c r="G51" s="12">
        <v>4</v>
      </c>
      <c r="H51" s="8">
        <v>0.43</v>
      </c>
      <c r="I51" s="12">
        <v>0</v>
      </c>
    </row>
    <row r="52" spans="2:9" ht="15" customHeight="1" x14ac:dyDescent="0.2">
      <c r="B52" t="s">
        <v>118</v>
      </c>
      <c r="C52" s="12">
        <v>59</v>
      </c>
      <c r="D52" s="8">
        <v>2.31</v>
      </c>
      <c r="E52" s="12">
        <v>31</v>
      </c>
      <c r="F52" s="8">
        <v>1.94</v>
      </c>
      <c r="G52" s="12">
        <v>28</v>
      </c>
      <c r="H52" s="8">
        <v>2.98</v>
      </c>
      <c r="I52" s="12">
        <v>0</v>
      </c>
    </row>
    <row r="53" spans="2:9" ht="15" customHeight="1" x14ac:dyDescent="0.2">
      <c r="B53" t="s">
        <v>128</v>
      </c>
      <c r="C53" s="12">
        <v>56</v>
      </c>
      <c r="D53" s="8">
        <v>2.19</v>
      </c>
      <c r="E53" s="12">
        <v>47</v>
      </c>
      <c r="F53" s="8">
        <v>2.94</v>
      </c>
      <c r="G53" s="12">
        <v>9</v>
      </c>
      <c r="H53" s="8">
        <v>0.96</v>
      </c>
      <c r="I53" s="12">
        <v>0</v>
      </c>
    </row>
    <row r="54" spans="2:9" ht="15" customHeight="1" x14ac:dyDescent="0.2">
      <c r="B54" t="s">
        <v>134</v>
      </c>
      <c r="C54" s="12">
        <v>55</v>
      </c>
      <c r="D54" s="8">
        <v>2.15</v>
      </c>
      <c r="E54" s="12">
        <v>49</v>
      </c>
      <c r="F54" s="8">
        <v>3.07</v>
      </c>
      <c r="G54" s="12">
        <v>6</v>
      </c>
      <c r="H54" s="8">
        <v>0.64</v>
      </c>
      <c r="I54" s="12">
        <v>0</v>
      </c>
    </row>
    <row r="55" spans="2:9" ht="15" customHeight="1" x14ac:dyDescent="0.2">
      <c r="B55" t="s">
        <v>123</v>
      </c>
      <c r="C55" s="12">
        <v>52</v>
      </c>
      <c r="D55" s="8">
        <v>2.0299999999999998</v>
      </c>
      <c r="E55" s="12">
        <v>27</v>
      </c>
      <c r="F55" s="8">
        <v>1.69</v>
      </c>
      <c r="G55" s="12">
        <v>25</v>
      </c>
      <c r="H55" s="8">
        <v>2.66</v>
      </c>
      <c r="I55" s="12">
        <v>0</v>
      </c>
    </row>
    <row r="56" spans="2:9" ht="15" customHeight="1" x14ac:dyDescent="0.2">
      <c r="B56" t="s">
        <v>124</v>
      </c>
      <c r="C56" s="12">
        <v>49</v>
      </c>
      <c r="D56" s="8">
        <v>1.91</v>
      </c>
      <c r="E56" s="12">
        <v>36</v>
      </c>
      <c r="F56" s="8">
        <v>2.25</v>
      </c>
      <c r="G56" s="12">
        <v>13</v>
      </c>
      <c r="H56" s="8">
        <v>1.38</v>
      </c>
      <c r="I56" s="12">
        <v>0</v>
      </c>
    </row>
    <row r="57" spans="2:9" ht="15" customHeight="1" x14ac:dyDescent="0.2">
      <c r="B57" t="s">
        <v>133</v>
      </c>
      <c r="C57" s="12">
        <v>47</v>
      </c>
      <c r="D57" s="8">
        <v>1.84</v>
      </c>
      <c r="E57" s="12">
        <v>40</v>
      </c>
      <c r="F57" s="8">
        <v>2.5</v>
      </c>
      <c r="G57" s="12">
        <v>7</v>
      </c>
      <c r="H57" s="8">
        <v>0.75</v>
      </c>
      <c r="I57" s="12">
        <v>0</v>
      </c>
    </row>
    <row r="58" spans="2:9" ht="15" customHeight="1" x14ac:dyDescent="0.2">
      <c r="B58" t="s">
        <v>157</v>
      </c>
      <c r="C58" s="12">
        <v>43</v>
      </c>
      <c r="D58" s="8">
        <v>1.68</v>
      </c>
      <c r="E58" s="12">
        <v>17</v>
      </c>
      <c r="F58" s="8">
        <v>1.06</v>
      </c>
      <c r="G58" s="12">
        <v>24</v>
      </c>
      <c r="H58" s="8">
        <v>2.56</v>
      </c>
      <c r="I58" s="12">
        <v>2</v>
      </c>
    </row>
    <row r="59" spans="2:9" ht="15" customHeight="1" x14ac:dyDescent="0.2">
      <c r="B59" t="s">
        <v>140</v>
      </c>
      <c r="C59" s="12">
        <v>43</v>
      </c>
      <c r="D59" s="8">
        <v>1.68</v>
      </c>
      <c r="E59" s="12">
        <v>23</v>
      </c>
      <c r="F59" s="8">
        <v>1.44</v>
      </c>
      <c r="G59" s="12">
        <v>20</v>
      </c>
      <c r="H59" s="8">
        <v>2.13</v>
      </c>
      <c r="I59" s="12">
        <v>0</v>
      </c>
    </row>
    <row r="60" spans="2:9" ht="15" customHeight="1" x14ac:dyDescent="0.2">
      <c r="B60" t="s">
        <v>116</v>
      </c>
      <c r="C60" s="12">
        <v>41</v>
      </c>
      <c r="D60" s="8">
        <v>1.6</v>
      </c>
      <c r="E60" s="12">
        <v>15</v>
      </c>
      <c r="F60" s="8">
        <v>0.94</v>
      </c>
      <c r="G60" s="12">
        <v>26</v>
      </c>
      <c r="H60" s="8">
        <v>2.77</v>
      </c>
      <c r="I60" s="12">
        <v>0</v>
      </c>
    </row>
    <row r="61" spans="2:9" ht="15" customHeight="1" x14ac:dyDescent="0.2">
      <c r="B61" t="s">
        <v>130</v>
      </c>
      <c r="C61" s="12">
        <v>40</v>
      </c>
      <c r="D61" s="8">
        <v>1.56</v>
      </c>
      <c r="E61" s="12">
        <v>38</v>
      </c>
      <c r="F61" s="8">
        <v>2.38</v>
      </c>
      <c r="G61" s="12">
        <v>2</v>
      </c>
      <c r="H61" s="8">
        <v>0.21</v>
      </c>
      <c r="I61" s="12">
        <v>0</v>
      </c>
    </row>
    <row r="62" spans="2:9" ht="15" customHeight="1" x14ac:dyDescent="0.2">
      <c r="B62" t="s">
        <v>119</v>
      </c>
      <c r="C62" s="12">
        <v>39</v>
      </c>
      <c r="D62" s="8">
        <v>1.52</v>
      </c>
      <c r="E62" s="12">
        <v>24</v>
      </c>
      <c r="F62" s="8">
        <v>1.5</v>
      </c>
      <c r="G62" s="12">
        <v>15</v>
      </c>
      <c r="H62" s="8">
        <v>1.6</v>
      </c>
      <c r="I62" s="12">
        <v>0</v>
      </c>
    </row>
    <row r="63" spans="2:9" ht="15" customHeight="1" x14ac:dyDescent="0.2">
      <c r="B63" t="s">
        <v>122</v>
      </c>
      <c r="C63" s="12">
        <v>39</v>
      </c>
      <c r="D63" s="8">
        <v>1.52</v>
      </c>
      <c r="E63" s="12">
        <v>19</v>
      </c>
      <c r="F63" s="8">
        <v>1.19</v>
      </c>
      <c r="G63" s="12">
        <v>20</v>
      </c>
      <c r="H63" s="8">
        <v>2.13</v>
      </c>
      <c r="I63" s="12">
        <v>0</v>
      </c>
    </row>
    <row r="64" spans="2:9" ht="15" customHeight="1" x14ac:dyDescent="0.2">
      <c r="B64" t="s">
        <v>127</v>
      </c>
      <c r="C64" s="12">
        <v>38</v>
      </c>
      <c r="D64" s="8">
        <v>1.48</v>
      </c>
      <c r="E64" s="12">
        <v>26</v>
      </c>
      <c r="F64" s="8">
        <v>1.63</v>
      </c>
      <c r="G64" s="12">
        <v>11</v>
      </c>
      <c r="H64" s="8">
        <v>1.17</v>
      </c>
      <c r="I64" s="12">
        <v>0</v>
      </c>
    </row>
    <row r="65" spans="2:9" ht="15" customHeight="1" x14ac:dyDescent="0.2">
      <c r="B65" t="s">
        <v>120</v>
      </c>
      <c r="C65" s="12">
        <v>34</v>
      </c>
      <c r="D65" s="8">
        <v>1.33</v>
      </c>
      <c r="E65" s="12">
        <v>16</v>
      </c>
      <c r="F65" s="8">
        <v>1</v>
      </c>
      <c r="G65" s="12">
        <v>18</v>
      </c>
      <c r="H65" s="8">
        <v>1.92</v>
      </c>
      <c r="I65" s="12">
        <v>0</v>
      </c>
    </row>
    <row r="66" spans="2:9" ht="15" customHeight="1" x14ac:dyDescent="0.2">
      <c r="B66" t="s">
        <v>153</v>
      </c>
      <c r="C66" s="12">
        <v>34</v>
      </c>
      <c r="D66" s="8">
        <v>1.33</v>
      </c>
      <c r="E66" s="12">
        <v>27</v>
      </c>
      <c r="F66" s="8">
        <v>1.69</v>
      </c>
      <c r="G66" s="12">
        <v>7</v>
      </c>
      <c r="H66" s="8">
        <v>0.75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A5498-8352-457F-9C44-4B459E5597E9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213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0.01</v>
      </c>
      <c r="E5" s="12">
        <v>0</v>
      </c>
      <c r="F5" s="8">
        <v>0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47</v>
      </c>
      <c r="C6" s="12">
        <v>1028</v>
      </c>
      <c r="D6" s="8">
        <v>15.14</v>
      </c>
      <c r="E6" s="12">
        <v>334</v>
      </c>
      <c r="F6" s="8">
        <v>9.1300000000000008</v>
      </c>
      <c r="G6" s="12">
        <v>694</v>
      </c>
      <c r="H6" s="8">
        <v>22.39</v>
      </c>
      <c r="I6" s="12">
        <v>0</v>
      </c>
    </row>
    <row r="7" spans="2:9" ht="15" customHeight="1" x14ac:dyDescent="0.2">
      <c r="B7" t="s">
        <v>48</v>
      </c>
      <c r="C7" s="12">
        <v>763</v>
      </c>
      <c r="D7" s="8">
        <v>11.24</v>
      </c>
      <c r="E7" s="12">
        <v>247</v>
      </c>
      <c r="F7" s="8">
        <v>6.75</v>
      </c>
      <c r="G7" s="12">
        <v>515</v>
      </c>
      <c r="H7" s="8">
        <v>16.61</v>
      </c>
      <c r="I7" s="12">
        <v>1</v>
      </c>
    </row>
    <row r="8" spans="2:9" ht="15" customHeight="1" x14ac:dyDescent="0.2">
      <c r="B8" t="s">
        <v>49</v>
      </c>
      <c r="C8" s="12">
        <v>6</v>
      </c>
      <c r="D8" s="8">
        <v>0.09</v>
      </c>
      <c r="E8" s="12">
        <v>0</v>
      </c>
      <c r="F8" s="8">
        <v>0</v>
      </c>
      <c r="G8" s="12">
        <v>6</v>
      </c>
      <c r="H8" s="8">
        <v>0.19</v>
      </c>
      <c r="I8" s="12">
        <v>0</v>
      </c>
    </row>
    <row r="9" spans="2:9" ht="15" customHeight="1" x14ac:dyDescent="0.2">
      <c r="B9" t="s">
        <v>50</v>
      </c>
      <c r="C9" s="12">
        <v>41</v>
      </c>
      <c r="D9" s="8">
        <v>0.6</v>
      </c>
      <c r="E9" s="12">
        <v>1</v>
      </c>
      <c r="F9" s="8">
        <v>0.03</v>
      </c>
      <c r="G9" s="12">
        <v>40</v>
      </c>
      <c r="H9" s="8">
        <v>1.29</v>
      </c>
      <c r="I9" s="12">
        <v>0</v>
      </c>
    </row>
    <row r="10" spans="2:9" ht="15" customHeight="1" x14ac:dyDescent="0.2">
      <c r="B10" t="s">
        <v>51</v>
      </c>
      <c r="C10" s="12">
        <v>96</v>
      </c>
      <c r="D10" s="8">
        <v>1.41</v>
      </c>
      <c r="E10" s="12">
        <v>6</v>
      </c>
      <c r="F10" s="8">
        <v>0.16</v>
      </c>
      <c r="G10" s="12">
        <v>90</v>
      </c>
      <c r="H10" s="8">
        <v>2.9</v>
      </c>
      <c r="I10" s="12">
        <v>0</v>
      </c>
    </row>
    <row r="11" spans="2:9" ht="15" customHeight="1" x14ac:dyDescent="0.2">
      <c r="B11" t="s">
        <v>52</v>
      </c>
      <c r="C11" s="12">
        <v>1418</v>
      </c>
      <c r="D11" s="8">
        <v>20.89</v>
      </c>
      <c r="E11" s="12">
        <v>696</v>
      </c>
      <c r="F11" s="8">
        <v>19.03</v>
      </c>
      <c r="G11" s="12">
        <v>711</v>
      </c>
      <c r="H11" s="8">
        <v>22.94</v>
      </c>
      <c r="I11" s="12">
        <v>11</v>
      </c>
    </row>
    <row r="12" spans="2:9" ht="15" customHeight="1" x14ac:dyDescent="0.2">
      <c r="B12" t="s">
        <v>53</v>
      </c>
      <c r="C12" s="12">
        <v>63</v>
      </c>
      <c r="D12" s="8">
        <v>0.93</v>
      </c>
      <c r="E12" s="12">
        <v>13</v>
      </c>
      <c r="F12" s="8">
        <v>0.36</v>
      </c>
      <c r="G12" s="12">
        <v>49</v>
      </c>
      <c r="H12" s="8">
        <v>1.58</v>
      </c>
      <c r="I12" s="12">
        <v>1</v>
      </c>
    </row>
    <row r="13" spans="2:9" ht="15" customHeight="1" x14ac:dyDescent="0.2">
      <c r="B13" t="s">
        <v>54</v>
      </c>
      <c r="C13" s="12">
        <v>762</v>
      </c>
      <c r="D13" s="8">
        <v>11.22</v>
      </c>
      <c r="E13" s="12">
        <v>394</v>
      </c>
      <c r="F13" s="8">
        <v>10.77</v>
      </c>
      <c r="G13" s="12">
        <v>368</v>
      </c>
      <c r="H13" s="8">
        <v>11.87</v>
      </c>
      <c r="I13" s="12">
        <v>0</v>
      </c>
    </row>
    <row r="14" spans="2:9" ht="15" customHeight="1" x14ac:dyDescent="0.2">
      <c r="B14" t="s">
        <v>55</v>
      </c>
      <c r="C14" s="12">
        <v>333</v>
      </c>
      <c r="D14" s="8">
        <v>4.9000000000000004</v>
      </c>
      <c r="E14" s="12">
        <v>205</v>
      </c>
      <c r="F14" s="8">
        <v>5.6</v>
      </c>
      <c r="G14" s="12">
        <v>125</v>
      </c>
      <c r="H14" s="8">
        <v>4.03</v>
      </c>
      <c r="I14" s="12">
        <v>0</v>
      </c>
    </row>
    <row r="15" spans="2:9" ht="15" customHeight="1" x14ac:dyDescent="0.2">
      <c r="B15" t="s">
        <v>56</v>
      </c>
      <c r="C15" s="12">
        <v>705</v>
      </c>
      <c r="D15" s="8">
        <v>10.38</v>
      </c>
      <c r="E15" s="12">
        <v>599</v>
      </c>
      <c r="F15" s="8">
        <v>16.38</v>
      </c>
      <c r="G15" s="12">
        <v>105</v>
      </c>
      <c r="H15" s="8">
        <v>3.39</v>
      </c>
      <c r="I15" s="12">
        <v>1</v>
      </c>
    </row>
    <row r="16" spans="2:9" ht="15" customHeight="1" x14ac:dyDescent="0.2">
      <c r="B16" t="s">
        <v>57</v>
      </c>
      <c r="C16" s="12">
        <v>759</v>
      </c>
      <c r="D16" s="8">
        <v>11.18</v>
      </c>
      <c r="E16" s="12">
        <v>607</v>
      </c>
      <c r="F16" s="8">
        <v>16.59</v>
      </c>
      <c r="G16" s="12">
        <v>152</v>
      </c>
      <c r="H16" s="8">
        <v>4.9000000000000004</v>
      </c>
      <c r="I16" s="12">
        <v>0</v>
      </c>
    </row>
    <row r="17" spans="2:9" ht="15" customHeight="1" x14ac:dyDescent="0.2">
      <c r="B17" t="s">
        <v>58</v>
      </c>
      <c r="C17" s="12">
        <v>282</v>
      </c>
      <c r="D17" s="8">
        <v>4.1500000000000004</v>
      </c>
      <c r="E17" s="12">
        <v>223</v>
      </c>
      <c r="F17" s="8">
        <v>6.1</v>
      </c>
      <c r="G17" s="12">
        <v>57</v>
      </c>
      <c r="H17" s="8">
        <v>1.84</v>
      </c>
      <c r="I17" s="12">
        <v>0</v>
      </c>
    </row>
    <row r="18" spans="2:9" ht="15" customHeight="1" x14ac:dyDescent="0.2">
      <c r="B18" t="s">
        <v>59</v>
      </c>
      <c r="C18" s="12">
        <v>269</v>
      </c>
      <c r="D18" s="8">
        <v>3.96</v>
      </c>
      <c r="E18" s="12">
        <v>192</v>
      </c>
      <c r="F18" s="8">
        <v>5.25</v>
      </c>
      <c r="G18" s="12">
        <v>66</v>
      </c>
      <c r="H18" s="8">
        <v>2.13</v>
      </c>
      <c r="I18" s="12">
        <v>1</v>
      </c>
    </row>
    <row r="19" spans="2:9" ht="15" customHeight="1" x14ac:dyDescent="0.2">
      <c r="B19" t="s">
        <v>60</v>
      </c>
      <c r="C19" s="12">
        <v>263</v>
      </c>
      <c r="D19" s="8">
        <v>3.87</v>
      </c>
      <c r="E19" s="12">
        <v>141</v>
      </c>
      <c r="F19" s="8">
        <v>3.85</v>
      </c>
      <c r="G19" s="12">
        <v>121</v>
      </c>
      <c r="H19" s="8">
        <v>3.9</v>
      </c>
      <c r="I19" s="12">
        <v>0</v>
      </c>
    </row>
    <row r="20" spans="2:9" ht="15" customHeight="1" x14ac:dyDescent="0.2">
      <c r="B20" s="9" t="s">
        <v>191</v>
      </c>
      <c r="C20" s="12">
        <f>SUM(LTBL_22210[総数／事業所数])</f>
        <v>6789</v>
      </c>
      <c r="E20" s="12">
        <f>SUBTOTAL(109,LTBL_22210[個人／事業所数])</f>
        <v>3658</v>
      </c>
      <c r="G20" s="12">
        <f>SUBTOTAL(109,LTBL_22210[法人／事業所数])</f>
        <v>3100</v>
      </c>
      <c r="I20" s="12">
        <f>SUBTOTAL(109,LTBL_22210[法人以外の団体／事業所数])</f>
        <v>15</v>
      </c>
    </row>
    <row r="21" spans="2:9" ht="15" customHeight="1" x14ac:dyDescent="0.2">
      <c r="E21" s="11">
        <f>LTBL_22210[[#Totals],[個人／事業所数]]/LTBL_22210[[#Totals],[総数／事業所数]]</f>
        <v>0.53881278538812782</v>
      </c>
      <c r="G21" s="11">
        <f>LTBL_22210[[#Totals],[法人／事業所数]]/LTBL_22210[[#Totals],[総数／事業所数]]</f>
        <v>0.45662100456621002</v>
      </c>
      <c r="I21" s="11">
        <f>LTBL_22210[[#Totals],[法人以外の団体／事業所数]]/LTBL_22210[[#Totals],[総数／事業所数]]</f>
        <v>2.2094564737074681E-3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664</v>
      </c>
      <c r="D24" s="8">
        <v>9.7799999999999994</v>
      </c>
      <c r="E24" s="12">
        <v>583</v>
      </c>
      <c r="F24" s="8">
        <v>15.94</v>
      </c>
      <c r="G24" s="12">
        <v>81</v>
      </c>
      <c r="H24" s="8">
        <v>2.61</v>
      </c>
      <c r="I24" s="12">
        <v>0</v>
      </c>
    </row>
    <row r="25" spans="2:9" ht="15" customHeight="1" x14ac:dyDescent="0.2">
      <c r="B25" t="s">
        <v>85</v>
      </c>
      <c r="C25" s="12">
        <v>645</v>
      </c>
      <c r="D25" s="8">
        <v>9.5</v>
      </c>
      <c r="E25" s="12">
        <v>544</v>
      </c>
      <c r="F25" s="8">
        <v>14.87</v>
      </c>
      <c r="G25" s="12">
        <v>101</v>
      </c>
      <c r="H25" s="8">
        <v>3.26</v>
      </c>
      <c r="I25" s="12">
        <v>0</v>
      </c>
    </row>
    <row r="26" spans="2:9" ht="15" customHeight="1" x14ac:dyDescent="0.2">
      <c r="B26" t="s">
        <v>81</v>
      </c>
      <c r="C26" s="12">
        <v>623</v>
      </c>
      <c r="D26" s="8">
        <v>9.18</v>
      </c>
      <c r="E26" s="12">
        <v>362</v>
      </c>
      <c r="F26" s="8">
        <v>9.9</v>
      </c>
      <c r="G26" s="12">
        <v>261</v>
      </c>
      <c r="H26" s="8">
        <v>8.42</v>
      </c>
      <c r="I26" s="12">
        <v>0</v>
      </c>
    </row>
    <row r="27" spans="2:9" ht="15" customHeight="1" x14ac:dyDescent="0.2">
      <c r="B27" t="s">
        <v>69</v>
      </c>
      <c r="C27" s="12">
        <v>434</v>
      </c>
      <c r="D27" s="8">
        <v>6.39</v>
      </c>
      <c r="E27" s="12">
        <v>127</v>
      </c>
      <c r="F27" s="8">
        <v>3.47</v>
      </c>
      <c r="G27" s="12">
        <v>307</v>
      </c>
      <c r="H27" s="8">
        <v>9.9</v>
      </c>
      <c r="I27" s="12">
        <v>0</v>
      </c>
    </row>
    <row r="28" spans="2:9" ht="15" customHeight="1" x14ac:dyDescent="0.2">
      <c r="B28" t="s">
        <v>79</v>
      </c>
      <c r="C28" s="12">
        <v>373</v>
      </c>
      <c r="D28" s="8">
        <v>5.49</v>
      </c>
      <c r="E28" s="12">
        <v>200</v>
      </c>
      <c r="F28" s="8">
        <v>5.47</v>
      </c>
      <c r="G28" s="12">
        <v>173</v>
      </c>
      <c r="H28" s="8">
        <v>5.58</v>
      </c>
      <c r="I28" s="12">
        <v>0</v>
      </c>
    </row>
    <row r="29" spans="2:9" ht="15" customHeight="1" x14ac:dyDescent="0.2">
      <c r="B29" t="s">
        <v>70</v>
      </c>
      <c r="C29" s="12">
        <v>299</v>
      </c>
      <c r="D29" s="8">
        <v>4.4000000000000004</v>
      </c>
      <c r="E29" s="12">
        <v>128</v>
      </c>
      <c r="F29" s="8">
        <v>3.5</v>
      </c>
      <c r="G29" s="12">
        <v>171</v>
      </c>
      <c r="H29" s="8">
        <v>5.52</v>
      </c>
      <c r="I29" s="12">
        <v>0</v>
      </c>
    </row>
    <row r="30" spans="2:9" ht="15" customHeight="1" x14ac:dyDescent="0.2">
      <c r="B30" t="s">
        <v>71</v>
      </c>
      <c r="C30" s="12">
        <v>295</v>
      </c>
      <c r="D30" s="8">
        <v>4.3499999999999996</v>
      </c>
      <c r="E30" s="12">
        <v>79</v>
      </c>
      <c r="F30" s="8">
        <v>2.16</v>
      </c>
      <c r="G30" s="12">
        <v>216</v>
      </c>
      <c r="H30" s="8">
        <v>6.97</v>
      </c>
      <c r="I30" s="12">
        <v>0</v>
      </c>
    </row>
    <row r="31" spans="2:9" ht="15" customHeight="1" x14ac:dyDescent="0.2">
      <c r="B31" t="s">
        <v>86</v>
      </c>
      <c r="C31" s="12">
        <v>282</v>
      </c>
      <c r="D31" s="8">
        <v>4.1500000000000004</v>
      </c>
      <c r="E31" s="12">
        <v>223</v>
      </c>
      <c r="F31" s="8">
        <v>6.1</v>
      </c>
      <c r="G31" s="12">
        <v>57</v>
      </c>
      <c r="H31" s="8">
        <v>1.84</v>
      </c>
      <c r="I31" s="12">
        <v>0</v>
      </c>
    </row>
    <row r="32" spans="2:9" ht="15" customHeight="1" x14ac:dyDescent="0.2">
      <c r="B32" t="s">
        <v>77</v>
      </c>
      <c r="C32" s="12">
        <v>266</v>
      </c>
      <c r="D32" s="8">
        <v>3.92</v>
      </c>
      <c r="E32" s="12">
        <v>195</v>
      </c>
      <c r="F32" s="8">
        <v>5.33</v>
      </c>
      <c r="G32" s="12">
        <v>67</v>
      </c>
      <c r="H32" s="8">
        <v>2.16</v>
      </c>
      <c r="I32" s="12">
        <v>4</v>
      </c>
    </row>
    <row r="33" spans="2:9" ht="15" customHeight="1" x14ac:dyDescent="0.2">
      <c r="B33" t="s">
        <v>78</v>
      </c>
      <c r="C33" s="12">
        <v>223</v>
      </c>
      <c r="D33" s="8">
        <v>3.28</v>
      </c>
      <c r="E33" s="12">
        <v>142</v>
      </c>
      <c r="F33" s="8">
        <v>3.88</v>
      </c>
      <c r="G33" s="12">
        <v>81</v>
      </c>
      <c r="H33" s="8">
        <v>2.61</v>
      </c>
      <c r="I33" s="12">
        <v>0</v>
      </c>
    </row>
    <row r="34" spans="2:9" ht="15" customHeight="1" x14ac:dyDescent="0.2">
      <c r="B34" t="s">
        <v>87</v>
      </c>
      <c r="C34" s="12">
        <v>209</v>
      </c>
      <c r="D34" s="8">
        <v>3.08</v>
      </c>
      <c r="E34" s="12">
        <v>189</v>
      </c>
      <c r="F34" s="8">
        <v>5.17</v>
      </c>
      <c r="G34" s="12">
        <v>19</v>
      </c>
      <c r="H34" s="8">
        <v>0.61</v>
      </c>
      <c r="I34" s="12">
        <v>0</v>
      </c>
    </row>
    <row r="35" spans="2:9" ht="15" customHeight="1" x14ac:dyDescent="0.2">
      <c r="B35" t="s">
        <v>82</v>
      </c>
      <c r="C35" s="12">
        <v>167</v>
      </c>
      <c r="D35" s="8">
        <v>2.46</v>
      </c>
      <c r="E35" s="12">
        <v>132</v>
      </c>
      <c r="F35" s="8">
        <v>3.61</v>
      </c>
      <c r="G35" s="12">
        <v>35</v>
      </c>
      <c r="H35" s="8">
        <v>1.1299999999999999</v>
      </c>
      <c r="I35" s="12">
        <v>0</v>
      </c>
    </row>
    <row r="36" spans="2:9" ht="15" customHeight="1" x14ac:dyDescent="0.2">
      <c r="B36" t="s">
        <v>83</v>
      </c>
      <c r="C36" s="12">
        <v>154</v>
      </c>
      <c r="D36" s="8">
        <v>2.27</v>
      </c>
      <c r="E36" s="12">
        <v>73</v>
      </c>
      <c r="F36" s="8">
        <v>2</v>
      </c>
      <c r="G36" s="12">
        <v>78</v>
      </c>
      <c r="H36" s="8">
        <v>2.52</v>
      </c>
      <c r="I36" s="12">
        <v>0</v>
      </c>
    </row>
    <row r="37" spans="2:9" ht="15" customHeight="1" x14ac:dyDescent="0.2">
      <c r="B37" t="s">
        <v>76</v>
      </c>
      <c r="C37" s="12">
        <v>142</v>
      </c>
      <c r="D37" s="8">
        <v>2.09</v>
      </c>
      <c r="E37" s="12">
        <v>73</v>
      </c>
      <c r="F37" s="8">
        <v>2</v>
      </c>
      <c r="G37" s="12">
        <v>69</v>
      </c>
      <c r="H37" s="8">
        <v>2.23</v>
      </c>
      <c r="I37" s="12">
        <v>0</v>
      </c>
    </row>
    <row r="38" spans="2:9" ht="15" customHeight="1" x14ac:dyDescent="0.2">
      <c r="B38" t="s">
        <v>74</v>
      </c>
      <c r="C38" s="12">
        <v>136</v>
      </c>
      <c r="D38" s="8">
        <v>2</v>
      </c>
      <c r="E38" s="12">
        <v>25</v>
      </c>
      <c r="F38" s="8">
        <v>0.68</v>
      </c>
      <c r="G38" s="12">
        <v>106</v>
      </c>
      <c r="H38" s="8">
        <v>3.42</v>
      </c>
      <c r="I38" s="12">
        <v>5</v>
      </c>
    </row>
    <row r="39" spans="2:9" ht="15" customHeight="1" x14ac:dyDescent="0.2">
      <c r="B39" t="s">
        <v>88</v>
      </c>
      <c r="C39" s="12">
        <v>133</v>
      </c>
      <c r="D39" s="8">
        <v>1.96</v>
      </c>
      <c r="E39" s="12">
        <v>105</v>
      </c>
      <c r="F39" s="8">
        <v>2.87</v>
      </c>
      <c r="G39" s="12">
        <v>28</v>
      </c>
      <c r="H39" s="8">
        <v>0.9</v>
      </c>
      <c r="I39" s="12">
        <v>0</v>
      </c>
    </row>
    <row r="40" spans="2:9" ht="15" customHeight="1" x14ac:dyDescent="0.2">
      <c r="B40" t="s">
        <v>73</v>
      </c>
      <c r="C40" s="12">
        <v>132</v>
      </c>
      <c r="D40" s="8">
        <v>1.94</v>
      </c>
      <c r="E40" s="12">
        <v>35</v>
      </c>
      <c r="F40" s="8">
        <v>0.96</v>
      </c>
      <c r="G40" s="12">
        <v>97</v>
      </c>
      <c r="H40" s="8">
        <v>3.13</v>
      </c>
      <c r="I40" s="12">
        <v>0</v>
      </c>
    </row>
    <row r="41" spans="2:9" ht="15" customHeight="1" x14ac:dyDescent="0.2">
      <c r="B41" t="s">
        <v>80</v>
      </c>
      <c r="C41" s="12">
        <v>115</v>
      </c>
      <c r="D41" s="8">
        <v>1.69</v>
      </c>
      <c r="E41" s="12">
        <v>31</v>
      </c>
      <c r="F41" s="8">
        <v>0.85</v>
      </c>
      <c r="G41" s="12">
        <v>84</v>
      </c>
      <c r="H41" s="8">
        <v>2.71</v>
      </c>
      <c r="I41" s="12">
        <v>0</v>
      </c>
    </row>
    <row r="42" spans="2:9" ht="15" customHeight="1" x14ac:dyDescent="0.2">
      <c r="B42" t="s">
        <v>72</v>
      </c>
      <c r="C42" s="12">
        <v>110</v>
      </c>
      <c r="D42" s="8">
        <v>1.62</v>
      </c>
      <c r="E42" s="12">
        <v>41</v>
      </c>
      <c r="F42" s="8">
        <v>1.1200000000000001</v>
      </c>
      <c r="G42" s="12">
        <v>69</v>
      </c>
      <c r="H42" s="8">
        <v>2.23</v>
      </c>
      <c r="I42" s="12">
        <v>0</v>
      </c>
    </row>
    <row r="43" spans="2:9" ht="15" customHeight="1" x14ac:dyDescent="0.2">
      <c r="B43" t="s">
        <v>75</v>
      </c>
      <c r="C43" s="12">
        <v>97</v>
      </c>
      <c r="D43" s="8">
        <v>1.43</v>
      </c>
      <c r="E43" s="12">
        <v>9</v>
      </c>
      <c r="F43" s="8">
        <v>0.25</v>
      </c>
      <c r="G43" s="12">
        <v>88</v>
      </c>
      <c r="H43" s="8">
        <v>2.84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376</v>
      </c>
      <c r="D47" s="8">
        <v>5.54</v>
      </c>
      <c r="E47" s="12">
        <v>260</v>
      </c>
      <c r="F47" s="8">
        <v>7.11</v>
      </c>
      <c r="G47" s="12">
        <v>116</v>
      </c>
      <c r="H47" s="8">
        <v>3.74</v>
      </c>
      <c r="I47" s="12">
        <v>0</v>
      </c>
    </row>
    <row r="48" spans="2:9" ht="15" customHeight="1" x14ac:dyDescent="0.2">
      <c r="B48" t="s">
        <v>132</v>
      </c>
      <c r="C48" s="12">
        <v>350</v>
      </c>
      <c r="D48" s="8">
        <v>5.16</v>
      </c>
      <c r="E48" s="12">
        <v>302</v>
      </c>
      <c r="F48" s="8">
        <v>8.26</v>
      </c>
      <c r="G48" s="12">
        <v>48</v>
      </c>
      <c r="H48" s="8">
        <v>1.55</v>
      </c>
      <c r="I48" s="12">
        <v>0</v>
      </c>
    </row>
    <row r="49" spans="2:9" ht="15" customHeight="1" x14ac:dyDescent="0.2">
      <c r="B49" t="s">
        <v>130</v>
      </c>
      <c r="C49" s="12">
        <v>177</v>
      </c>
      <c r="D49" s="8">
        <v>2.61</v>
      </c>
      <c r="E49" s="12">
        <v>166</v>
      </c>
      <c r="F49" s="8">
        <v>4.54</v>
      </c>
      <c r="G49" s="12">
        <v>11</v>
      </c>
      <c r="H49" s="8">
        <v>0.35</v>
      </c>
      <c r="I49" s="12">
        <v>0</v>
      </c>
    </row>
    <row r="50" spans="2:9" ht="15" customHeight="1" x14ac:dyDescent="0.2">
      <c r="B50" t="s">
        <v>128</v>
      </c>
      <c r="C50" s="12">
        <v>167</v>
      </c>
      <c r="D50" s="8">
        <v>2.46</v>
      </c>
      <c r="E50" s="12">
        <v>135</v>
      </c>
      <c r="F50" s="8">
        <v>3.69</v>
      </c>
      <c r="G50" s="12">
        <v>32</v>
      </c>
      <c r="H50" s="8">
        <v>1.03</v>
      </c>
      <c r="I50" s="12">
        <v>0</v>
      </c>
    </row>
    <row r="51" spans="2:9" ht="15" customHeight="1" x14ac:dyDescent="0.2">
      <c r="B51" t="s">
        <v>133</v>
      </c>
      <c r="C51" s="12">
        <v>166</v>
      </c>
      <c r="D51" s="8">
        <v>2.4500000000000002</v>
      </c>
      <c r="E51" s="12">
        <v>142</v>
      </c>
      <c r="F51" s="8">
        <v>3.88</v>
      </c>
      <c r="G51" s="12">
        <v>24</v>
      </c>
      <c r="H51" s="8">
        <v>0.77</v>
      </c>
      <c r="I51" s="12">
        <v>0</v>
      </c>
    </row>
    <row r="52" spans="2:9" ht="15" customHeight="1" x14ac:dyDescent="0.2">
      <c r="B52" t="s">
        <v>131</v>
      </c>
      <c r="C52" s="12">
        <v>165</v>
      </c>
      <c r="D52" s="8">
        <v>2.4300000000000002</v>
      </c>
      <c r="E52" s="12">
        <v>158</v>
      </c>
      <c r="F52" s="8">
        <v>4.32</v>
      </c>
      <c r="G52" s="12">
        <v>7</v>
      </c>
      <c r="H52" s="8">
        <v>0.23</v>
      </c>
      <c r="I52" s="12">
        <v>0</v>
      </c>
    </row>
    <row r="53" spans="2:9" ht="15" customHeight="1" x14ac:dyDescent="0.2">
      <c r="B53" t="s">
        <v>129</v>
      </c>
      <c r="C53" s="12">
        <v>160</v>
      </c>
      <c r="D53" s="8">
        <v>2.36</v>
      </c>
      <c r="E53" s="12">
        <v>148</v>
      </c>
      <c r="F53" s="8">
        <v>4.05</v>
      </c>
      <c r="G53" s="12">
        <v>12</v>
      </c>
      <c r="H53" s="8">
        <v>0.39</v>
      </c>
      <c r="I53" s="12">
        <v>0</v>
      </c>
    </row>
    <row r="54" spans="2:9" ht="15" customHeight="1" x14ac:dyDescent="0.2">
      <c r="B54" t="s">
        <v>134</v>
      </c>
      <c r="C54" s="12">
        <v>159</v>
      </c>
      <c r="D54" s="8">
        <v>2.34</v>
      </c>
      <c r="E54" s="12">
        <v>143</v>
      </c>
      <c r="F54" s="8">
        <v>3.91</v>
      </c>
      <c r="G54" s="12">
        <v>16</v>
      </c>
      <c r="H54" s="8">
        <v>0.52</v>
      </c>
      <c r="I54" s="12">
        <v>0</v>
      </c>
    </row>
    <row r="55" spans="2:9" ht="15" customHeight="1" x14ac:dyDescent="0.2">
      <c r="B55" t="s">
        <v>122</v>
      </c>
      <c r="C55" s="12">
        <v>157</v>
      </c>
      <c r="D55" s="8">
        <v>2.31</v>
      </c>
      <c r="E55" s="12">
        <v>102</v>
      </c>
      <c r="F55" s="8">
        <v>2.79</v>
      </c>
      <c r="G55" s="12">
        <v>55</v>
      </c>
      <c r="H55" s="8">
        <v>1.77</v>
      </c>
      <c r="I55" s="12">
        <v>0</v>
      </c>
    </row>
    <row r="56" spans="2:9" ht="15" customHeight="1" x14ac:dyDescent="0.2">
      <c r="B56" t="s">
        <v>116</v>
      </c>
      <c r="C56" s="12">
        <v>153</v>
      </c>
      <c r="D56" s="8">
        <v>2.25</v>
      </c>
      <c r="E56" s="12">
        <v>35</v>
      </c>
      <c r="F56" s="8">
        <v>0.96</v>
      </c>
      <c r="G56" s="12">
        <v>118</v>
      </c>
      <c r="H56" s="8">
        <v>3.81</v>
      </c>
      <c r="I56" s="12">
        <v>0</v>
      </c>
    </row>
    <row r="57" spans="2:9" ht="15" customHeight="1" x14ac:dyDescent="0.2">
      <c r="B57" t="s">
        <v>125</v>
      </c>
      <c r="C57" s="12">
        <v>149</v>
      </c>
      <c r="D57" s="8">
        <v>2.19</v>
      </c>
      <c r="E57" s="12">
        <v>45</v>
      </c>
      <c r="F57" s="8">
        <v>1.23</v>
      </c>
      <c r="G57" s="12">
        <v>104</v>
      </c>
      <c r="H57" s="8">
        <v>3.35</v>
      </c>
      <c r="I57" s="12">
        <v>0</v>
      </c>
    </row>
    <row r="58" spans="2:9" ht="15" customHeight="1" x14ac:dyDescent="0.2">
      <c r="B58" t="s">
        <v>135</v>
      </c>
      <c r="C58" s="12">
        <v>133</v>
      </c>
      <c r="D58" s="8">
        <v>1.96</v>
      </c>
      <c r="E58" s="12">
        <v>105</v>
      </c>
      <c r="F58" s="8">
        <v>2.87</v>
      </c>
      <c r="G58" s="12">
        <v>28</v>
      </c>
      <c r="H58" s="8">
        <v>0.9</v>
      </c>
      <c r="I58" s="12">
        <v>0</v>
      </c>
    </row>
    <row r="59" spans="2:9" ht="15" customHeight="1" x14ac:dyDescent="0.2">
      <c r="B59" t="s">
        <v>119</v>
      </c>
      <c r="C59" s="12">
        <v>123</v>
      </c>
      <c r="D59" s="8">
        <v>1.81</v>
      </c>
      <c r="E59" s="12">
        <v>43</v>
      </c>
      <c r="F59" s="8">
        <v>1.18</v>
      </c>
      <c r="G59" s="12">
        <v>80</v>
      </c>
      <c r="H59" s="8">
        <v>2.58</v>
      </c>
      <c r="I59" s="12">
        <v>0</v>
      </c>
    </row>
    <row r="60" spans="2:9" ht="15" customHeight="1" x14ac:dyDescent="0.2">
      <c r="B60" t="s">
        <v>123</v>
      </c>
      <c r="C60" s="12">
        <v>111</v>
      </c>
      <c r="D60" s="8">
        <v>1.63</v>
      </c>
      <c r="E60" s="12">
        <v>54</v>
      </c>
      <c r="F60" s="8">
        <v>1.48</v>
      </c>
      <c r="G60" s="12">
        <v>57</v>
      </c>
      <c r="H60" s="8">
        <v>1.84</v>
      </c>
      <c r="I60" s="12">
        <v>0</v>
      </c>
    </row>
    <row r="61" spans="2:9" ht="15" customHeight="1" x14ac:dyDescent="0.2">
      <c r="B61" t="s">
        <v>117</v>
      </c>
      <c r="C61" s="12">
        <v>110</v>
      </c>
      <c r="D61" s="8">
        <v>1.62</v>
      </c>
      <c r="E61" s="12">
        <v>20</v>
      </c>
      <c r="F61" s="8">
        <v>0.55000000000000004</v>
      </c>
      <c r="G61" s="12">
        <v>90</v>
      </c>
      <c r="H61" s="8">
        <v>2.9</v>
      </c>
      <c r="I61" s="12">
        <v>0</v>
      </c>
    </row>
    <row r="62" spans="2:9" ht="15" customHeight="1" x14ac:dyDescent="0.2">
      <c r="B62" t="s">
        <v>124</v>
      </c>
      <c r="C62" s="12">
        <v>110</v>
      </c>
      <c r="D62" s="8">
        <v>1.62</v>
      </c>
      <c r="E62" s="12">
        <v>69</v>
      </c>
      <c r="F62" s="8">
        <v>1.89</v>
      </c>
      <c r="G62" s="12">
        <v>41</v>
      </c>
      <c r="H62" s="8">
        <v>1.32</v>
      </c>
      <c r="I62" s="12">
        <v>0</v>
      </c>
    </row>
    <row r="63" spans="2:9" ht="15" customHeight="1" x14ac:dyDescent="0.2">
      <c r="B63" t="s">
        <v>120</v>
      </c>
      <c r="C63" s="12">
        <v>108</v>
      </c>
      <c r="D63" s="8">
        <v>1.59</v>
      </c>
      <c r="E63" s="12">
        <v>33</v>
      </c>
      <c r="F63" s="8">
        <v>0.9</v>
      </c>
      <c r="G63" s="12">
        <v>75</v>
      </c>
      <c r="H63" s="8">
        <v>2.42</v>
      </c>
      <c r="I63" s="12">
        <v>0</v>
      </c>
    </row>
    <row r="64" spans="2:9" ht="15" customHeight="1" x14ac:dyDescent="0.2">
      <c r="B64" t="s">
        <v>153</v>
      </c>
      <c r="C64" s="12">
        <v>107</v>
      </c>
      <c r="D64" s="8">
        <v>1.58</v>
      </c>
      <c r="E64" s="12">
        <v>81</v>
      </c>
      <c r="F64" s="8">
        <v>2.21</v>
      </c>
      <c r="G64" s="12">
        <v>26</v>
      </c>
      <c r="H64" s="8">
        <v>0.84</v>
      </c>
      <c r="I64" s="12">
        <v>0</v>
      </c>
    </row>
    <row r="65" spans="2:9" ht="15" customHeight="1" x14ac:dyDescent="0.2">
      <c r="B65" t="s">
        <v>118</v>
      </c>
      <c r="C65" s="12">
        <v>104</v>
      </c>
      <c r="D65" s="8">
        <v>1.53</v>
      </c>
      <c r="E65" s="12">
        <v>57</v>
      </c>
      <c r="F65" s="8">
        <v>1.56</v>
      </c>
      <c r="G65" s="12">
        <v>47</v>
      </c>
      <c r="H65" s="8">
        <v>1.52</v>
      </c>
      <c r="I65" s="12">
        <v>0</v>
      </c>
    </row>
    <row r="66" spans="2:9" ht="15" customHeight="1" x14ac:dyDescent="0.2">
      <c r="B66" t="s">
        <v>121</v>
      </c>
      <c r="C66" s="12">
        <v>94</v>
      </c>
      <c r="D66" s="8">
        <v>1.38</v>
      </c>
      <c r="E66" s="12">
        <v>62</v>
      </c>
      <c r="F66" s="8">
        <v>1.69</v>
      </c>
      <c r="G66" s="12">
        <v>32</v>
      </c>
      <c r="H66" s="8">
        <v>1.03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0CD89-6160-4CB6-B7BC-4DFD59FF8765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214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5</v>
      </c>
      <c r="D5" s="8">
        <v>0.14000000000000001</v>
      </c>
      <c r="E5" s="12">
        <v>0</v>
      </c>
      <c r="F5" s="8">
        <v>0</v>
      </c>
      <c r="G5" s="12">
        <v>5</v>
      </c>
      <c r="H5" s="8">
        <v>0.31</v>
      </c>
      <c r="I5" s="12">
        <v>0</v>
      </c>
    </row>
    <row r="6" spans="2:9" ht="15" customHeight="1" x14ac:dyDescent="0.2">
      <c r="B6" t="s">
        <v>47</v>
      </c>
      <c r="C6" s="12">
        <v>482</v>
      </c>
      <c r="D6" s="8">
        <v>13.66</v>
      </c>
      <c r="E6" s="12">
        <v>184</v>
      </c>
      <c r="F6" s="8">
        <v>10.07</v>
      </c>
      <c r="G6" s="12">
        <v>298</v>
      </c>
      <c r="H6" s="8">
        <v>18.510000000000002</v>
      </c>
      <c r="I6" s="12">
        <v>0</v>
      </c>
    </row>
    <row r="7" spans="2:9" ht="15" customHeight="1" x14ac:dyDescent="0.2">
      <c r="B7" t="s">
        <v>48</v>
      </c>
      <c r="C7" s="12">
        <v>535</v>
      </c>
      <c r="D7" s="8">
        <v>15.16</v>
      </c>
      <c r="E7" s="12">
        <v>205</v>
      </c>
      <c r="F7" s="8">
        <v>11.21</v>
      </c>
      <c r="G7" s="12">
        <v>330</v>
      </c>
      <c r="H7" s="8">
        <v>20.5</v>
      </c>
      <c r="I7" s="12">
        <v>0</v>
      </c>
    </row>
    <row r="8" spans="2:9" ht="15" customHeight="1" x14ac:dyDescent="0.2">
      <c r="B8" t="s">
        <v>49</v>
      </c>
      <c r="C8" s="12">
        <v>12</v>
      </c>
      <c r="D8" s="8">
        <v>0.34</v>
      </c>
      <c r="E8" s="12">
        <v>0</v>
      </c>
      <c r="F8" s="8">
        <v>0</v>
      </c>
      <c r="G8" s="12">
        <v>12</v>
      </c>
      <c r="H8" s="8">
        <v>0.75</v>
      </c>
      <c r="I8" s="12">
        <v>0</v>
      </c>
    </row>
    <row r="9" spans="2:9" ht="15" customHeight="1" x14ac:dyDescent="0.2">
      <c r="B9" t="s">
        <v>50</v>
      </c>
      <c r="C9" s="12">
        <v>19</v>
      </c>
      <c r="D9" s="8">
        <v>0.54</v>
      </c>
      <c r="E9" s="12">
        <v>1</v>
      </c>
      <c r="F9" s="8">
        <v>0.05</v>
      </c>
      <c r="G9" s="12">
        <v>18</v>
      </c>
      <c r="H9" s="8">
        <v>1.1200000000000001</v>
      </c>
      <c r="I9" s="12">
        <v>0</v>
      </c>
    </row>
    <row r="10" spans="2:9" ht="15" customHeight="1" x14ac:dyDescent="0.2">
      <c r="B10" t="s">
        <v>51</v>
      </c>
      <c r="C10" s="12">
        <v>29</v>
      </c>
      <c r="D10" s="8">
        <v>0.82</v>
      </c>
      <c r="E10" s="12">
        <v>10</v>
      </c>
      <c r="F10" s="8">
        <v>0.55000000000000004</v>
      </c>
      <c r="G10" s="12">
        <v>18</v>
      </c>
      <c r="H10" s="8">
        <v>1.1200000000000001</v>
      </c>
      <c r="I10" s="12">
        <v>1</v>
      </c>
    </row>
    <row r="11" spans="2:9" ht="15" customHeight="1" x14ac:dyDescent="0.2">
      <c r="B11" t="s">
        <v>52</v>
      </c>
      <c r="C11" s="12">
        <v>734</v>
      </c>
      <c r="D11" s="8">
        <v>20.8</v>
      </c>
      <c r="E11" s="12">
        <v>334</v>
      </c>
      <c r="F11" s="8">
        <v>18.27</v>
      </c>
      <c r="G11" s="12">
        <v>399</v>
      </c>
      <c r="H11" s="8">
        <v>24.78</v>
      </c>
      <c r="I11" s="12">
        <v>1</v>
      </c>
    </row>
    <row r="12" spans="2:9" ht="15" customHeight="1" x14ac:dyDescent="0.2">
      <c r="B12" t="s">
        <v>53</v>
      </c>
      <c r="C12" s="12">
        <v>20</v>
      </c>
      <c r="D12" s="8">
        <v>0.56999999999999995</v>
      </c>
      <c r="E12" s="12">
        <v>5</v>
      </c>
      <c r="F12" s="8">
        <v>0.27</v>
      </c>
      <c r="G12" s="12">
        <v>15</v>
      </c>
      <c r="H12" s="8">
        <v>0.93</v>
      </c>
      <c r="I12" s="12">
        <v>0</v>
      </c>
    </row>
    <row r="13" spans="2:9" ht="15" customHeight="1" x14ac:dyDescent="0.2">
      <c r="B13" t="s">
        <v>54</v>
      </c>
      <c r="C13" s="12">
        <v>319</v>
      </c>
      <c r="D13" s="8">
        <v>9.0399999999999991</v>
      </c>
      <c r="E13" s="12">
        <v>159</v>
      </c>
      <c r="F13" s="8">
        <v>8.6999999999999993</v>
      </c>
      <c r="G13" s="12">
        <v>160</v>
      </c>
      <c r="H13" s="8">
        <v>9.94</v>
      </c>
      <c r="I13" s="12">
        <v>0</v>
      </c>
    </row>
    <row r="14" spans="2:9" ht="15" customHeight="1" x14ac:dyDescent="0.2">
      <c r="B14" t="s">
        <v>55</v>
      </c>
      <c r="C14" s="12">
        <v>151</v>
      </c>
      <c r="D14" s="8">
        <v>4.28</v>
      </c>
      <c r="E14" s="12">
        <v>81</v>
      </c>
      <c r="F14" s="8">
        <v>4.43</v>
      </c>
      <c r="G14" s="12">
        <v>70</v>
      </c>
      <c r="H14" s="8">
        <v>4.3499999999999996</v>
      </c>
      <c r="I14" s="12">
        <v>0</v>
      </c>
    </row>
    <row r="15" spans="2:9" ht="15" customHeight="1" x14ac:dyDescent="0.2">
      <c r="B15" t="s">
        <v>56</v>
      </c>
      <c r="C15" s="12">
        <v>304</v>
      </c>
      <c r="D15" s="8">
        <v>8.6199999999999992</v>
      </c>
      <c r="E15" s="12">
        <v>249</v>
      </c>
      <c r="F15" s="8">
        <v>13.62</v>
      </c>
      <c r="G15" s="12">
        <v>52</v>
      </c>
      <c r="H15" s="8">
        <v>3.23</v>
      </c>
      <c r="I15" s="12">
        <v>0</v>
      </c>
    </row>
    <row r="16" spans="2:9" ht="15" customHeight="1" x14ac:dyDescent="0.2">
      <c r="B16" t="s">
        <v>57</v>
      </c>
      <c r="C16" s="12">
        <v>426</v>
      </c>
      <c r="D16" s="8">
        <v>12.07</v>
      </c>
      <c r="E16" s="12">
        <v>339</v>
      </c>
      <c r="F16" s="8">
        <v>18.54</v>
      </c>
      <c r="G16" s="12">
        <v>85</v>
      </c>
      <c r="H16" s="8">
        <v>5.28</v>
      </c>
      <c r="I16" s="12">
        <v>0</v>
      </c>
    </row>
    <row r="17" spans="2:9" ht="15" customHeight="1" x14ac:dyDescent="0.2">
      <c r="B17" t="s">
        <v>58</v>
      </c>
      <c r="C17" s="12">
        <v>136</v>
      </c>
      <c r="D17" s="8">
        <v>3.85</v>
      </c>
      <c r="E17" s="12">
        <v>104</v>
      </c>
      <c r="F17" s="8">
        <v>5.69</v>
      </c>
      <c r="G17" s="12">
        <v>29</v>
      </c>
      <c r="H17" s="8">
        <v>1.8</v>
      </c>
      <c r="I17" s="12">
        <v>0</v>
      </c>
    </row>
    <row r="18" spans="2:9" ht="15" customHeight="1" x14ac:dyDescent="0.2">
      <c r="B18" t="s">
        <v>59</v>
      </c>
      <c r="C18" s="12">
        <v>213</v>
      </c>
      <c r="D18" s="8">
        <v>6.04</v>
      </c>
      <c r="E18" s="12">
        <v>107</v>
      </c>
      <c r="F18" s="8">
        <v>5.85</v>
      </c>
      <c r="G18" s="12">
        <v>50</v>
      </c>
      <c r="H18" s="8">
        <v>3.11</v>
      </c>
      <c r="I18" s="12">
        <v>0</v>
      </c>
    </row>
    <row r="19" spans="2:9" ht="15" customHeight="1" x14ac:dyDescent="0.2">
      <c r="B19" t="s">
        <v>60</v>
      </c>
      <c r="C19" s="12">
        <v>143</v>
      </c>
      <c r="D19" s="8">
        <v>4.05</v>
      </c>
      <c r="E19" s="12">
        <v>50</v>
      </c>
      <c r="F19" s="8">
        <v>2.74</v>
      </c>
      <c r="G19" s="12">
        <v>69</v>
      </c>
      <c r="H19" s="8">
        <v>4.29</v>
      </c>
      <c r="I19" s="12">
        <v>1</v>
      </c>
    </row>
    <row r="20" spans="2:9" ht="15" customHeight="1" x14ac:dyDescent="0.2">
      <c r="B20" s="9" t="s">
        <v>191</v>
      </c>
      <c r="C20" s="12">
        <f>SUM(LTBL_22211[総数／事業所数])</f>
        <v>3528</v>
      </c>
      <c r="E20" s="12">
        <f>SUBTOTAL(109,LTBL_22211[個人／事業所数])</f>
        <v>1828</v>
      </c>
      <c r="G20" s="12">
        <f>SUBTOTAL(109,LTBL_22211[法人／事業所数])</f>
        <v>1610</v>
      </c>
      <c r="I20" s="12">
        <f>SUBTOTAL(109,LTBL_22211[法人以外の団体／事業所数])</f>
        <v>3</v>
      </c>
    </row>
    <row r="21" spans="2:9" ht="15" customHeight="1" x14ac:dyDescent="0.2">
      <c r="E21" s="11">
        <f>LTBL_22211[[#Totals],[個人／事業所数]]/LTBL_22211[[#Totals],[総数／事業所数]]</f>
        <v>0.51814058956916098</v>
      </c>
      <c r="G21" s="11">
        <f>LTBL_22211[[#Totals],[法人／事業所数]]/LTBL_22211[[#Totals],[総数／事業所数]]</f>
        <v>0.45634920634920634</v>
      </c>
      <c r="I21" s="11">
        <f>LTBL_22211[[#Totals],[法人以外の団体／事業所数]]/LTBL_22211[[#Totals],[総数／事業所数]]</f>
        <v>8.5034013605442174E-4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370</v>
      </c>
      <c r="D24" s="8">
        <v>10.49</v>
      </c>
      <c r="E24" s="12">
        <v>313</v>
      </c>
      <c r="F24" s="8">
        <v>17.12</v>
      </c>
      <c r="G24" s="12">
        <v>57</v>
      </c>
      <c r="H24" s="8">
        <v>3.54</v>
      </c>
      <c r="I24" s="12">
        <v>0</v>
      </c>
    </row>
    <row r="25" spans="2:9" ht="15" customHeight="1" x14ac:dyDescent="0.2">
      <c r="B25" t="s">
        <v>84</v>
      </c>
      <c r="C25" s="12">
        <v>272</v>
      </c>
      <c r="D25" s="8">
        <v>7.71</v>
      </c>
      <c r="E25" s="12">
        <v>242</v>
      </c>
      <c r="F25" s="8">
        <v>13.24</v>
      </c>
      <c r="G25" s="12">
        <v>30</v>
      </c>
      <c r="H25" s="8">
        <v>1.86</v>
      </c>
      <c r="I25" s="12">
        <v>0</v>
      </c>
    </row>
    <row r="26" spans="2:9" ht="15" customHeight="1" x14ac:dyDescent="0.2">
      <c r="B26" t="s">
        <v>81</v>
      </c>
      <c r="C26" s="12">
        <v>259</v>
      </c>
      <c r="D26" s="8">
        <v>7.34</v>
      </c>
      <c r="E26" s="12">
        <v>141</v>
      </c>
      <c r="F26" s="8">
        <v>7.71</v>
      </c>
      <c r="G26" s="12">
        <v>118</v>
      </c>
      <c r="H26" s="8">
        <v>7.33</v>
      </c>
      <c r="I26" s="12">
        <v>0</v>
      </c>
    </row>
    <row r="27" spans="2:9" ht="15" customHeight="1" x14ac:dyDescent="0.2">
      <c r="B27" t="s">
        <v>69</v>
      </c>
      <c r="C27" s="12">
        <v>210</v>
      </c>
      <c r="D27" s="8">
        <v>5.95</v>
      </c>
      <c r="E27" s="12">
        <v>76</v>
      </c>
      <c r="F27" s="8">
        <v>4.16</v>
      </c>
      <c r="G27" s="12">
        <v>134</v>
      </c>
      <c r="H27" s="8">
        <v>8.32</v>
      </c>
      <c r="I27" s="12">
        <v>0</v>
      </c>
    </row>
    <row r="28" spans="2:9" ht="15" customHeight="1" x14ac:dyDescent="0.2">
      <c r="B28" t="s">
        <v>79</v>
      </c>
      <c r="C28" s="12">
        <v>170</v>
      </c>
      <c r="D28" s="8">
        <v>4.82</v>
      </c>
      <c r="E28" s="12">
        <v>77</v>
      </c>
      <c r="F28" s="8">
        <v>4.21</v>
      </c>
      <c r="G28" s="12">
        <v>93</v>
      </c>
      <c r="H28" s="8">
        <v>5.78</v>
      </c>
      <c r="I28" s="12">
        <v>0</v>
      </c>
    </row>
    <row r="29" spans="2:9" ht="15" customHeight="1" x14ac:dyDescent="0.2">
      <c r="B29" t="s">
        <v>70</v>
      </c>
      <c r="C29" s="12">
        <v>159</v>
      </c>
      <c r="D29" s="8">
        <v>4.51</v>
      </c>
      <c r="E29" s="12">
        <v>77</v>
      </c>
      <c r="F29" s="8">
        <v>4.21</v>
      </c>
      <c r="G29" s="12">
        <v>82</v>
      </c>
      <c r="H29" s="8">
        <v>5.09</v>
      </c>
      <c r="I29" s="12">
        <v>0</v>
      </c>
    </row>
    <row r="30" spans="2:9" ht="15" customHeight="1" x14ac:dyDescent="0.2">
      <c r="B30" t="s">
        <v>77</v>
      </c>
      <c r="C30" s="12">
        <v>153</v>
      </c>
      <c r="D30" s="8">
        <v>4.34</v>
      </c>
      <c r="E30" s="12">
        <v>111</v>
      </c>
      <c r="F30" s="8">
        <v>6.07</v>
      </c>
      <c r="G30" s="12">
        <v>42</v>
      </c>
      <c r="H30" s="8">
        <v>2.61</v>
      </c>
      <c r="I30" s="12">
        <v>0</v>
      </c>
    </row>
    <row r="31" spans="2:9" ht="15" customHeight="1" x14ac:dyDescent="0.2">
      <c r="B31" t="s">
        <v>78</v>
      </c>
      <c r="C31" s="12">
        <v>148</v>
      </c>
      <c r="D31" s="8">
        <v>4.2</v>
      </c>
      <c r="E31" s="12">
        <v>77</v>
      </c>
      <c r="F31" s="8">
        <v>4.21</v>
      </c>
      <c r="G31" s="12">
        <v>71</v>
      </c>
      <c r="H31" s="8">
        <v>4.41</v>
      </c>
      <c r="I31" s="12">
        <v>0</v>
      </c>
    </row>
    <row r="32" spans="2:9" ht="15" customHeight="1" x14ac:dyDescent="0.2">
      <c r="B32" t="s">
        <v>86</v>
      </c>
      <c r="C32" s="12">
        <v>136</v>
      </c>
      <c r="D32" s="8">
        <v>3.85</v>
      </c>
      <c r="E32" s="12">
        <v>104</v>
      </c>
      <c r="F32" s="8">
        <v>5.69</v>
      </c>
      <c r="G32" s="12">
        <v>29</v>
      </c>
      <c r="H32" s="8">
        <v>1.8</v>
      </c>
      <c r="I32" s="12">
        <v>0</v>
      </c>
    </row>
    <row r="33" spans="2:9" ht="15" customHeight="1" x14ac:dyDescent="0.2">
      <c r="B33" t="s">
        <v>87</v>
      </c>
      <c r="C33" s="12">
        <v>122</v>
      </c>
      <c r="D33" s="8">
        <v>3.46</v>
      </c>
      <c r="E33" s="12">
        <v>107</v>
      </c>
      <c r="F33" s="8">
        <v>5.85</v>
      </c>
      <c r="G33" s="12">
        <v>15</v>
      </c>
      <c r="H33" s="8">
        <v>0.93</v>
      </c>
      <c r="I33" s="12">
        <v>0</v>
      </c>
    </row>
    <row r="34" spans="2:9" ht="15" customHeight="1" x14ac:dyDescent="0.2">
      <c r="B34" t="s">
        <v>71</v>
      </c>
      <c r="C34" s="12">
        <v>113</v>
      </c>
      <c r="D34" s="8">
        <v>3.2</v>
      </c>
      <c r="E34" s="12">
        <v>31</v>
      </c>
      <c r="F34" s="8">
        <v>1.7</v>
      </c>
      <c r="G34" s="12">
        <v>82</v>
      </c>
      <c r="H34" s="8">
        <v>5.09</v>
      </c>
      <c r="I34" s="12">
        <v>0</v>
      </c>
    </row>
    <row r="35" spans="2:9" ht="15" customHeight="1" x14ac:dyDescent="0.2">
      <c r="B35" t="s">
        <v>76</v>
      </c>
      <c r="C35" s="12">
        <v>100</v>
      </c>
      <c r="D35" s="8">
        <v>2.83</v>
      </c>
      <c r="E35" s="12">
        <v>38</v>
      </c>
      <c r="F35" s="8">
        <v>2.08</v>
      </c>
      <c r="G35" s="12">
        <v>62</v>
      </c>
      <c r="H35" s="8">
        <v>3.85</v>
      </c>
      <c r="I35" s="12">
        <v>0</v>
      </c>
    </row>
    <row r="36" spans="2:9" ht="15" customHeight="1" x14ac:dyDescent="0.2">
      <c r="B36" t="s">
        <v>90</v>
      </c>
      <c r="C36" s="12">
        <v>91</v>
      </c>
      <c r="D36" s="8">
        <v>2.58</v>
      </c>
      <c r="E36" s="12">
        <v>0</v>
      </c>
      <c r="F36" s="8">
        <v>0</v>
      </c>
      <c r="G36" s="12">
        <v>35</v>
      </c>
      <c r="H36" s="8">
        <v>2.17</v>
      </c>
      <c r="I36" s="12">
        <v>0</v>
      </c>
    </row>
    <row r="37" spans="2:9" ht="15" customHeight="1" x14ac:dyDescent="0.2">
      <c r="B37" t="s">
        <v>82</v>
      </c>
      <c r="C37" s="12">
        <v>79</v>
      </c>
      <c r="D37" s="8">
        <v>2.2400000000000002</v>
      </c>
      <c r="E37" s="12">
        <v>55</v>
      </c>
      <c r="F37" s="8">
        <v>3.01</v>
      </c>
      <c r="G37" s="12">
        <v>24</v>
      </c>
      <c r="H37" s="8">
        <v>1.49</v>
      </c>
      <c r="I37" s="12">
        <v>0</v>
      </c>
    </row>
    <row r="38" spans="2:9" ht="15" customHeight="1" x14ac:dyDescent="0.2">
      <c r="B38" t="s">
        <v>72</v>
      </c>
      <c r="C38" s="12">
        <v>76</v>
      </c>
      <c r="D38" s="8">
        <v>2.15</v>
      </c>
      <c r="E38" s="12">
        <v>23</v>
      </c>
      <c r="F38" s="8">
        <v>1.26</v>
      </c>
      <c r="G38" s="12">
        <v>53</v>
      </c>
      <c r="H38" s="8">
        <v>3.29</v>
      </c>
      <c r="I38" s="12">
        <v>0</v>
      </c>
    </row>
    <row r="39" spans="2:9" ht="15" customHeight="1" x14ac:dyDescent="0.2">
      <c r="B39" t="s">
        <v>96</v>
      </c>
      <c r="C39" s="12">
        <v>74</v>
      </c>
      <c r="D39" s="8">
        <v>2.1</v>
      </c>
      <c r="E39" s="12">
        <v>49</v>
      </c>
      <c r="F39" s="8">
        <v>2.68</v>
      </c>
      <c r="G39" s="12">
        <v>25</v>
      </c>
      <c r="H39" s="8">
        <v>1.55</v>
      </c>
      <c r="I39" s="12">
        <v>0</v>
      </c>
    </row>
    <row r="40" spans="2:9" ht="15" customHeight="1" x14ac:dyDescent="0.2">
      <c r="B40" t="s">
        <v>73</v>
      </c>
      <c r="C40" s="12">
        <v>74</v>
      </c>
      <c r="D40" s="8">
        <v>2.1</v>
      </c>
      <c r="E40" s="12">
        <v>13</v>
      </c>
      <c r="F40" s="8">
        <v>0.71</v>
      </c>
      <c r="G40" s="12">
        <v>61</v>
      </c>
      <c r="H40" s="8">
        <v>3.79</v>
      </c>
      <c r="I40" s="12">
        <v>0</v>
      </c>
    </row>
    <row r="41" spans="2:9" ht="15" customHeight="1" x14ac:dyDescent="0.2">
      <c r="B41" t="s">
        <v>83</v>
      </c>
      <c r="C41" s="12">
        <v>66</v>
      </c>
      <c r="D41" s="8">
        <v>1.87</v>
      </c>
      <c r="E41" s="12">
        <v>25</v>
      </c>
      <c r="F41" s="8">
        <v>1.37</v>
      </c>
      <c r="G41" s="12">
        <v>41</v>
      </c>
      <c r="H41" s="8">
        <v>2.5499999999999998</v>
      </c>
      <c r="I41" s="12">
        <v>0</v>
      </c>
    </row>
    <row r="42" spans="2:9" ht="15" customHeight="1" x14ac:dyDescent="0.2">
      <c r="B42" t="s">
        <v>94</v>
      </c>
      <c r="C42" s="12">
        <v>62</v>
      </c>
      <c r="D42" s="8">
        <v>1.76</v>
      </c>
      <c r="E42" s="12">
        <v>23</v>
      </c>
      <c r="F42" s="8">
        <v>1.26</v>
      </c>
      <c r="G42" s="12">
        <v>39</v>
      </c>
      <c r="H42" s="8">
        <v>2.42</v>
      </c>
      <c r="I42" s="12">
        <v>0</v>
      </c>
    </row>
    <row r="43" spans="2:9" ht="15" customHeight="1" x14ac:dyDescent="0.2">
      <c r="B43" t="s">
        <v>88</v>
      </c>
      <c r="C43" s="12">
        <v>54</v>
      </c>
      <c r="D43" s="8">
        <v>1.53</v>
      </c>
      <c r="E43" s="12">
        <v>36</v>
      </c>
      <c r="F43" s="8">
        <v>1.97</v>
      </c>
      <c r="G43" s="12">
        <v>18</v>
      </c>
      <c r="H43" s="8">
        <v>1.1200000000000001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189</v>
      </c>
      <c r="D47" s="8">
        <v>5.36</v>
      </c>
      <c r="E47" s="12">
        <v>163</v>
      </c>
      <c r="F47" s="8">
        <v>8.92</v>
      </c>
      <c r="G47" s="12">
        <v>26</v>
      </c>
      <c r="H47" s="8">
        <v>1.61</v>
      </c>
      <c r="I47" s="12">
        <v>0</v>
      </c>
    </row>
    <row r="48" spans="2:9" ht="15" customHeight="1" x14ac:dyDescent="0.2">
      <c r="B48" t="s">
        <v>126</v>
      </c>
      <c r="C48" s="12">
        <v>177</v>
      </c>
      <c r="D48" s="8">
        <v>5.0199999999999996</v>
      </c>
      <c r="E48" s="12">
        <v>113</v>
      </c>
      <c r="F48" s="8">
        <v>6.18</v>
      </c>
      <c r="G48" s="12">
        <v>64</v>
      </c>
      <c r="H48" s="8">
        <v>3.98</v>
      </c>
      <c r="I48" s="12">
        <v>0</v>
      </c>
    </row>
    <row r="49" spans="2:9" ht="15" customHeight="1" x14ac:dyDescent="0.2">
      <c r="B49" t="s">
        <v>131</v>
      </c>
      <c r="C49" s="12">
        <v>106</v>
      </c>
      <c r="D49" s="8">
        <v>3</v>
      </c>
      <c r="E49" s="12">
        <v>102</v>
      </c>
      <c r="F49" s="8">
        <v>5.58</v>
      </c>
      <c r="G49" s="12">
        <v>4</v>
      </c>
      <c r="H49" s="8">
        <v>0.25</v>
      </c>
      <c r="I49" s="12">
        <v>0</v>
      </c>
    </row>
    <row r="50" spans="2:9" ht="15" customHeight="1" x14ac:dyDescent="0.2">
      <c r="B50" t="s">
        <v>122</v>
      </c>
      <c r="C50" s="12">
        <v>93</v>
      </c>
      <c r="D50" s="8">
        <v>2.64</v>
      </c>
      <c r="E50" s="12">
        <v>46</v>
      </c>
      <c r="F50" s="8">
        <v>2.52</v>
      </c>
      <c r="G50" s="12">
        <v>47</v>
      </c>
      <c r="H50" s="8">
        <v>2.92</v>
      </c>
      <c r="I50" s="12">
        <v>0</v>
      </c>
    </row>
    <row r="51" spans="2:9" ht="15" customHeight="1" x14ac:dyDescent="0.2">
      <c r="B51" t="s">
        <v>134</v>
      </c>
      <c r="C51" s="12">
        <v>91</v>
      </c>
      <c r="D51" s="8">
        <v>2.58</v>
      </c>
      <c r="E51" s="12">
        <v>82</v>
      </c>
      <c r="F51" s="8">
        <v>4.49</v>
      </c>
      <c r="G51" s="12">
        <v>9</v>
      </c>
      <c r="H51" s="8">
        <v>0.56000000000000005</v>
      </c>
      <c r="I51" s="12">
        <v>0</v>
      </c>
    </row>
    <row r="52" spans="2:9" ht="15" customHeight="1" x14ac:dyDescent="0.2">
      <c r="B52" t="s">
        <v>133</v>
      </c>
      <c r="C52" s="12">
        <v>78</v>
      </c>
      <c r="D52" s="8">
        <v>2.21</v>
      </c>
      <c r="E52" s="12">
        <v>62</v>
      </c>
      <c r="F52" s="8">
        <v>3.39</v>
      </c>
      <c r="G52" s="12">
        <v>16</v>
      </c>
      <c r="H52" s="8">
        <v>0.99</v>
      </c>
      <c r="I52" s="12">
        <v>0</v>
      </c>
    </row>
    <row r="53" spans="2:9" ht="15" customHeight="1" x14ac:dyDescent="0.2">
      <c r="B53" t="s">
        <v>128</v>
      </c>
      <c r="C53" s="12">
        <v>74</v>
      </c>
      <c r="D53" s="8">
        <v>2.1</v>
      </c>
      <c r="E53" s="12">
        <v>64</v>
      </c>
      <c r="F53" s="8">
        <v>3.5</v>
      </c>
      <c r="G53" s="12">
        <v>10</v>
      </c>
      <c r="H53" s="8">
        <v>0.62</v>
      </c>
      <c r="I53" s="12">
        <v>0</v>
      </c>
    </row>
    <row r="54" spans="2:9" ht="15" customHeight="1" x14ac:dyDescent="0.2">
      <c r="B54" t="s">
        <v>116</v>
      </c>
      <c r="C54" s="12">
        <v>65</v>
      </c>
      <c r="D54" s="8">
        <v>1.84</v>
      </c>
      <c r="E54" s="12">
        <v>14</v>
      </c>
      <c r="F54" s="8">
        <v>0.77</v>
      </c>
      <c r="G54" s="12">
        <v>51</v>
      </c>
      <c r="H54" s="8">
        <v>3.17</v>
      </c>
      <c r="I54" s="12">
        <v>0</v>
      </c>
    </row>
    <row r="55" spans="2:9" ht="15" customHeight="1" x14ac:dyDescent="0.2">
      <c r="B55" t="s">
        <v>118</v>
      </c>
      <c r="C55" s="12">
        <v>64</v>
      </c>
      <c r="D55" s="8">
        <v>1.81</v>
      </c>
      <c r="E55" s="12">
        <v>40</v>
      </c>
      <c r="F55" s="8">
        <v>2.19</v>
      </c>
      <c r="G55" s="12">
        <v>24</v>
      </c>
      <c r="H55" s="8">
        <v>1.49</v>
      </c>
      <c r="I55" s="12">
        <v>0</v>
      </c>
    </row>
    <row r="56" spans="2:9" ht="15" customHeight="1" x14ac:dyDescent="0.2">
      <c r="B56" t="s">
        <v>164</v>
      </c>
      <c r="C56" s="12">
        <v>61</v>
      </c>
      <c r="D56" s="8">
        <v>1.73</v>
      </c>
      <c r="E56" s="12">
        <v>0</v>
      </c>
      <c r="F56" s="8">
        <v>0</v>
      </c>
      <c r="G56" s="12">
        <v>6</v>
      </c>
      <c r="H56" s="8">
        <v>0.37</v>
      </c>
      <c r="I56" s="12">
        <v>0</v>
      </c>
    </row>
    <row r="57" spans="2:9" ht="15" customHeight="1" x14ac:dyDescent="0.2">
      <c r="B57" t="s">
        <v>129</v>
      </c>
      <c r="C57" s="12">
        <v>57</v>
      </c>
      <c r="D57" s="8">
        <v>1.62</v>
      </c>
      <c r="E57" s="12">
        <v>54</v>
      </c>
      <c r="F57" s="8">
        <v>2.95</v>
      </c>
      <c r="G57" s="12">
        <v>3</v>
      </c>
      <c r="H57" s="8">
        <v>0.19</v>
      </c>
      <c r="I57" s="12">
        <v>0</v>
      </c>
    </row>
    <row r="58" spans="2:9" ht="15" customHeight="1" x14ac:dyDescent="0.2">
      <c r="B58" t="s">
        <v>121</v>
      </c>
      <c r="C58" s="12">
        <v>55</v>
      </c>
      <c r="D58" s="8">
        <v>1.56</v>
      </c>
      <c r="E58" s="12">
        <v>34</v>
      </c>
      <c r="F58" s="8">
        <v>1.86</v>
      </c>
      <c r="G58" s="12">
        <v>21</v>
      </c>
      <c r="H58" s="8">
        <v>1.3</v>
      </c>
      <c r="I58" s="12">
        <v>0</v>
      </c>
    </row>
    <row r="59" spans="2:9" ht="15" customHeight="1" x14ac:dyDescent="0.2">
      <c r="B59" t="s">
        <v>117</v>
      </c>
      <c r="C59" s="12">
        <v>54</v>
      </c>
      <c r="D59" s="8">
        <v>1.53</v>
      </c>
      <c r="E59" s="12">
        <v>15</v>
      </c>
      <c r="F59" s="8">
        <v>0.82</v>
      </c>
      <c r="G59" s="12">
        <v>39</v>
      </c>
      <c r="H59" s="8">
        <v>2.42</v>
      </c>
      <c r="I59" s="12">
        <v>0</v>
      </c>
    </row>
    <row r="60" spans="2:9" ht="15" customHeight="1" x14ac:dyDescent="0.2">
      <c r="B60" t="s">
        <v>130</v>
      </c>
      <c r="C60" s="12">
        <v>54</v>
      </c>
      <c r="D60" s="8">
        <v>1.53</v>
      </c>
      <c r="E60" s="12">
        <v>51</v>
      </c>
      <c r="F60" s="8">
        <v>2.79</v>
      </c>
      <c r="G60" s="12">
        <v>3</v>
      </c>
      <c r="H60" s="8">
        <v>0.19</v>
      </c>
      <c r="I60" s="12">
        <v>0</v>
      </c>
    </row>
    <row r="61" spans="2:9" ht="15" customHeight="1" x14ac:dyDescent="0.2">
      <c r="B61" t="s">
        <v>135</v>
      </c>
      <c r="C61" s="12">
        <v>54</v>
      </c>
      <c r="D61" s="8">
        <v>1.53</v>
      </c>
      <c r="E61" s="12">
        <v>36</v>
      </c>
      <c r="F61" s="8">
        <v>1.97</v>
      </c>
      <c r="G61" s="12">
        <v>18</v>
      </c>
      <c r="H61" s="8">
        <v>1.1200000000000001</v>
      </c>
      <c r="I61" s="12">
        <v>0</v>
      </c>
    </row>
    <row r="62" spans="2:9" ht="15" customHeight="1" x14ac:dyDescent="0.2">
      <c r="B62" t="s">
        <v>120</v>
      </c>
      <c r="C62" s="12">
        <v>53</v>
      </c>
      <c r="D62" s="8">
        <v>1.5</v>
      </c>
      <c r="E62" s="12">
        <v>15</v>
      </c>
      <c r="F62" s="8">
        <v>0.82</v>
      </c>
      <c r="G62" s="12">
        <v>38</v>
      </c>
      <c r="H62" s="8">
        <v>2.36</v>
      </c>
      <c r="I62" s="12">
        <v>0</v>
      </c>
    </row>
    <row r="63" spans="2:9" ht="15" customHeight="1" x14ac:dyDescent="0.2">
      <c r="B63" t="s">
        <v>153</v>
      </c>
      <c r="C63" s="12">
        <v>50</v>
      </c>
      <c r="D63" s="8">
        <v>1.42</v>
      </c>
      <c r="E63" s="12">
        <v>41</v>
      </c>
      <c r="F63" s="8">
        <v>2.2400000000000002</v>
      </c>
      <c r="G63" s="12">
        <v>9</v>
      </c>
      <c r="H63" s="8">
        <v>0.56000000000000005</v>
      </c>
      <c r="I63" s="12">
        <v>0</v>
      </c>
    </row>
    <row r="64" spans="2:9" ht="15" customHeight="1" x14ac:dyDescent="0.2">
      <c r="B64" t="s">
        <v>145</v>
      </c>
      <c r="C64" s="12">
        <v>49</v>
      </c>
      <c r="D64" s="8">
        <v>1.39</v>
      </c>
      <c r="E64" s="12">
        <v>19</v>
      </c>
      <c r="F64" s="8">
        <v>1.04</v>
      </c>
      <c r="G64" s="12">
        <v>30</v>
      </c>
      <c r="H64" s="8">
        <v>1.86</v>
      </c>
      <c r="I64" s="12">
        <v>0</v>
      </c>
    </row>
    <row r="65" spans="2:9" ht="15" customHeight="1" x14ac:dyDescent="0.2">
      <c r="B65" t="s">
        <v>119</v>
      </c>
      <c r="C65" s="12">
        <v>44</v>
      </c>
      <c r="D65" s="8">
        <v>1.25</v>
      </c>
      <c r="E65" s="12">
        <v>16</v>
      </c>
      <c r="F65" s="8">
        <v>0.88</v>
      </c>
      <c r="G65" s="12">
        <v>28</v>
      </c>
      <c r="H65" s="8">
        <v>1.74</v>
      </c>
      <c r="I65" s="12">
        <v>0</v>
      </c>
    </row>
    <row r="66" spans="2:9" ht="15" customHeight="1" x14ac:dyDescent="0.2">
      <c r="B66" t="s">
        <v>155</v>
      </c>
      <c r="C66" s="12">
        <v>43</v>
      </c>
      <c r="D66" s="8">
        <v>1.22</v>
      </c>
      <c r="E66" s="12">
        <v>20</v>
      </c>
      <c r="F66" s="8">
        <v>1.0900000000000001</v>
      </c>
      <c r="G66" s="12">
        <v>23</v>
      </c>
      <c r="H66" s="8">
        <v>1.43</v>
      </c>
      <c r="I66" s="12">
        <v>0</v>
      </c>
    </row>
    <row r="67" spans="2:9" ht="15" customHeight="1" x14ac:dyDescent="0.2">
      <c r="B67" t="s">
        <v>125</v>
      </c>
      <c r="C67" s="12">
        <v>43</v>
      </c>
      <c r="D67" s="8">
        <v>1.22</v>
      </c>
      <c r="E67" s="12">
        <v>7</v>
      </c>
      <c r="F67" s="8">
        <v>0.38</v>
      </c>
      <c r="G67" s="12">
        <v>36</v>
      </c>
      <c r="H67" s="8">
        <v>2.2400000000000002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0D12-F91D-4979-BC7A-915793B867D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215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0.03</v>
      </c>
      <c r="E5" s="12">
        <v>1</v>
      </c>
      <c r="F5" s="8">
        <v>0.05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500</v>
      </c>
      <c r="D6" s="8">
        <v>13.77</v>
      </c>
      <c r="E6" s="12">
        <v>203</v>
      </c>
      <c r="F6" s="8">
        <v>9.9499999999999993</v>
      </c>
      <c r="G6" s="12">
        <v>297</v>
      </c>
      <c r="H6" s="8">
        <v>18.760000000000002</v>
      </c>
      <c r="I6" s="12">
        <v>0</v>
      </c>
    </row>
    <row r="7" spans="2:9" ht="15" customHeight="1" x14ac:dyDescent="0.2">
      <c r="B7" t="s">
        <v>48</v>
      </c>
      <c r="C7" s="12">
        <v>529</v>
      </c>
      <c r="D7" s="8">
        <v>14.57</v>
      </c>
      <c r="E7" s="12">
        <v>187</v>
      </c>
      <c r="F7" s="8">
        <v>9.16</v>
      </c>
      <c r="G7" s="12">
        <v>342</v>
      </c>
      <c r="H7" s="8">
        <v>21.6</v>
      </c>
      <c r="I7" s="12">
        <v>0</v>
      </c>
    </row>
    <row r="8" spans="2:9" ht="15" customHeight="1" x14ac:dyDescent="0.2">
      <c r="B8" t="s">
        <v>49</v>
      </c>
      <c r="C8" s="12">
        <v>5</v>
      </c>
      <c r="D8" s="8">
        <v>0.14000000000000001</v>
      </c>
      <c r="E8" s="12">
        <v>1</v>
      </c>
      <c r="F8" s="8">
        <v>0.05</v>
      </c>
      <c r="G8" s="12">
        <v>4</v>
      </c>
      <c r="H8" s="8">
        <v>0.25</v>
      </c>
      <c r="I8" s="12">
        <v>0</v>
      </c>
    </row>
    <row r="9" spans="2:9" ht="15" customHeight="1" x14ac:dyDescent="0.2">
      <c r="B9" t="s">
        <v>50</v>
      </c>
      <c r="C9" s="12">
        <v>21</v>
      </c>
      <c r="D9" s="8">
        <v>0.57999999999999996</v>
      </c>
      <c r="E9" s="12">
        <v>3</v>
      </c>
      <c r="F9" s="8">
        <v>0.15</v>
      </c>
      <c r="G9" s="12">
        <v>18</v>
      </c>
      <c r="H9" s="8">
        <v>1.1399999999999999</v>
      </c>
      <c r="I9" s="12">
        <v>0</v>
      </c>
    </row>
    <row r="10" spans="2:9" ht="15" customHeight="1" x14ac:dyDescent="0.2">
      <c r="B10" t="s">
        <v>51</v>
      </c>
      <c r="C10" s="12">
        <v>59</v>
      </c>
      <c r="D10" s="8">
        <v>1.62</v>
      </c>
      <c r="E10" s="12">
        <v>5</v>
      </c>
      <c r="F10" s="8">
        <v>0.24</v>
      </c>
      <c r="G10" s="12">
        <v>54</v>
      </c>
      <c r="H10" s="8">
        <v>3.41</v>
      </c>
      <c r="I10" s="12">
        <v>0</v>
      </c>
    </row>
    <row r="11" spans="2:9" ht="15" customHeight="1" x14ac:dyDescent="0.2">
      <c r="B11" t="s">
        <v>52</v>
      </c>
      <c r="C11" s="12">
        <v>887</v>
      </c>
      <c r="D11" s="8">
        <v>24.43</v>
      </c>
      <c r="E11" s="12">
        <v>448</v>
      </c>
      <c r="F11" s="8">
        <v>21.95</v>
      </c>
      <c r="G11" s="12">
        <v>438</v>
      </c>
      <c r="H11" s="8">
        <v>27.67</v>
      </c>
      <c r="I11" s="12">
        <v>1</v>
      </c>
    </row>
    <row r="12" spans="2:9" ht="15" customHeight="1" x14ac:dyDescent="0.2">
      <c r="B12" t="s">
        <v>53</v>
      </c>
      <c r="C12" s="12">
        <v>24</v>
      </c>
      <c r="D12" s="8">
        <v>0.66</v>
      </c>
      <c r="E12" s="12">
        <v>10</v>
      </c>
      <c r="F12" s="8">
        <v>0.49</v>
      </c>
      <c r="G12" s="12">
        <v>14</v>
      </c>
      <c r="H12" s="8">
        <v>0.88</v>
      </c>
      <c r="I12" s="12">
        <v>0</v>
      </c>
    </row>
    <row r="13" spans="2:9" ht="15" customHeight="1" x14ac:dyDescent="0.2">
      <c r="B13" t="s">
        <v>54</v>
      </c>
      <c r="C13" s="12">
        <v>235</v>
      </c>
      <c r="D13" s="8">
        <v>6.47</v>
      </c>
      <c r="E13" s="12">
        <v>125</v>
      </c>
      <c r="F13" s="8">
        <v>6.12</v>
      </c>
      <c r="G13" s="12">
        <v>110</v>
      </c>
      <c r="H13" s="8">
        <v>6.95</v>
      </c>
      <c r="I13" s="12">
        <v>0</v>
      </c>
    </row>
    <row r="14" spans="2:9" ht="15" customHeight="1" x14ac:dyDescent="0.2">
      <c r="B14" t="s">
        <v>55</v>
      </c>
      <c r="C14" s="12">
        <v>135</v>
      </c>
      <c r="D14" s="8">
        <v>3.72</v>
      </c>
      <c r="E14" s="12">
        <v>93</v>
      </c>
      <c r="F14" s="8">
        <v>4.5599999999999996</v>
      </c>
      <c r="G14" s="12">
        <v>42</v>
      </c>
      <c r="H14" s="8">
        <v>2.65</v>
      </c>
      <c r="I14" s="12">
        <v>0</v>
      </c>
    </row>
    <row r="15" spans="2:9" ht="15" customHeight="1" x14ac:dyDescent="0.2">
      <c r="B15" t="s">
        <v>56</v>
      </c>
      <c r="C15" s="12">
        <v>362</v>
      </c>
      <c r="D15" s="8">
        <v>9.9700000000000006</v>
      </c>
      <c r="E15" s="12">
        <v>317</v>
      </c>
      <c r="F15" s="8">
        <v>15.53</v>
      </c>
      <c r="G15" s="12">
        <v>45</v>
      </c>
      <c r="H15" s="8">
        <v>2.84</v>
      </c>
      <c r="I15" s="12">
        <v>0</v>
      </c>
    </row>
    <row r="16" spans="2:9" ht="15" customHeight="1" x14ac:dyDescent="0.2">
      <c r="B16" t="s">
        <v>57</v>
      </c>
      <c r="C16" s="12">
        <v>442</v>
      </c>
      <c r="D16" s="8">
        <v>12.17</v>
      </c>
      <c r="E16" s="12">
        <v>365</v>
      </c>
      <c r="F16" s="8">
        <v>17.88</v>
      </c>
      <c r="G16" s="12">
        <v>77</v>
      </c>
      <c r="H16" s="8">
        <v>4.8600000000000003</v>
      </c>
      <c r="I16" s="12">
        <v>0</v>
      </c>
    </row>
    <row r="17" spans="2:9" ht="15" customHeight="1" x14ac:dyDescent="0.2">
      <c r="B17" t="s">
        <v>58</v>
      </c>
      <c r="C17" s="12">
        <v>163</v>
      </c>
      <c r="D17" s="8">
        <v>4.49</v>
      </c>
      <c r="E17" s="12">
        <v>136</v>
      </c>
      <c r="F17" s="8">
        <v>6.66</v>
      </c>
      <c r="G17" s="12">
        <v>26</v>
      </c>
      <c r="H17" s="8">
        <v>1.64</v>
      </c>
      <c r="I17" s="12">
        <v>1</v>
      </c>
    </row>
    <row r="18" spans="2:9" ht="15" customHeight="1" x14ac:dyDescent="0.2">
      <c r="B18" t="s">
        <v>59</v>
      </c>
      <c r="C18" s="12">
        <v>144</v>
      </c>
      <c r="D18" s="8">
        <v>3.97</v>
      </c>
      <c r="E18" s="12">
        <v>95</v>
      </c>
      <c r="F18" s="8">
        <v>4.6500000000000004</v>
      </c>
      <c r="G18" s="12">
        <v>49</v>
      </c>
      <c r="H18" s="8">
        <v>3.1</v>
      </c>
      <c r="I18" s="12">
        <v>0</v>
      </c>
    </row>
    <row r="19" spans="2:9" ht="15" customHeight="1" x14ac:dyDescent="0.2">
      <c r="B19" t="s">
        <v>60</v>
      </c>
      <c r="C19" s="12">
        <v>124</v>
      </c>
      <c r="D19" s="8">
        <v>3.42</v>
      </c>
      <c r="E19" s="12">
        <v>52</v>
      </c>
      <c r="F19" s="8">
        <v>2.5499999999999998</v>
      </c>
      <c r="G19" s="12">
        <v>67</v>
      </c>
      <c r="H19" s="8">
        <v>4.2300000000000004</v>
      </c>
      <c r="I19" s="12">
        <v>3</v>
      </c>
    </row>
    <row r="20" spans="2:9" ht="15" customHeight="1" x14ac:dyDescent="0.2">
      <c r="B20" s="9" t="s">
        <v>191</v>
      </c>
      <c r="C20" s="12">
        <f>SUM(LTBL_22212[総数／事業所数])</f>
        <v>3631</v>
      </c>
      <c r="E20" s="12">
        <f>SUBTOTAL(109,LTBL_22212[個人／事業所数])</f>
        <v>2041</v>
      </c>
      <c r="G20" s="12">
        <f>SUBTOTAL(109,LTBL_22212[法人／事業所数])</f>
        <v>1583</v>
      </c>
      <c r="I20" s="12">
        <f>SUBTOTAL(109,LTBL_22212[法人以外の団体／事業所数])</f>
        <v>5</v>
      </c>
    </row>
    <row r="21" spans="2:9" ht="15" customHeight="1" x14ac:dyDescent="0.2">
      <c r="E21" s="11">
        <f>LTBL_22212[[#Totals],[個人／事業所数]]/LTBL_22212[[#Totals],[総数／事業所数]]</f>
        <v>0.56210410355274032</v>
      </c>
      <c r="G21" s="11">
        <f>LTBL_22212[[#Totals],[法人／事業所数]]/LTBL_22212[[#Totals],[総数／事業所数]]</f>
        <v>0.43596805287799506</v>
      </c>
      <c r="I21" s="11">
        <f>LTBL_22212[[#Totals],[法人以外の団体／事業所数]]/LTBL_22212[[#Totals],[総数／事業所数]]</f>
        <v>1.3770311209033324E-3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384</v>
      </c>
      <c r="D24" s="8">
        <v>10.58</v>
      </c>
      <c r="E24" s="12">
        <v>325</v>
      </c>
      <c r="F24" s="8">
        <v>15.92</v>
      </c>
      <c r="G24" s="12">
        <v>59</v>
      </c>
      <c r="H24" s="8">
        <v>3.73</v>
      </c>
      <c r="I24" s="12">
        <v>0</v>
      </c>
    </row>
    <row r="25" spans="2:9" ht="15" customHeight="1" x14ac:dyDescent="0.2">
      <c r="B25" t="s">
        <v>84</v>
      </c>
      <c r="C25" s="12">
        <v>340</v>
      </c>
      <c r="D25" s="8">
        <v>9.36</v>
      </c>
      <c r="E25" s="12">
        <v>306</v>
      </c>
      <c r="F25" s="8">
        <v>14.99</v>
      </c>
      <c r="G25" s="12">
        <v>34</v>
      </c>
      <c r="H25" s="8">
        <v>2.15</v>
      </c>
      <c r="I25" s="12">
        <v>0</v>
      </c>
    </row>
    <row r="26" spans="2:9" ht="15" customHeight="1" x14ac:dyDescent="0.2">
      <c r="B26" t="s">
        <v>79</v>
      </c>
      <c r="C26" s="12">
        <v>211</v>
      </c>
      <c r="D26" s="8">
        <v>5.81</v>
      </c>
      <c r="E26" s="12">
        <v>112</v>
      </c>
      <c r="F26" s="8">
        <v>5.49</v>
      </c>
      <c r="G26" s="12">
        <v>99</v>
      </c>
      <c r="H26" s="8">
        <v>6.25</v>
      </c>
      <c r="I26" s="12">
        <v>0</v>
      </c>
    </row>
    <row r="27" spans="2:9" ht="15" customHeight="1" x14ac:dyDescent="0.2">
      <c r="B27" t="s">
        <v>77</v>
      </c>
      <c r="C27" s="12">
        <v>202</v>
      </c>
      <c r="D27" s="8">
        <v>5.56</v>
      </c>
      <c r="E27" s="12">
        <v>153</v>
      </c>
      <c r="F27" s="8">
        <v>7.5</v>
      </c>
      <c r="G27" s="12">
        <v>48</v>
      </c>
      <c r="H27" s="8">
        <v>3.03</v>
      </c>
      <c r="I27" s="12">
        <v>1</v>
      </c>
    </row>
    <row r="28" spans="2:9" ht="15" customHeight="1" x14ac:dyDescent="0.2">
      <c r="B28" t="s">
        <v>69</v>
      </c>
      <c r="C28" s="12">
        <v>195</v>
      </c>
      <c r="D28" s="8">
        <v>5.37</v>
      </c>
      <c r="E28" s="12">
        <v>73</v>
      </c>
      <c r="F28" s="8">
        <v>3.58</v>
      </c>
      <c r="G28" s="12">
        <v>122</v>
      </c>
      <c r="H28" s="8">
        <v>7.71</v>
      </c>
      <c r="I28" s="12">
        <v>0</v>
      </c>
    </row>
    <row r="29" spans="2:9" ht="15" customHeight="1" x14ac:dyDescent="0.2">
      <c r="B29" t="s">
        <v>81</v>
      </c>
      <c r="C29" s="12">
        <v>192</v>
      </c>
      <c r="D29" s="8">
        <v>5.29</v>
      </c>
      <c r="E29" s="12">
        <v>110</v>
      </c>
      <c r="F29" s="8">
        <v>5.39</v>
      </c>
      <c r="G29" s="12">
        <v>82</v>
      </c>
      <c r="H29" s="8">
        <v>5.18</v>
      </c>
      <c r="I29" s="12">
        <v>0</v>
      </c>
    </row>
    <row r="30" spans="2:9" ht="15" customHeight="1" x14ac:dyDescent="0.2">
      <c r="B30" t="s">
        <v>70</v>
      </c>
      <c r="C30" s="12">
        <v>172</v>
      </c>
      <c r="D30" s="8">
        <v>4.74</v>
      </c>
      <c r="E30" s="12">
        <v>80</v>
      </c>
      <c r="F30" s="8">
        <v>3.92</v>
      </c>
      <c r="G30" s="12">
        <v>92</v>
      </c>
      <c r="H30" s="8">
        <v>5.81</v>
      </c>
      <c r="I30" s="12">
        <v>0</v>
      </c>
    </row>
    <row r="31" spans="2:9" ht="15" customHeight="1" x14ac:dyDescent="0.2">
      <c r="B31" t="s">
        <v>86</v>
      </c>
      <c r="C31" s="12">
        <v>163</v>
      </c>
      <c r="D31" s="8">
        <v>4.49</v>
      </c>
      <c r="E31" s="12">
        <v>136</v>
      </c>
      <c r="F31" s="8">
        <v>6.66</v>
      </c>
      <c r="G31" s="12">
        <v>26</v>
      </c>
      <c r="H31" s="8">
        <v>1.64</v>
      </c>
      <c r="I31" s="12">
        <v>1</v>
      </c>
    </row>
    <row r="32" spans="2:9" ht="15" customHeight="1" x14ac:dyDescent="0.2">
      <c r="B32" t="s">
        <v>71</v>
      </c>
      <c r="C32" s="12">
        <v>133</v>
      </c>
      <c r="D32" s="8">
        <v>3.66</v>
      </c>
      <c r="E32" s="12">
        <v>50</v>
      </c>
      <c r="F32" s="8">
        <v>2.4500000000000002</v>
      </c>
      <c r="G32" s="12">
        <v>83</v>
      </c>
      <c r="H32" s="8">
        <v>5.24</v>
      </c>
      <c r="I32" s="12">
        <v>0</v>
      </c>
    </row>
    <row r="33" spans="2:9" ht="15" customHeight="1" x14ac:dyDescent="0.2">
      <c r="B33" t="s">
        <v>78</v>
      </c>
      <c r="C33" s="12">
        <v>129</v>
      </c>
      <c r="D33" s="8">
        <v>3.55</v>
      </c>
      <c r="E33" s="12">
        <v>79</v>
      </c>
      <c r="F33" s="8">
        <v>3.87</v>
      </c>
      <c r="G33" s="12">
        <v>50</v>
      </c>
      <c r="H33" s="8">
        <v>3.16</v>
      </c>
      <c r="I33" s="12">
        <v>0</v>
      </c>
    </row>
    <row r="34" spans="2:9" ht="15" customHeight="1" x14ac:dyDescent="0.2">
      <c r="B34" t="s">
        <v>100</v>
      </c>
      <c r="C34" s="12">
        <v>120</v>
      </c>
      <c r="D34" s="8">
        <v>3.3</v>
      </c>
      <c r="E34" s="12">
        <v>24</v>
      </c>
      <c r="F34" s="8">
        <v>1.18</v>
      </c>
      <c r="G34" s="12">
        <v>96</v>
      </c>
      <c r="H34" s="8">
        <v>6.06</v>
      </c>
      <c r="I34" s="12">
        <v>0</v>
      </c>
    </row>
    <row r="35" spans="2:9" ht="15" customHeight="1" x14ac:dyDescent="0.2">
      <c r="B35" t="s">
        <v>87</v>
      </c>
      <c r="C35" s="12">
        <v>110</v>
      </c>
      <c r="D35" s="8">
        <v>3.03</v>
      </c>
      <c r="E35" s="12">
        <v>93</v>
      </c>
      <c r="F35" s="8">
        <v>4.5599999999999996</v>
      </c>
      <c r="G35" s="12">
        <v>17</v>
      </c>
      <c r="H35" s="8">
        <v>1.07</v>
      </c>
      <c r="I35" s="12">
        <v>0</v>
      </c>
    </row>
    <row r="36" spans="2:9" ht="15" customHeight="1" x14ac:dyDescent="0.2">
      <c r="B36" t="s">
        <v>93</v>
      </c>
      <c r="C36" s="12">
        <v>89</v>
      </c>
      <c r="D36" s="8">
        <v>2.4500000000000002</v>
      </c>
      <c r="E36" s="12">
        <v>14</v>
      </c>
      <c r="F36" s="8">
        <v>0.69</v>
      </c>
      <c r="G36" s="12">
        <v>75</v>
      </c>
      <c r="H36" s="8">
        <v>4.74</v>
      </c>
      <c r="I36" s="12">
        <v>0</v>
      </c>
    </row>
    <row r="37" spans="2:9" ht="15" customHeight="1" x14ac:dyDescent="0.2">
      <c r="B37" t="s">
        <v>76</v>
      </c>
      <c r="C37" s="12">
        <v>74</v>
      </c>
      <c r="D37" s="8">
        <v>2.04</v>
      </c>
      <c r="E37" s="12">
        <v>45</v>
      </c>
      <c r="F37" s="8">
        <v>2.2000000000000002</v>
      </c>
      <c r="G37" s="12">
        <v>29</v>
      </c>
      <c r="H37" s="8">
        <v>1.83</v>
      </c>
      <c r="I37" s="12">
        <v>0</v>
      </c>
    </row>
    <row r="38" spans="2:9" ht="15" customHeight="1" x14ac:dyDescent="0.2">
      <c r="B38" t="s">
        <v>73</v>
      </c>
      <c r="C38" s="12">
        <v>73</v>
      </c>
      <c r="D38" s="8">
        <v>2.0099999999999998</v>
      </c>
      <c r="E38" s="12">
        <v>23</v>
      </c>
      <c r="F38" s="8">
        <v>1.1299999999999999</v>
      </c>
      <c r="G38" s="12">
        <v>50</v>
      </c>
      <c r="H38" s="8">
        <v>3.16</v>
      </c>
      <c r="I38" s="12">
        <v>0</v>
      </c>
    </row>
    <row r="39" spans="2:9" ht="15" customHeight="1" x14ac:dyDescent="0.2">
      <c r="B39" t="s">
        <v>82</v>
      </c>
      <c r="C39" s="12">
        <v>66</v>
      </c>
      <c r="D39" s="8">
        <v>1.82</v>
      </c>
      <c r="E39" s="12">
        <v>51</v>
      </c>
      <c r="F39" s="8">
        <v>2.5</v>
      </c>
      <c r="G39" s="12">
        <v>15</v>
      </c>
      <c r="H39" s="8">
        <v>0.95</v>
      </c>
      <c r="I39" s="12">
        <v>0</v>
      </c>
    </row>
    <row r="40" spans="2:9" ht="15" customHeight="1" x14ac:dyDescent="0.2">
      <c r="B40" t="s">
        <v>83</v>
      </c>
      <c r="C40" s="12">
        <v>65</v>
      </c>
      <c r="D40" s="8">
        <v>1.79</v>
      </c>
      <c r="E40" s="12">
        <v>41</v>
      </c>
      <c r="F40" s="8">
        <v>2.0099999999999998</v>
      </c>
      <c r="G40" s="12">
        <v>24</v>
      </c>
      <c r="H40" s="8">
        <v>1.52</v>
      </c>
      <c r="I40" s="12">
        <v>0</v>
      </c>
    </row>
    <row r="41" spans="2:9" ht="15" customHeight="1" x14ac:dyDescent="0.2">
      <c r="B41" t="s">
        <v>72</v>
      </c>
      <c r="C41" s="12">
        <v>54</v>
      </c>
      <c r="D41" s="8">
        <v>1.49</v>
      </c>
      <c r="E41" s="12">
        <v>22</v>
      </c>
      <c r="F41" s="8">
        <v>1.08</v>
      </c>
      <c r="G41" s="12">
        <v>32</v>
      </c>
      <c r="H41" s="8">
        <v>2.02</v>
      </c>
      <c r="I41" s="12">
        <v>0</v>
      </c>
    </row>
    <row r="42" spans="2:9" ht="15" customHeight="1" x14ac:dyDescent="0.2">
      <c r="B42" t="s">
        <v>89</v>
      </c>
      <c r="C42" s="12">
        <v>52</v>
      </c>
      <c r="D42" s="8">
        <v>1.43</v>
      </c>
      <c r="E42" s="12">
        <v>11</v>
      </c>
      <c r="F42" s="8">
        <v>0.54</v>
      </c>
      <c r="G42" s="12">
        <v>41</v>
      </c>
      <c r="H42" s="8">
        <v>2.59</v>
      </c>
      <c r="I42" s="12">
        <v>0</v>
      </c>
    </row>
    <row r="43" spans="2:9" ht="15" customHeight="1" x14ac:dyDescent="0.2">
      <c r="B43" t="s">
        <v>74</v>
      </c>
      <c r="C43" s="12">
        <v>51</v>
      </c>
      <c r="D43" s="8">
        <v>1.4</v>
      </c>
      <c r="E43" s="12">
        <v>10</v>
      </c>
      <c r="F43" s="8">
        <v>0.49</v>
      </c>
      <c r="G43" s="12">
        <v>41</v>
      </c>
      <c r="H43" s="8">
        <v>2.59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209</v>
      </c>
      <c r="D47" s="8">
        <v>5.76</v>
      </c>
      <c r="E47" s="12">
        <v>185</v>
      </c>
      <c r="F47" s="8">
        <v>9.06</v>
      </c>
      <c r="G47" s="12">
        <v>24</v>
      </c>
      <c r="H47" s="8">
        <v>1.52</v>
      </c>
      <c r="I47" s="12">
        <v>0</v>
      </c>
    </row>
    <row r="48" spans="2:9" ht="15" customHeight="1" x14ac:dyDescent="0.2">
      <c r="B48" t="s">
        <v>126</v>
      </c>
      <c r="C48" s="12">
        <v>118</v>
      </c>
      <c r="D48" s="8">
        <v>3.25</v>
      </c>
      <c r="E48" s="12">
        <v>84</v>
      </c>
      <c r="F48" s="8">
        <v>4.12</v>
      </c>
      <c r="G48" s="12">
        <v>34</v>
      </c>
      <c r="H48" s="8">
        <v>2.15</v>
      </c>
      <c r="I48" s="12">
        <v>0</v>
      </c>
    </row>
    <row r="49" spans="2:9" ht="15" customHeight="1" x14ac:dyDescent="0.2">
      <c r="B49" t="s">
        <v>129</v>
      </c>
      <c r="C49" s="12">
        <v>108</v>
      </c>
      <c r="D49" s="8">
        <v>2.97</v>
      </c>
      <c r="E49" s="12">
        <v>105</v>
      </c>
      <c r="F49" s="8">
        <v>5.14</v>
      </c>
      <c r="G49" s="12">
        <v>3</v>
      </c>
      <c r="H49" s="8">
        <v>0.19</v>
      </c>
      <c r="I49" s="12">
        <v>0</v>
      </c>
    </row>
    <row r="50" spans="2:9" ht="15" customHeight="1" x14ac:dyDescent="0.2">
      <c r="B50" t="s">
        <v>131</v>
      </c>
      <c r="C50" s="12">
        <v>105</v>
      </c>
      <c r="D50" s="8">
        <v>2.89</v>
      </c>
      <c r="E50" s="12">
        <v>103</v>
      </c>
      <c r="F50" s="8">
        <v>5.05</v>
      </c>
      <c r="G50" s="12">
        <v>2</v>
      </c>
      <c r="H50" s="8">
        <v>0.13</v>
      </c>
      <c r="I50" s="12">
        <v>0</v>
      </c>
    </row>
    <row r="51" spans="2:9" ht="15" customHeight="1" x14ac:dyDescent="0.2">
      <c r="B51" t="s">
        <v>133</v>
      </c>
      <c r="C51" s="12">
        <v>104</v>
      </c>
      <c r="D51" s="8">
        <v>2.86</v>
      </c>
      <c r="E51" s="12">
        <v>92</v>
      </c>
      <c r="F51" s="8">
        <v>4.51</v>
      </c>
      <c r="G51" s="12">
        <v>11</v>
      </c>
      <c r="H51" s="8">
        <v>0.69</v>
      </c>
      <c r="I51" s="12">
        <v>1</v>
      </c>
    </row>
    <row r="52" spans="2:9" ht="15" customHeight="1" x14ac:dyDescent="0.2">
      <c r="B52" t="s">
        <v>165</v>
      </c>
      <c r="C52" s="12">
        <v>91</v>
      </c>
      <c r="D52" s="8">
        <v>2.5099999999999998</v>
      </c>
      <c r="E52" s="12">
        <v>19</v>
      </c>
      <c r="F52" s="8">
        <v>0.93</v>
      </c>
      <c r="G52" s="12">
        <v>72</v>
      </c>
      <c r="H52" s="8">
        <v>4.55</v>
      </c>
      <c r="I52" s="12">
        <v>0</v>
      </c>
    </row>
    <row r="53" spans="2:9" ht="15" customHeight="1" x14ac:dyDescent="0.2">
      <c r="B53" t="s">
        <v>122</v>
      </c>
      <c r="C53" s="12">
        <v>91</v>
      </c>
      <c r="D53" s="8">
        <v>2.5099999999999998</v>
      </c>
      <c r="E53" s="12">
        <v>53</v>
      </c>
      <c r="F53" s="8">
        <v>2.6</v>
      </c>
      <c r="G53" s="12">
        <v>38</v>
      </c>
      <c r="H53" s="8">
        <v>2.4</v>
      </c>
      <c r="I53" s="12">
        <v>0</v>
      </c>
    </row>
    <row r="54" spans="2:9" ht="15" customHeight="1" x14ac:dyDescent="0.2">
      <c r="B54" t="s">
        <v>128</v>
      </c>
      <c r="C54" s="12">
        <v>87</v>
      </c>
      <c r="D54" s="8">
        <v>2.4</v>
      </c>
      <c r="E54" s="12">
        <v>74</v>
      </c>
      <c r="F54" s="8">
        <v>3.63</v>
      </c>
      <c r="G54" s="12">
        <v>13</v>
      </c>
      <c r="H54" s="8">
        <v>0.82</v>
      </c>
      <c r="I54" s="12">
        <v>0</v>
      </c>
    </row>
    <row r="55" spans="2:9" ht="15" customHeight="1" x14ac:dyDescent="0.2">
      <c r="B55" t="s">
        <v>134</v>
      </c>
      <c r="C55" s="12">
        <v>87</v>
      </c>
      <c r="D55" s="8">
        <v>2.4</v>
      </c>
      <c r="E55" s="12">
        <v>74</v>
      </c>
      <c r="F55" s="8">
        <v>3.63</v>
      </c>
      <c r="G55" s="12">
        <v>13</v>
      </c>
      <c r="H55" s="8">
        <v>0.82</v>
      </c>
      <c r="I55" s="12">
        <v>0</v>
      </c>
    </row>
    <row r="56" spans="2:9" ht="15" customHeight="1" x14ac:dyDescent="0.2">
      <c r="B56" t="s">
        <v>121</v>
      </c>
      <c r="C56" s="12">
        <v>76</v>
      </c>
      <c r="D56" s="8">
        <v>2.09</v>
      </c>
      <c r="E56" s="12">
        <v>50</v>
      </c>
      <c r="F56" s="8">
        <v>2.4500000000000002</v>
      </c>
      <c r="G56" s="12">
        <v>26</v>
      </c>
      <c r="H56" s="8">
        <v>1.64</v>
      </c>
      <c r="I56" s="12">
        <v>0</v>
      </c>
    </row>
    <row r="57" spans="2:9" ht="15" customHeight="1" x14ac:dyDescent="0.2">
      <c r="B57" t="s">
        <v>124</v>
      </c>
      <c r="C57" s="12">
        <v>71</v>
      </c>
      <c r="D57" s="8">
        <v>1.96</v>
      </c>
      <c r="E57" s="12">
        <v>41</v>
      </c>
      <c r="F57" s="8">
        <v>2.0099999999999998</v>
      </c>
      <c r="G57" s="12">
        <v>30</v>
      </c>
      <c r="H57" s="8">
        <v>1.9</v>
      </c>
      <c r="I57" s="12">
        <v>0</v>
      </c>
    </row>
    <row r="58" spans="2:9" ht="15" customHeight="1" x14ac:dyDescent="0.2">
      <c r="B58" t="s">
        <v>136</v>
      </c>
      <c r="C58" s="12">
        <v>64</v>
      </c>
      <c r="D58" s="8">
        <v>1.76</v>
      </c>
      <c r="E58" s="12">
        <v>57</v>
      </c>
      <c r="F58" s="8">
        <v>2.79</v>
      </c>
      <c r="G58" s="12">
        <v>7</v>
      </c>
      <c r="H58" s="8">
        <v>0.44</v>
      </c>
      <c r="I58" s="12">
        <v>0</v>
      </c>
    </row>
    <row r="59" spans="2:9" ht="15" customHeight="1" x14ac:dyDescent="0.2">
      <c r="B59" t="s">
        <v>119</v>
      </c>
      <c r="C59" s="12">
        <v>61</v>
      </c>
      <c r="D59" s="8">
        <v>1.68</v>
      </c>
      <c r="E59" s="12">
        <v>32</v>
      </c>
      <c r="F59" s="8">
        <v>1.57</v>
      </c>
      <c r="G59" s="12">
        <v>29</v>
      </c>
      <c r="H59" s="8">
        <v>1.83</v>
      </c>
      <c r="I59" s="12">
        <v>0</v>
      </c>
    </row>
    <row r="60" spans="2:9" ht="15" customHeight="1" x14ac:dyDescent="0.2">
      <c r="B60" t="s">
        <v>116</v>
      </c>
      <c r="C60" s="12">
        <v>59</v>
      </c>
      <c r="D60" s="8">
        <v>1.62</v>
      </c>
      <c r="E60" s="12">
        <v>17</v>
      </c>
      <c r="F60" s="8">
        <v>0.83</v>
      </c>
      <c r="G60" s="12">
        <v>42</v>
      </c>
      <c r="H60" s="8">
        <v>2.65</v>
      </c>
      <c r="I60" s="12">
        <v>0</v>
      </c>
    </row>
    <row r="61" spans="2:9" ht="15" customHeight="1" x14ac:dyDescent="0.2">
      <c r="B61" t="s">
        <v>118</v>
      </c>
      <c r="C61" s="12">
        <v>55</v>
      </c>
      <c r="D61" s="8">
        <v>1.51</v>
      </c>
      <c r="E61" s="12">
        <v>31</v>
      </c>
      <c r="F61" s="8">
        <v>1.52</v>
      </c>
      <c r="G61" s="12">
        <v>24</v>
      </c>
      <c r="H61" s="8">
        <v>1.52</v>
      </c>
      <c r="I61" s="12">
        <v>0</v>
      </c>
    </row>
    <row r="62" spans="2:9" ht="15" customHeight="1" x14ac:dyDescent="0.2">
      <c r="B62" t="s">
        <v>166</v>
      </c>
      <c r="C62" s="12">
        <v>52</v>
      </c>
      <c r="D62" s="8">
        <v>1.43</v>
      </c>
      <c r="E62" s="12">
        <v>9</v>
      </c>
      <c r="F62" s="8">
        <v>0.44</v>
      </c>
      <c r="G62" s="12">
        <v>43</v>
      </c>
      <c r="H62" s="8">
        <v>2.72</v>
      </c>
      <c r="I62" s="12">
        <v>0</v>
      </c>
    </row>
    <row r="63" spans="2:9" ht="15" customHeight="1" x14ac:dyDescent="0.2">
      <c r="B63" t="s">
        <v>123</v>
      </c>
      <c r="C63" s="12">
        <v>52</v>
      </c>
      <c r="D63" s="8">
        <v>1.43</v>
      </c>
      <c r="E63" s="12">
        <v>16</v>
      </c>
      <c r="F63" s="8">
        <v>0.78</v>
      </c>
      <c r="G63" s="12">
        <v>36</v>
      </c>
      <c r="H63" s="8">
        <v>2.27</v>
      </c>
      <c r="I63" s="12">
        <v>0</v>
      </c>
    </row>
    <row r="64" spans="2:9" ht="15" customHeight="1" x14ac:dyDescent="0.2">
      <c r="B64" t="s">
        <v>153</v>
      </c>
      <c r="C64" s="12">
        <v>52</v>
      </c>
      <c r="D64" s="8">
        <v>1.43</v>
      </c>
      <c r="E64" s="12">
        <v>44</v>
      </c>
      <c r="F64" s="8">
        <v>2.16</v>
      </c>
      <c r="G64" s="12">
        <v>8</v>
      </c>
      <c r="H64" s="8">
        <v>0.51</v>
      </c>
      <c r="I64" s="12">
        <v>0</v>
      </c>
    </row>
    <row r="65" spans="2:9" ht="15" customHeight="1" x14ac:dyDescent="0.2">
      <c r="B65" t="s">
        <v>120</v>
      </c>
      <c r="C65" s="12">
        <v>48</v>
      </c>
      <c r="D65" s="8">
        <v>1.32</v>
      </c>
      <c r="E65" s="12">
        <v>14</v>
      </c>
      <c r="F65" s="8">
        <v>0.69</v>
      </c>
      <c r="G65" s="12">
        <v>34</v>
      </c>
      <c r="H65" s="8">
        <v>2.15</v>
      </c>
      <c r="I65" s="12">
        <v>0</v>
      </c>
    </row>
    <row r="66" spans="2:9" ht="15" customHeight="1" x14ac:dyDescent="0.2">
      <c r="B66" t="s">
        <v>125</v>
      </c>
      <c r="C66" s="12">
        <v>45</v>
      </c>
      <c r="D66" s="8">
        <v>1.24</v>
      </c>
      <c r="E66" s="12">
        <v>9</v>
      </c>
      <c r="F66" s="8">
        <v>0.44</v>
      </c>
      <c r="G66" s="12">
        <v>36</v>
      </c>
      <c r="H66" s="8">
        <v>2.27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17A55-3D05-4C3E-8E38-4DA82FFC1CF8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216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403</v>
      </c>
      <c r="D6" s="8">
        <v>16.02</v>
      </c>
      <c r="E6" s="12">
        <v>163</v>
      </c>
      <c r="F6" s="8">
        <v>11.66</v>
      </c>
      <c r="G6" s="12">
        <v>240</v>
      </c>
      <c r="H6" s="8">
        <v>21.82</v>
      </c>
      <c r="I6" s="12">
        <v>0</v>
      </c>
    </row>
    <row r="7" spans="2:9" ht="15" customHeight="1" x14ac:dyDescent="0.2">
      <c r="B7" t="s">
        <v>48</v>
      </c>
      <c r="C7" s="12">
        <v>280</v>
      </c>
      <c r="D7" s="8">
        <v>11.13</v>
      </c>
      <c r="E7" s="12">
        <v>94</v>
      </c>
      <c r="F7" s="8">
        <v>6.72</v>
      </c>
      <c r="G7" s="12">
        <v>186</v>
      </c>
      <c r="H7" s="8">
        <v>16.91</v>
      </c>
      <c r="I7" s="12">
        <v>0</v>
      </c>
    </row>
    <row r="8" spans="2:9" ht="15" customHeight="1" x14ac:dyDescent="0.2">
      <c r="B8" t="s">
        <v>49</v>
      </c>
      <c r="C8" s="12">
        <v>9</v>
      </c>
      <c r="D8" s="8">
        <v>0.36</v>
      </c>
      <c r="E8" s="12">
        <v>1</v>
      </c>
      <c r="F8" s="8">
        <v>7.0000000000000007E-2</v>
      </c>
      <c r="G8" s="12">
        <v>8</v>
      </c>
      <c r="H8" s="8">
        <v>0.73</v>
      </c>
      <c r="I8" s="12">
        <v>0</v>
      </c>
    </row>
    <row r="9" spans="2:9" ht="15" customHeight="1" x14ac:dyDescent="0.2">
      <c r="B9" t="s">
        <v>50</v>
      </c>
      <c r="C9" s="12">
        <v>15</v>
      </c>
      <c r="D9" s="8">
        <v>0.6</v>
      </c>
      <c r="E9" s="12">
        <v>3</v>
      </c>
      <c r="F9" s="8">
        <v>0.21</v>
      </c>
      <c r="G9" s="12">
        <v>12</v>
      </c>
      <c r="H9" s="8">
        <v>1.0900000000000001</v>
      </c>
      <c r="I9" s="12">
        <v>0</v>
      </c>
    </row>
    <row r="10" spans="2:9" ht="15" customHeight="1" x14ac:dyDescent="0.2">
      <c r="B10" t="s">
        <v>51</v>
      </c>
      <c r="C10" s="12">
        <v>16</v>
      </c>
      <c r="D10" s="8">
        <v>0.64</v>
      </c>
      <c r="E10" s="12">
        <v>4</v>
      </c>
      <c r="F10" s="8">
        <v>0.28999999999999998</v>
      </c>
      <c r="G10" s="12">
        <v>12</v>
      </c>
      <c r="H10" s="8">
        <v>1.0900000000000001</v>
      </c>
      <c r="I10" s="12">
        <v>0</v>
      </c>
    </row>
    <row r="11" spans="2:9" ht="15" customHeight="1" x14ac:dyDescent="0.2">
      <c r="B11" t="s">
        <v>52</v>
      </c>
      <c r="C11" s="12">
        <v>562</v>
      </c>
      <c r="D11" s="8">
        <v>22.35</v>
      </c>
      <c r="E11" s="12">
        <v>295</v>
      </c>
      <c r="F11" s="8">
        <v>21.1</v>
      </c>
      <c r="G11" s="12">
        <v>267</v>
      </c>
      <c r="H11" s="8">
        <v>24.27</v>
      </c>
      <c r="I11" s="12">
        <v>0</v>
      </c>
    </row>
    <row r="12" spans="2:9" ht="15" customHeight="1" x14ac:dyDescent="0.2">
      <c r="B12" t="s">
        <v>53</v>
      </c>
      <c r="C12" s="12">
        <v>9</v>
      </c>
      <c r="D12" s="8">
        <v>0.36</v>
      </c>
      <c r="E12" s="12">
        <v>1</v>
      </c>
      <c r="F12" s="8">
        <v>7.0000000000000007E-2</v>
      </c>
      <c r="G12" s="12">
        <v>8</v>
      </c>
      <c r="H12" s="8">
        <v>0.73</v>
      </c>
      <c r="I12" s="12">
        <v>0</v>
      </c>
    </row>
    <row r="13" spans="2:9" ht="15" customHeight="1" x14ac:dyDescent="0.2">
      <c r="B13" t="s">
        <v>54</v>
      </c>
      <c r="C13" s="12">
        <v>127</v>
      </c>
      <c r="D13" s="8">
        <v>5.05</v>
      </c>
      <c r="E13" s="12">
        <v>21</v>
      </c>
      <c r="F13" s="8">
        <v>1.5</v>
      </c>
      <c r="G13" s="12">
        <v>106</v>
      </c>
      <c r="H13" s="8">
        <v>9.64</v>
      </c>
      <c r="I13" s="12">
        <v>0</v>
      </c>
    </row>
    <row r="14" spans="2:9" ht="15" customHeight="1" x14ac:dyDescent="0.2">
      <c r="B14" t="s">
        <v>55</v>
      </c>
      <c r="C14" s="12">
        <v>137</v>
      </c>
      <c r="D14" s="8">
        <v>5.45</v>
      </c>
      <c r="E14" s="12">
        <v>76</v>
      </c>
      <c r="F14" s="8">
        <v>5.44</v>
      </c>
      <c r="G14" s="12">
        <v>61</v>
      </c>
      <c r="H14" s="8">
        <v>5.55</v>
      </c>
      <c r="I14" s="12">
        <v>0</v>
      </c>
    </row>
    <row r="15" spans="2:9" ht="15" customHeight="1" x14ac:dyDescent="0.2">
      <c r="B15" t="s">
        <v>56</v>
      </c>
      <c r="C15" s="12">
        <v>335</v>
      </c>
      <c r="D15" s="8">
        <v>13.32</v>
      </c>
      <c r="E15" s="12">
        <v>278</v>
      </c>
      <c r="F15" s="8">
        <v>19.89</v>
      </c>
      <c r="G15" s="12">
        <v>54</v>
      </c>
      <c r="H15" s="8">
        <v>4.91</v>
      </c>
      <c r="I15" s="12">
        <v>0</v>
      </c>
    </row>
    <row r="16" spans="2:9" ht="15" customHeight="1" x14ac:dyDescent="0.2">
      <c r="B16" t="s">
        <v>57</v>
      </c>
      <c r="C16" s="12">
        <v>343</v>
      </c>
      <c r="D16" s="8">
        <v>13.64</v>
      </c>
      <c r="E16" s="12">
        <v>280</v>
      </c>
      <c r="F16" s="8">
        <v>20.03</v>
      </c>
      <c r="G16" s="12">
        <v>63</v>
      </c>
      <c r="H16" s="8">
        <v>5.73</v>
      </c>
      <c r="I16" s="12">
        <v>0</v>
      </c>
    </row>
    <row r="17" spans="2:9" ht="15" customHeight="1" x14ac:dyDescent="0.2">
      <c r="B17" t="s">
        <v>58</v>
      </c>
      <c r="C17" s="12">
        <v>102</v>
      </c>
      <c r="D17" s="8">
        <v>4.0599999999999996</v>
      </c>
      <c r="E17" s="12">
        <v>80</v>
      </c>
      <c r="F17" s="8">
        <v>5.72</v>
      </c>
      <c r="G17" s="12">
        <v>15</v>
      </c>
      <c r="H17" s="8">
        <v>1.36</v>
      </c>
      <c r="I17" s="12">
        <v>4</v>
      </c>
    </row>
    <row r="18" spans="2:9" ht="15" customHeight="1" x14ac:dyDescent="0.2">
      <c r="B18" t="s">
        <v>59</v>
      </c>
      <c r="C18" s="12">
        <v>113</v>
      </c>
      <c r="D18" s="8">
        <v>4.49</v>
      </c>
      <c r="E18" s="12">
        <v>73</v>
      </c>
      <c r="F18" s="8">
        <v>5.22</v>
      </c>
      <c r="G18" s="12">
        <v>35</v>
      </c>
      <c r="H18" s="8">
        <v>3.18</v>
      </c>
      <c r="I18" s="12">
        <v>1</v>
      </c>
    </row>
    <row r="19" spans="2:9" ht="15" customHeight="1" x14ac:dyDescent="0.2">
      <c r="B19" t="s">
        <v>60</v>
      </c>
      <c r="C19" s="12">
        <v>64</v>
      </c>
      <c r="D19" s="8">
        <v>2.54</v>
      </c>
      <c r="E19" s="12">
        <v>29</v>
      </c>
      <c r="F19" s="8">
        <v>2.0699999999999998</v>
      </c>
      <c r="G19" s="12">
        <v>33</v>
      </c>
      <c r="H19" s="8">
        <v>3</v>
      </c>
      <c r="I19" s="12">
        <v>0</v>
      </c>
    </row>
    <row r="20" spans="2:9" ht="15" customHeight="1" x14ac:dyDescent="0.2">
      <c r="B20" s="9" t="s">
        <v>191</v>
      </c>
      <c r="C20" s="12">
        <f>SUM(LTBL_22213[総数／事業所数])</f>
        <v>2515</v>
      </c>
      <c r="E20" s="12">
        <f>SUBTOTAL(109,LTBL_22213[個人／事業所数])</f>
        <v>1398</v>
      </c>
      <c r="G20" s="12">
        <f>SUBTOTAL(109,LTBL_22213[法人／事業所数])</f>
        <v>1100</v>
      </c>
      <c r="I20" s="12">
        <f>SUBTOTAL(109,LTBL_22213[法人以外の団体／事業所数])</f>
        <v>5</v>
      </c>
    </row>
    <row r="21" spans="2:9" ht="15" customHeight="1" x14ac:dyDescent="0.2">
      <c r="E21" s="11">
        <f>LTBL_22213[[#Totals],[個人／事業所数]]/LTBL_22213[[#Totals],[総数／事業所数]]</f>
        <v>0.55586481113320074</v>
      </c>
      <c r="G21" s="11">
        <f>LTBL_22213[[#Totals],[法人／事業所数]]/LTBL_22213[[#Totals],[総数／事業所数]]</f>
        <v>0.43737574552683894</v>
      </c>
      <c r="I21" s="11">
        <f>LTBL_22213[[#Totals],[法人以外の団体／事業所数]]/LTBL_22213[[#Totals],[総数／事業所数]]</f>
        <v>1.9880715705765406E-3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306</v>
      </c>
      <c r="D24" s="8">
        <v>12.17</v>
      </c>
      <c r="E24" s="12">
        <v>268</v>
      </c>
      <c r="F24" s="8">
        <v>19.170000000000002</v>
      </c>
      <c r="G24" s="12">
        <v>38</v>
      </c>
      <c r="H24" s="8">
        <v>3.45</v>
      </c>
      <c r="I24" s="12">
        <v>0</v>
      </c>
    </row>
    <row r="25" spans="2:9" ht="15" customHeight="1" x14ac:dyDescent="0.2">
      <c r="B25" t="s">
        <v>85</v>
      </c>
      <c r="C25" s="12">
        <v>290</v>
      </c>
      <c r="D25" s="8">
        <v>11.53</v>
      </c>
      <c r="E25" s="12">
        <v>256</v>
      </c>
      <c r="F25" s="8">
        <v>18.309999999999999</v>
      </c>
      <c r="G25" s="12">
        <v>34</v>
      </c>
      <c r="H25" s="8">
        <v>3.09</v>
      </c>
      <c r="I25" s="12">
        <v>0</v>
      </c>
    </row>
    <row r="26" spans="2:9" ht="15" customHeight="1" x14ac:dyDescent="0.2">
      <c r="B26" t="s">
        <v>69</v>
      </c>
      <c r="C26" s="12">
        <v>196</v>
      </c>
      <c r="D26" s="8">
        <v>7.79</v>
      </c>
      <c r="E26" s="12">
        <v>75</v>
      </c>
      <c r="F26" s="8">
        <v>5.36</v>
      </c>
      <c r="G26" s="12">
        <v>121</v>
      </c>
      <c r="H26" s="8">
        <v>11</v>
      </c>
      <c r="I26" s="12">
        <v>0</v>
      </c>
    </row>
    <row r="27" spans="2:9" ht="15" customHeight="1" x14ac:dyDescent="0.2">
      <c r="B27" t="s">
        <v>79</v>
      </c>
      <c r="C27" s="12">
        <v>176</v>
      </c>
      <c r="D27" s="8">
        <v>7</v>
      </c>
      <c r="E27" s="12">
        <v>98</v>
      </c>
      <c r="F27" s="8">
        <v>7.01</v>
      </c>
      <c r="G27" s="12">
        <v>78</v>
      </c>
      <c r="H27" s="8">
        <v>7.09</v>
      </c>
      <c r="I27" s="12">
        <v>0</v>
      </c>
    </row>
    <row r="28" spans="2:9" ht="15" customHeight="1" x14ac:dyDescent="0.2">
      <c r="B28" t="s">
        <v>70</v>
      </c>
      <c r="C28" s="12">
        <v>126</v>
      </c>
      <c r="D28" s="8">
        <v>5.01</v>
      </c>
      <c r="E28" s="12">
        <v>68</v>
      </c>
      <c r="F28" s="8">
        <v>4.8600000000000003</v>
      </c>
      <c r="G28" s="12">
        <v>58</v>
      </c>
      <c r="H28" s="8">
        <v>5.27</v>
      </c>
      <c r="I28" s="12">
        <v>0</v>
      </c>
    </row>
    <row r="29" spans="2:9" ht="15" customHeight="1" x14ac:dyDescent="0.2">
      <c r="B29" t="s">
        <v>77</v>
      </c>
      <c r="C29" s="12">
        <v>117</v>
      </c>
      <c r="D29" s="8">
        <v>4.6500000000000004</v>
      </c>
      <c r="E29" s="12">
        <v>92</v>
      </c>
      <c r="F29" s="8">
        <v>6.58</v>
      </c>
      <c r="G29" s="12">
        <v>25</v>
      </c>
      <c r="H29" s="8">
        <v>2.27</v>
      </c>
      <c r="I29" s="12">
        <v>0</v>
      </c>
    </row>
    <row r="30" spans="2:9" ht="15" customHeight="1" x14ac:dyDescent="0.2">
      <c r="B30" t="s">
        <v>86</v>
      </c>
      <c r="C30" s="12">
        <v>102</v>
      </c>
      <c r="D30" s="8">
        <v>4.0599999999999996</v>
      </c>
      <c r="E30" s="12">
        <v>80</v>
      </c>
      <c r="F30" s="8">
        <v>5.72</v>
      </c>
      <c r="G30" s="12">
        <v>15</v>
      </c>
      <c r="H30" s="8">
        <v>1.36</v>
      </c>
      <c r="I30" s="12">
        <v>4</v>
      </c>
    </row>
    <row r="31" spans="2:9" ht="15" customHeight="1" x14ac:dyDescent="0.2">
      <c r="B31" t="s">
        <v>87</v>
      </c>
      <c r="C31" s="12">
        <v>82</v>
      </c>
      <c r="D31" s="8">
        <v>3.26</v>
      </c>
      <c r="E31" s="12">
        <v>72</v>
      </c>
      <c r="F31" s="8">
        <v>5.15</v>
      </c>
      <c r="G31" s="12">
        <v>10</v>
      </c>
      <c r="H31" s="8">
        <v>0.91</v>
      </c>
      <c r="I31" s="12">
        <v>0</v>
      </c>
    </row>
    <row r="32" spans="2:9" ht="15" customHeight="1" x14ac:dyDescent="0.2">
      <c r="B32" t="s">
        <v>71</v>
      </c>
      <c r="C32" s="12">
        <v>81</v>
      </c>
      <c r="D32" s="8">
        <v>3.22</v>
      </c>
      <c r="E32" s="12">
        <v>20</v>
      </c>
      <c r="F32" s="8">
        <v>1.43</v>
      </c>
      <c r="G32" s="12">
        <v>61</v>
      </c>
      <c r="H32" s="8">
        <v>5.55</v>
      </c>
      <c r="I32" s="12">
        <v>0</v>
      </c>
    </row>
    <row r="33" spans="2:9" ht="15" customHeight="1" x14ac:dyDescent="0.2">
      <c r="B33" t="s">
        <v>81</v>
      </c>
      <c r="C33" s="12">
        <v>79</v>
      </c>
      <c r="D33" s="8">
        <v>3.14</v>
      </c>
      <c r="E33" s="12">
        <v>13</v>
      </c>
      <c r="F33" s="8">
        <v>0.93</v>
      </c>
      <c r="G33" s="12">
        <v>66</v>
      </c>
      <c r="H33" s="8">
        <v>6</v>
      </c>
      <c r="I33" s="12">
        <v>0</v>
      </c>
    </row>
    <row r="34" spans="2:9" ht="15" customHeight="1" x14ac:dyDescent="0.2">
      <c r="B34" t="s">
        <v>78</v>
      </c>
      <c r="C34" s="12">
        <v>77</v>
      </c>
      <c r="D34" s="8">
        <v>3.06</v>
      </c>
      <c r="E34" s="12">
        <v>35</v>
      </c>
      <c r="F34" s="8">
        <v>2.5</v>
      </c>
      <c r="G34" s="12">
        <v>42</v>
      </c>
      <c r="H34" s="8">
        <v>3.82</v>
      </c>
      <c r="I34" s="12">
        <v>0</v>
      </c>
    </row>
    <row r="35" spans="2:9" ht="15" customHeight="1" x14ac:dyDescent="0.2">
      <c r="B35" t="s">
        <v>83</v>
      </c>
      <c r="C35" s="12">
        <v>76</v>
      </c>
      <c r="D35" s="8">
        <v>3.02</v>
      </c>
      <c r="E35" s="12">
        <v>37</v>
      </c>
      <c r="F35" s="8">
        <v>2.65</v>
      </c>
      <c r="G35" s="12">
        <v>39</v>
      </c>
      <c r="H35" s="8">
        <v>3.55</v>
      </c>
      <c r="I35" s="12">
        <v>0</v>
      </c>
    </row>
    <row r="36" spans="2:9" ht="15" customHeight="1" x14ac:dyDescent="0.2">
      <c r="B36" t="s">
        <v>76</v>
      </c>
      <c r="C36" s="12">
        <v>63</v>
      </c>
      <c r="D36" s="8">
        <v>2.5</v>
      </c>
      <c r="E36" s="12">
        <v>40</v>
      </c>
      <c r="F36" s="8">
        <v>2.86</v>
      </c>
      <c r="G36" s="12">
        <v>23</v>
      </c>
      <c r="H36" s="8">
        <v>2.09</v>
      </c>
      <c r="I36" s="12">
        <v>0</v>
      </c>
    </row>
    <row r="37" spans="2:9" ht="15" customHeight="1" x14ac:dyDescent="0.2">
      <c r="B37" t="s">
        <v>82</v>
      </c>
      <c r="C37" s="12">
        <v>55</v>
      </c>
      <c r="D37" s="8">
        <v>2.19</v>
      </c>
      <c r="E37" s="12">
        <v>38</v>
      </c>
      <c r="F37" s="8">
        <v>2.72</v>
      </c>
      <c r="G37" s="12">
        <v>17</v>
      </c>
      <c r="H37" s="8">
        <v>1.55</v>
      </c>
      <c r="I37" s="12">
        <v>0</v>
      </c>
    </row>
    <row r="38" spans="2:9" ht="15" customHeight="1" x14ac:dyDescent="0.2">
      <c r="B38" t="s">
        <v>97</v>
      </c>
      <c r="C38" s="12">
        <v>39</v>
      </c>
      <c r="D38" s="8">
        <v>1.55</v>
      </c>
      <c r="E38" s="12">
        <v>11</v>
      </c>
      <c r="F38" s="8">
        <v>0.79</v>
      </c>
      <c r="G38" s="12">
        <v>28</v>
      </c>
      <c r="H38" s="8">
        <v>2.5499999999999998</v>
      </c>
      <c r="I38" s="12">
        <v>0</v>
      </c>
    </row>
    <row r="39" spans="2:9" ht="15" customHeight="1" x14ac:dyDescent="0.2">
      <c r="B39" t="s">
        <v>74</v>
      </c>
      <c r="C39" s="12">
        <v>38</v>
      </c>
      <c r="D39" s="8">
        <v>1.51</v>
      </c>
      <c r="E39" s="12">
        <v>5</v>
      </c>
      <c r="F39" s="8">
        <v>0.36</v>
      </c>
      <c r="G39" s="12">
        <v>33</v>
      </c>
      <c r="H39" s="8">
        <v>3</v>
      </c>
      <c r="I39" s="12">
        <v>0</v>
      </c>
    </row>
    <row r="40" spans="2:9" ht="15" customHeight="1" x14ac:dyDescent="0.2">
      <c r="B40" t="s">
        <v>80</v>
      </c>
      <c r="C40" s="12">
        <v>38</v>
      </c>
      <c r="D40" s="8">
        <v>1.51</v>
      </c>
      <c r="E40" s="12">
        <v>7</v>
      </c>
      <c r="F40" s="8">
        <v>0.5</v>
      </c>
      <c r="G40" s="12">
        <v>31</v>
      </c>
      <c r="H40" s="8">
        <v>2.82</v>
      </c>
      <c r="I40" s="12">
        <v>0</v>
      </c>
    </row>
    <row r="41" spans="2:9" ht="15" customHeight="1" x14ac:dyDescent="0.2">
      <c r="B41" t="s">
        <v>95</v>
      </c>
      <c r="C41" s="12">
        <v>37</v>
      </c>
      <c r="D41" s="8">
        <v>1.47</v>
      </c>
      <c r="E41" s="12">
        <v>17</v>
      </c>
      <c r="F41" s="8">
        <v>1.22</v>
      </c>
      <c r="G41" s="12">
        <v>20</v>
      </c>
      <c r="H41" s="8">
        <v>1.82</v>
      </c>
      <c r="I41" s="12">
        <v>0</v>
      </c>
    </row>
    <row r="42" spans="2:9" ht="15" customHeight="1" x14ac:dyDescent="0.2">
      <c r="B42" t="s">
        <v>72</v>
      </c>
      <c r="C42" s="12">
        <v>31</v>
      </c>
      <c r="D42" s="8">
        <v>1.23</v>
      </c>
      <c r="E42" s="12">
        <v>9</v>
      </c>
      <c r="F42" s="8">
        <v>0.64</v>
      </c>
      <c r="G42" s="12">
        <v>22</v>
      </c>
      <c r="H42" s="8">
        <v>2</v>
      </c>
      <c r="I42" s="12">
        <v>0</v>
      </c>
    </row>
    <row r="43" spans="2:9" ht="15" customHeight="1" x14ac:dyDescent="0.2">
      <c r="B43" t="s">
        <v>90</v>
      </c>
      <c r="C43" s="12">
        <v>31</v>
      </c>
      <c r="D43" s="8">
        <v>1.23</v>
      </c>
      <c r="E43" s="12">
        <v>1</v>
      </c>
      <c r="F43" s="8">
        <v>7.0000000000000007E-2</v>
      </c>
      <c r="G43" s="12">
        <v>25</v>
      </c>
      <c r="H43" s="8">
        <v>2.27</v>
      </c>
      <c r="I43" s="12">
        <v>1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147</v>
      </c>
      <c r="D47" s="8">
        <v>5.84</v>
      </c>
      <c r="E47" s="12">
        <v>129</v>
      </c>
      <c r="F47" s="8">
        <v>9.23</v>
      </c>
      <c r="G47" s="12">
        <v>18</v>
      </c>
      <c r="H47" s="8">
        <v>1.64</v>
      </c>
      <c r="I47" s="12">
        <v>0</v>
      </c>
    </row>
    <row r="48" spans="2:9" ht="15" customHeight="1" x14ac:dyDescent="0.2">
      <c r="B48" t="s">
        <v>129</v>
      </c>
      <c r="C48" s="12">
        <v>95</v>
      </c>
      <c r="D48" s="8">
        <v>3.78</v>
      </c>
      <c r="E48" s="12">
        <v>80</v>
      </c>
      <c r="F48" s="8">
        <v>5.72</v>
      </c>
      <c r="G48" s="12">
        <v>15</v>
      </c>
      <c r="H48" s="8">
        <v>1.36</v>
      </c>
      <c r="I48" s="12">
        <v>0</v>
      </c>
    </row>
    <row r="49" spans="2:9" ht="15" customHeight="1" x14ac:dyDescent="0.2">
      <c r="B49" t="s">
        <v>131</v>
      </c>
      <c r="C49" s="12">
        <v>82</v>
      </c>
      <c r="D49" s="8">
        <v>3.26</v>
      </c>
      <c r="E49" s="12">
        <v>78</v>
      </c>
      <c r="F49" s="8">
        <v>5.58</v>
      </c>
      <c r="G49" s="12">
        <v>4</v>
      </c>
      <c r="H49" s="8">
        <v>0.36</v>
      </c>
      <c r="I49" s="12">
        <v>0</v>
      </c>
    </row>
    <row r="50" spans="2:9" ht="15" customHeight="1" x14ac:dyDescent="0.2">
      <c r="B50" t="s">
        <v>128</v>
      </c>
      <c r="C50" s="12">
        <v>80</v>
      </c>
      <c r="D50" s="8">
        <v>3.18</v>
      </c>
      <c r="E50" s="12">
        <v>68</v>
      </c>
      <c r="F50" s="8">
        <v>4.8600000000000003</v>
      </c>
      <c r="G50" s="12">
        <v>12</v>
      </c>
      <c r="H50" s="8">
        <v>1.0900000000000001</v>
      </c>
      <c r="I50" s="12">
        <v>0</v>
      </c>
    </row>
    <row r="51" spans="2:9" ht="15" customHeight="1" x14ac:dyDescent="0.2">
      <c r="B51" t="s">
        <v>118</v>
      </c>
      <c r="C51" s="12">
        <v>69</v>
      </c>
      <c r="D51" s="8">
        <v>2.74</v>
      </c>
      <c r="E51" s="12">
        <v>41</v>
      </c>
      <c r="F51" s="8">
        <v>2.93</v>
      </c>
      <c r="G51" s="12">
        <v>28</v>
      </c>
      <c r="H51" s="8">
        <v>2.5499999999999998</v>
      </c>
      <c r="I51" s="12">
        <v>0</v>
      </c>
    </row>
    <row r="52" spans="2:9" ht="15" customHeight="1" x14ac:dyDescent="0.2">
      <c r="B52" t="s">
        <v>133</v>
      </c>
      <c r="C52" s="12">
        <v>63</v>
      </c>
      <c r="D52" s="8">
        <v>2.5</v>
      </c>
      <c r="E52" s="12">
        <v>55</v>
      </c>
      <c r="F52" s="8">
        <v>3.93</v>
      </c>
      <c r="G52" s="12">
        <v>7</v>
      </c>
      <c r="H52" s="8">
        <v>0.64</v>
      </c>
      <c r="I52" s="12">
        <v>1</v>
      </c>
    </row>
    <row r="53" spans="2:9" ht="15" customHeight="1" x14ac:dyDescent="0.2">
      <c r="B53" t="s">
        <v>116</v>
      </c>
      <c r="C53" s="12">
        <v>59</v>
      </c>
      <c r="D53" s="8">
        <v>2.35</v>
      </c>
      <c r="E53" s="12">
        <v>21</v>
      </c>
      <c r="F53" s="8">
        <v>1.5</v>
      </c>
      <c r="G53" s="12">
        <v>38</v>
      </c>
      <c r="H53" s="8">
        <v>3.45</v>
      </c>
      <c r="I53" s="12">
        <v>0</v>
      </c>
    </row>
    <row r="54" spans="2:9" ht="15" customHeight="1" x14ac:dyDescent="0.2">
      <c r="B54" t="s">
        <v>134</v>
      </c>
      <c r="C54" s="12">
        <v>58</v>
      </c>
      <c r="D54" s="8">
        <v>2.31</v>
      </c>
      <c r="E54" s="12">
        <v>54</v>
      </c>
      <c r="F54" s="8">
        <v>3.86</v>
      </c>
      <c r="G54" s="12">
        <v>4</v>
      </c>
      <c r="H54" s="8">
        <v>0.36</v>
      </c>
      <c r="I54" s="12">
        <v>0</v>
      </c>
    </row>
    <row r="55" spans="2:9" ht="15" customHeight="1" x14ac:dyDescent="0.2">
      <c r="B55" t="s">
        <v>124</v>
      </c>
      <c r="C55" s="12">
        <v>53</v>
      </c>
      <c r="D55" s="8">
        <v>2.11</v>
      </c>
      <c r="E55" s="12">
        <v>41</v>
      </c>
      <c r="F55" s="8">
        <v>2.93</v>
      </c>
      <c r="G55" s="12">
        <v>12</v>
      </c>
      <c r="H55" s="8">
        <v>1.0900000000000001</v>
      </c>
      <c r="I55" s="12">
        <v>0</v>
      </c>
    </row>
    <row r="56" spans="2:9" ht="15" customHeight="1" x14ac:dyDescent="0.2">
      <c r="B56" t="s">
        <v>117</v>
      </c>
      <c r="C56" s="12">
        <v>49</v>
      </c>
      <c r="D56" s="8">
        <v>1.95</v>
      </c>
      <c r="E56" s="12">
        <v>6</v>
      </c>
      <c r="F56" s="8">
        <v>0.43</v>
      </c>
      <c r="G56" s="12">
        <v>43</v>
      </c>
      <c r="H56" s="8">
        <v>3.91</v>
      </c>
      <c r="I56" s="12">
        <v>0</v>
      </c>
    </row>
    <row r="57" spans="2:9" ht="15" customHeight="1" x14ac:dyDescent="0.2">
      <c r="B57" t="s">
        <v>127</v>
      </c>
      <c r="C57" s="12">
        <v>49</v>
      </c>
      <c r="D57" s="8">
        <v>1.95</v>
      </c>
      <c r="E57" s="12">
        <v>22</v>
      </c>
      <c r="F57" s="8">
        <v>1.57</v>
      </c>
      <c r="G57" s="12">
        <v>27</v>
      </c>
      <c r="H57" s="8">
        <v>2.4500000000000002</v>
      </c>
      <c r="I57" s="12">
        <v>0</v>
      </c>
    </row>
    <row r="58" spans="2:9" ht="15" customHeight="1" x14ac:dyDescent="0.2">
      <c r="B58" t="s">
        <v>126</v>
      </c>
      <c r="C58" s="12">
        <v>46</v>
      </c>
      <c r="D58" s="8">
        <v>1.83</v>
      </c>
      <c r="E58" s="12">
        <v>8</v>
      </c>
      <c r="F58" s="8">
        <v>0.56999999999999995</v>
      </c>
      <c r="G58" s="12">
        <v>38</v>
      </c>
      <c r="H58" s="8">
        <v>3.45</v>
      </c>
      <c r="I58" s="12">
        <v>0</v>
      </c>
    </row>
    <row r="59" spans="2:9" ht="15" customHeight="1" x14ac:dyDescent="0.2">
      <c r="B59" t="s">
        <v>130</v>
      </c>
      <c r="C59" s="12">
        <v>45</v>
      </c>
      <c r="D59" s="8">
        <v>1.79</v>
      </c>
      <c r="E59" s="12">
        <v>42</v>
      </c>
      <c r="F59" s="8">
        <v>3</v>
      </c>
      <c r="G59" s="12">
        <v>3</v>
      </c>
      <c r="H59" s="8">
        <v>0.27</v>
      </c>
      <c r="I59" s="12">
        <v>0</v>
      </c>
    </row>
    <row r="60" spans="2:9" ht="15" customHeight="1" x14ac:dyDescent="0.2">
      <c r="B60" t="s">
        <v>121</v>
      </c>
      <c r="C60" s="12">
        <v>39</v>
      </c>
      <c r="D60" s="8">
        <v>1.55</v>
      </c>
      <c r="E60" s="12">
        <v>26</v>
      </c>
      <c r="F60" s="8">
        <v>1.86</v>
      </c>
      <c r="G60" s="12">
        <v>13</v>
      </c>
      <c r="H60" s="8">
        <v>1.18</v>
      </c>
      <c r="I60" s="12">
        <v>0</v>
      </c>
    </row>
    <row r="61" spans="2:9" ht="15" customHeight="1" x14ac:dyDescent="0.2">
      <c r="B61" t="s">
        <v>157</v>
      </c>
      <c r="C61" s="12">
        <v>36</v>
      </c>
      <c r="D61" s="8">
        <v>1.43</v>
      </c>
      <c r="E61" s="12">
        <v>11</v>
      </c>
      <c r="F61" s="8">
        <v>0.79</v>
      </c>
      <c r="G61" s="12">
        <v>25</v>
      </c>
      <c r="H61" s="8">
        <v>2.27</v>
      </c>
      <c r="I61" s="12">
        <v>0</v>
      </c>
    </row>
    <row r="62" spans="2:9" ht="15" customHeight="1" x14ac:dyDescent="0.2">
      <c r="B62" t="s">
        <v>136</v>
      </c>
      <c r="C62" s="12">
        <v>36</v>
      </c>
      <c r="D62" s="8">
        <v>1.43</v>
      </c>
      <c r="E62" s="12">
        <v>31</v>
      </c>
      <c r="F62" s="8">
        <v>2.2200000000000002</v>
      </c>
      <c r="G62" s="12">
        <v>5</v>
      </c>
      <c r="H62" s="8">
        <v>0.45</v>
      </c>
      <c r="I62" s="12">
        <v>0</v>
      </c>
    </row>
    <row r="63" spans="2:9" ht="15" customHeight="1" x14ac:dyDescent="0.2">
      <c r="B63" t="s">
        <v>122</v>
      </c>
      <c r="C63" s="12">
        <v>36</v>
      </c>
      <c r="D63" s="8">
        <v>1.43</v>
      </c>
      <c r="E63" s="12">
        <v>13</v>
      </c>
      <c r="F63" s="8">
        <v>0.93</v>
      </c>
      <c r="G63" s="12">
        <v>23</v>
      </c>
      <c r="H63" s="8">
        <v>2.09</v>
      </c>
      <c r="I63" s="12">
        <v>0</v>
      </c>
    </row>
    <row r="64" spans="2:9" ht="15" customHeight="1" x14ac:dyDescent="0.2">
      <c r="B64" t="s">
        <v>120</v>
      </c>
      <c r="C64" s="12">
        <v>35</v>
      </c>
      <c r="D64" s="8">
        <v>1.39</v>
      </c>
      <c r="E64" s="12">
        <v>9</v>
      </c>
      <c r="F64" s="8">
        <v>0.64</v>
      </c>
      <c r="G64" s="12">
        <v>26</v>
      </c>
      <c r="H64" s="8">
        <v>2.36</v>
      </c>
      <c r="I64" s="12">
        <v>0</v>
      </c>
    </row>
    <row r="65" spans="2:9" ht="15" customHeight="1" x14ac:dyDescent="0.2">
      <c r="B65" t="s">
        <v>123</v>
      </c>
      <c r="C65" s="12">
        <v>35</v>
      </c>
      <c r="D65" s="8">
        <v>1.39</v>
      </c>
      <c r="E65" s="12">
        <v>10</v>
      </c>
      <c r="F65" s="8">
        <v>0.72</v>
      </c>
      <c r="G65" s="12">
        <v>25</v>
      </c>
      <c r="H65" s="8">
        <v>2.27</v>
      </c>
      <c r="I65" s="12">
        <v>0</v>
      </c>
    </row>
    <row r="66" spans="2:9" ht="15" customHeight="1" x14ac:dyDescent="0.2">
      <c r="B66" t="s">
        <v>167</v>
      </c>
      <c r="C66" s="12">
        <v>35</v>
      </c>
      <c r="D66" s="8">
        <v>1.39</v>
      </c>
      <c r="E66" s="12">
        <v>25</v>
      </c>
      <c r="F66" s="8">
        <v>1.79</v>
      </c>
      <c r="G66" s="12">
        <v>10</v>
      </c>
      <c r="H66" s="8">
        <v>0.91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F69D7-EF8F-4DCF-9F0D-F080FBB03613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217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506</v>
      </c>
      <c r="D6" s="8">
        <v>15.54</v>
      </c>
      <c r="E6" s="12">
        <v>222</v>
      </c>
      <c r="F6" s="8">
        <v>11.4</v>
      </c>
      <c r="G6" s="12">
        <v>284</v>
      </c>
      <c r="H6" s="8">
        <v>21.91</v>
      </c>
      <c r="I6" s="12">
        <v>0</v>
      </c>
    </row>
    <row r="7" spans="2:9" ht="15" customHeight="1" x14ac:dyDescent="0.2">
      <c r="B7" t="s">
        <v>48</v>
      </c>
      <c r="C7" s="12">
        <v>371</v>
      </c>
      <c r="D7" s="8">
        <v>11.39</v>
      </c>
      <c r="E7" s="12">
        <v>156</v>
      </c>
      <c r="F7" s="8">
        <v>8.01</v>
      </c>
      <c r="G7" s="12">
        <v>214</v>
      </c>
      <c r="H7" s="8">
        <v>16.510000000000002</v>
      </c>
      <c r="I7" s="12">
        <v>1</v>
      </c>
    </row>
    <row r="8" spans="2:9" ht="15" customHeight="1" x14ac:dyDescent="0.2">
      <c r="B8" t="s">
        <v>49</v>
      </c>
      <c r="C8" s="12">
        <v>1</v>
      </c>
      <c r="D8" s="8">
        <v>0.03</v>
      </c>
      <c r="E8" s="12">
        <v>0</v>
      </c>
      <c r="F8" s="8">
        <v>0</v>
      </c>
      <c r="G8" s="12">
        <v>1</v>
      </c>
      <c r="H8" s="8">
        <v>0.08</v>
      </c>
      <c r="I8" s="12">
        <v>0</v>
      </c>
    </row>
    <row r="9" spans="2:9" ht="15" customHeight="1" x14ac:dyDescent="0.2">
      <c r="B9" t="s">
        <v>50</v>
      </c>
      <c r="C9" s="12">
        <v>17</v>
      </c>
      <c r="D9" s="8">
        <v>0.52</v>
      </c>
      <c r="E9" s="12">
        <v>2</v>
      </c>
      <c r="F9" s="8">
        <v>0.1</v>
      </c>
      <c r="G9" s="12">
        <v>15</v>
      </c>
      <c r="H9" s="8">
        <v>1.1599999999999999</v>
      </c>
      <c r="I9" s="12">
        <v>0</v>
      </c>
    </row>
    <row r="10" spans="2:9" ht="15" customHeight="1" x14ac:dyDescent="0.2">
      <c r="B10" t="s">
        <v>51</v>
      </c>
      <c r="C10" s="12">
        <v>25</v>
      </c>
      <c r="D10" s="8">
        <v>0.77</v>
      </c>
      <c r="E10" s="12">
        <v>5</v>
      </c>
      <c r="F10" s="8">
        <v>0.26</v>
      </c>
      <c r="G10" s="12">
        <v>20</v>
      </c>
      <c r="H10" s="8">
        <v>1.54</v>
      </c>
      <c r="I10" s="12">
        <v>0</v>
      </c>
    </row>
    <row r="11" spans="2:9" ht="15" customHeight="1" x14ac:dyDescent="0.2">
      <c r="B11" t="s">
        <v>52</v>
      </c>
      <c r="C11" s="12">
        <v>752</v>
      </c>
      <c r="D11" s="8">
        <v>23.09</v>
      </c>
      <c r="E11" s="12">
        <v>430</v>
      </c>
      <c r="F11" s="8">
        <v>22.09</v>
      </c>
      <c r="G11" s="12">
        <v>321</v>
      </c>
      <c r="H11" s="8">
        <v>24.77</v>
      </c>
      <c r="I11" s="12">
        <v>1</v>
      </c>
    </row>
    <row r="12" spans="2:9" ht="15" customHeight="1" x14ac:dyDescent="0.2">
      <c r="B12" t="s">
        <v>53</v>
      </c>
      <c r="C12" s="12">
        <v>27</v>
      </c>
      <c r="D12" s="8">
        <v>0.83</v>
      </c>
      <c r="E12" s="12">
        <v>8</v>
      </c>
      <c r="F12" s="8">
        <v>0.41</v>
      </c>
      <c r="G12" s="12">
        <v>18</v>
      </c>
      <c r="H12" s="8">
        <v>1.39</v>
      </c>
      <c r="I12" s="12">
        <v>1</v>
      </c>
    </row>
    <row r="13" spans="2:9" ht="15" customHeight="1" x14ac:dyDescent="0.2">
      <c r="B13" t="s">
        <v>54</v>
      </c>
      <c r="C13" s="12">
        <v>260</v>
      </c>
      <c r="D13" s="8">
        <v>7.98</v>
      </c>
      <c r="E13" s="12">
        <v>139</v>
      </c>
      <c r="F13" s="8">
        <v>7.14</v>
      </c>
      <c r="G13" s="12">
        <v>120</v>
      </c>
      <c r="H13" s="8">
        <v>9.26</v>
      </c>
      <c r="I13" s="12">
        <v>1</v>
      </c>
    </row>
    <row r="14" spans="2:9" ht="15" customHeight="1" x14ac:dyDescent="0.2">
      <c r="B14" t="s">
        <v>55</v>
      </c>
      <c r="C14" s="12">
        <v>154</v>
      </c>
      <c r="D14" s="8">
        <v>4.7300000000000004</v>
      </c>
      <c r="E14" s="12">
        <v>103</v>
      </c>
      <c r="F14" s="8">
        <v>5.29</v>
      </c>
      <c r="G14" s="12">
        <v>51</v>
      </c>
      <c r="H14" s="8">
        <v>3.94</v>
      </c>
      <c r="I14" s="12">
        <v>0</v>
      </c>
    </row>
    <row r="15" spans="2:9" ht="15" customHeight="1" x14ac:dyDescent="0.2">
      <c r="B15" t="s">
        <v>56</v>
      </c>
      <c r="C15" s="12">
        <v>321</v>
      </c>
      <c r="D15" s="8">
        <v>9.86</v>
      </c>
      <c r="E15" s="12">
        <v>273</v>
      </c>
      <c r="F15" s="8">
        <v>14.02</v>
      </c>
      <c r="G15" s="12">
        <v>48</v>
      </c>
      <c r="H15" s="8">
        <v>3.7</v>
      </c>
      <c r="I15" s="12">
        <v>0</v>
      </c>
    </row>
    <row r="16" spans="2:9" ht="15" customHeight="1" x14ac:dyDescent="0.2">
      <c r="B16" t="s">
        <v>57</v>
      </c>
      <c r="C16" s="12">
        <v>426</v>
      </c>
      <c r="D16" s="8">
        <v>13.08</v>
      </c>
      <c r="E16" s="12">
        <v>341</v>
      </c>
      <c r="F16" s="8">
        <v>17.510000000000002</v>
      </c>
      <c r="G16" s="12">
        <v>83</v>
      </c>
      <c r="H16" s="8">
        <v>6.4</v>
      </c>
      <c r="I16" s="12">
        <v>2</v>
      </c>
    </row>
    <row r="17" spans="2:9" ht="15" customHeight="1" x14ac:dyDescent="0.2">
      <c r="B17" t="s">
        <v>58</v>
      </c>
      <c r="C17" s="12">
        <v>169</v>
      </c>
      <c r="D17" s="8">
        <v>5.19</v>
      </c>
      <c r="E17" s="12">
        <v>134</v>
      </c>
      <c r="F17" s="8">
        <v>6.88</v>
      </c>
      <c r="G17" s="12">
        <v>34</v>
      </c>
      <c r="H17" s="8">
        <v>2.62</v>
      </c>
      <c r="I17" s="12">
        <v>0</v>
      </c>
    </row>
    <row r="18" spans="2:9" ht="15" customHeight="1" x14ac:dyDescent="0.2">
      <c r="B18" t="s">
        <v>59</v>
      </c>
      <c r="C18" s="12">
        <v>137</v>
      </c>
      <c r="D18" s="8">
        <v>4.21</v>
      </c>
      <c r="E18" s="12">
        <v>91</v>
      </c>
      <c r="F18" s="8">
        <v>4.67</v>
      </c>
      <c r="G18" s="12">
        <v>43</v>
      </c>
      <c r="H18" s="8">
        <v>3.32</v>
      </c>
      <c r="I18" s="12">
        <v>0</v>
      </c>
    </row>
    <row r="19" spans="2:9" ht="15" customHeight="1" x14ac:dyDescent="0.2">
      <c r="B19" t="s">
        <v>60</v>
      </c>
      <c r="C19" s="12">
        <v>91</v>
      </c>
      <c r="D19" s="8">
        <v>2.79</v>
      </c>
      <c r="E19" s="12">
        <v>43</v>
      </c>
      <c r="F19" s="8">
        <v>2.21</v>
      </c>
      <c r="G19" s="12">
        <v>44</v>
      </c>
      <c r="H19" s="8">
        <v>3.4</v>
      </c>
      <c r="I19" s="12">
        <v>0</v>
      </c>
    </row>
    <row r="20" spans="2:9" ht="15" customHeight="1" x14ac:dyDescent="0.2">
      <c r="B20" s="9" t="s">
        <v>191</v>
      </c>
      <c r="C20" s="12">
        <f>SUM(LTBL_22214[総数／事業所数])</f>
        <v>3257</v>
      </c>
      <c r="E20" s="12">
        <f>SUBTOTAL(109,LTBL_22214[個人／事業所数])</f>
        <v>1947</v>
      </c>
      <c r="G20" s="12">
        <f>SUBTOTAL(109,LTBL_22214[法人／事業所数])</f>
        <v>1296</v>
      </c>
      <c r="I20" s="12">
        <f>SUBTOTAL(109,LTBL_22214[法人以外の団体／事業所数])</f>
        <v>6</v>
      </c>
    </row>
    <row r="21" spans="2:9" ht="15" customHeight="1" x14ac:dyDescent="0.2">
      <c r="E21" s="11">
        <f>LTBL_22214[[#Totals],[個人／事業所数]]/LTBL_22214[[#Totals],[総数／事業所数]]</f>
        <v>0.59778937672704946</v>
      </c>
      <c r="G21" s="11">
        <f>LTBL_22214[[#Totals],[法人／事業所数]]/LTBL_22214[[#Totals],[総数／事業所数]]</f>
        <v>0.39791218913110227</v>
      </c>
      <c r="I21" s="11">
        <f>LTBL_22214[[#Totals],[法人以外の団体／事業所数]]/LTBL_22214[[#Totals],[総数／事業所数]]</f>
        <v>1.84218606079214E-3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373</v>
      </c>
      <c r="D24" s="8">
        <v>11.45</v>
      </c>
      <c r="E24" s="12">
        <v>313</v>
      </c>
      <c r="F24" s="8">
        <v>16.079999999999998</v>
      </c>
      <c r="G24" s="12">
        <v>59</v>
      </c>
      <c r="H24" s="8">
        <v>4.55</v>
      </c>
      <c r="I24" s="12">
        <v>1</v>
      </c>
    </row>
    <row r="25" spans="2:9" ht="15" customHeight="1" x14ac:dyDescent="0.2">
      <c r="B25" t="s">
        <v>84</v>
      </c>
      <c r="C25" s="12">
        <v>304</v>
      </c>
      <c r="D25" s="8">
        <v>9.33</v>
      </c>
      <c r="E25" s="12">
        <v>264</v>
      </c>
      <c r="F25" s="8">
        <v>13.56</v>
      </c>
      <c r="G25" s="12">
        <v>40</v>
      </c>
      <c r="H25" s="8">
        <v>3.09</v>
      </c>
      <c r="I25" s="12">
        <v>0</v>
      </c>
    </row>
    <row r="26" spans="2:9" ht="15" customHeight="1" x14ac:dyDescent="0.2">
      <c r="B26" t="s">
        <v>79</v>
      </c>
      <c r="C26" s="12">
        <v>208</v>
      </c>
      <c r="D26" s="8">
        <v>6.39</v>
      </c>
      <c r="E26" s="12">
        <v>127</v>
      </c>
      <c r="F26" s="8">
        <v>6.52</v>
      </c>
      <c r="G26" s="12">
        <v>81</v>
      </c>
      <c r="H26" s="8">
        <v>6.25</v>
      </c>
      <c r="I26" s="12">
        <v>0</v>
      </c>
    </row>
    <row r="27" spans="2:9" ht="15" customHeight="1" x14ac:dyDescent="0.2">
      <c r="B27" t="s">
        <v>70</v>
      </c>
      <c r="C27" s="12">
        <v>205</v>
      </c>
      <c r="D27" s="8">
        <v>6.29</v>
      </c>
      <c r="E27" s="12">
        <v>117</v>
      </c>
      <c r="F27" s="8">
        <v>6.01</v>
      </c>
      <c r="G27" s="12">
        <v>88</v>
      </c>
      <c r="H27" s="8">
        <v>6.79</v>
      </c>
      <c r="I27" s="12">
        <v>0</v>
      </c>
    </row>
    <row r="28" spans="2:9" ht="15" customHeight="1" x14ac:dyDescent="0.2">
      <c r="B28" t="s">
        <v>81</v>
      </c>
      <c r="C28" s="12">
        <v>200</v>
      </c>
      <c r="D28" s="8">
        <v>6.14</v>
      </c>
      <c r="E28" s="12">
        <v>122</v>
      </c>
      <c r="F28" s="8">
        <v>6.27</v>
      </c>
      <c r="G28" s="12">
        <v>77</v>
      </c>
      <c r="H28" s="8">
        <v>5.94</v>
      </c>
      <c r="I28" s="12">
        <v>1</v>
      </c>
    </row>
    <row r="29" spans="2:9" ht="15" customHeight="1" x14ac:dyDescent="0.2">
      <c r="B29" t="s">
        <v>69</v>
      </c>
      <c r="C29" s="12">
        <v>189</v>
      </c>
      <c r="D29" s="8">
        <v>5.8</v>
      </c>
      <c r="E29" s="12">
        <v>62</v>
      </c>
      <c r="F29" s="8">
        <v>3.18</v>
      </c>
      <c r="G29" s="12">
        <v>127</v>
      </c>
      <c r="H29" s="8">
        <v>9.8000000000000007</v>
      </c>
      <c r="I29" s="12">
        <v>0</v>
      </c>
    </row>
    <row r="30" spans="2:9" ht="15" customHeight="1" x14ac:dyDescent="0.2">
      <c r="B30" t="s">
        <v>86</v>
      </c>
      <c r="C30" s="12">
        <v>169</v>
      </c>
      <c r="D30" s="8">
        <v>5.19</v>
      </c>
      <c r="E30" s="12">
        <v>134</v>
      </c>
      <c r="F30" s="8">
        <v>6.88</v>
      </c>
      <c r="G30" s="12">
        <v>34</v>
      </c>
      <c r="H30" s="8">
        <v>2.62</v>
      </c>
      <c r="I30" s="12">
        <v>0</v>
      </c>
    </row>
    <row r="31" spans="2:9" ht="15" customHeight="1" x14ac:dyDescent="0.2">
      <c r="B31" t="s">
        <v>77</v>
      </c>
      <c r="C31" s="12">
        <v>160</v>
      </c>
      <c r="D31" s="8">
        <v>4.91</v>
      </c>
      <c r="E31" s="12">
        <v>138</v>
      </c>
      <c r="F31" s="8">
        <v>7.09</v>
      </c>
      <c r="G31" s="12">
        <v>21</v>
      </c>
      <c r="H31" s="8">
        <v>1.62</v>
      </c>
      <c r="I31" s="12">
        <v>1</v>
      </c>
    </row>
    <row r="32" spans="2:9" ht="15" customHeight="1" x14ac:dyDescent="0.2">
      <c r="B32" t="s">
        <v>71</v>
      </c>
      <c r="C32" s="12">
        <v>112</v>
      </c>
      <c r="D32" s="8">
        <v>3.44</v>
      </c>
      <c r="E32" s="12">
        <v>43</v>
      </c>
      <c r="F32" s="8">
        <v>2.21</v>
      </c>
      <c r="G32" s="12">
        <v>69</v>
      </c>
      <c r="H32" s="8">
        <v>5.32</v>
      </c>
      <c r="I32" s="12">
        <v>0</v>
      </c>
    </row>
    <row r="33" spans="2:9" ht="15" customHeight="1" x14ac:dyDescent="0.2">
      <c r="B33" t="s">
        <v>78</v>
      </c>
      <c r="C33" s="12">
        <v>109</v>
      </c>
      <c r="D33" s="8">
        <v>3.35</v>
      </c>
      <c r="E33" s="12">
        <v>59</v>
      </c>
      <c r="F33" s="8">
        <v>3.03</v>
      </c>
      <c r="G33" s="12">
        <v>50</v>
      </c>
      <c r="H33" s="8">
        <v>3.86</v>
      </c>
      <c r="I33" s="12">
        <v>0</v>
      </c>
    </row>
    <row r="34" spans="2:9" ht="15" customHeight="1" x14ac:dyDescent="0.2">
      <c r="B34" t="s">
        <v>87</v>
      </c>
      <c r="C34" s="12">
        <v>99</v>
      </c>
      <c r="D34" s="8">
        <v>3.04</v>
      </c>
      <c r="E34" s="12">
        <v>88</v>
      </c>
      <c r="F34" s="8">
        <v>4.5199999999999996</v>
      </c>
      <c r="G34" s="12">
        <v>11</v>
      </c>
      <c r="H34" s="8">
        <v>0.85</v>
      </c>
      <c r="I34" s="12">
        <v>0</v>
      </c>
    </row>
    <row r="35" spans="2:9" ht="15" customHeight="1" x14ac:dyDescent="0.2">
      <c r="B35" t="s">
        <v>82</v>
      </c>
      <c r="C35" s="12">
        <v>88</v>
      </c>
      <c r="D35" s="8">
        <v>2.7</v>
      </c>
      <c r="E35" s="12">
        <v>66</v>
      </c>
      <c r="F35" s="8">
        <v>3.39</v>
      </c>
      <c r="G35" s="12">
        <v>22</v>
      </c>
      <c r="H35" s="8">
        <v>1.7</v>
      </c>
      <c r="I35" s="12">
        <v>0</v>
      </c>
    </row>
    <row r="36" spans="2:9" ht="15" customHeight="1" x14ac:dyDescent="0.2">
      <c r="B36" t="s">
        <v>76</v>
      </c>
      <c r="C36" s="12">
        <v>85</v>
      </c>
      <c r="D36" s="8">
        <v>2.61</v>
      </c>
      <c r="E36" s="12">
        <v>61</v>
      </c>
      <c r="F36" s="8">
        <v>3.13</v>
      </c>
      <c r="G36" s="12">
        <v>24</v>
      </c>
      <c r="H36" s="8">
        <v>1.85</v>
      </c>
      <c r="I36" s="12">
        <v>0</v>
      </c>
    </row>
    <row r="37" spans="2:9" ht="15" customHeight="1" x14ac:dyDescent="0.2">
      <c r="B37" t="s">
        <v>83</v>
      </c>
      <c r="C37" s="12">
        <v>62</v>
      </c>
      <c r="D37" s="8">
        <v>1.9</v>
      </c>
      <c r="E37" s="12">
        <v>36</v>
      </c>
      <c r="F37" s="8">
        <v>1.85</v>
      </c>
      <c r="G37" s="12">
        <v>26</v>
      </c>
      <c r="H37" s="8">
        <v>2.0099999999999998</v>
      </c>
      <c r="I37" s="12">
        <v>0</v>
      </c>
    </row>
    <row r="38" spans="2:9" ht="15" customHeight="1" x14ac:dyDescent="0.2">
      <c r="B38" t="s">
        <v>91</v>
      </c>
      <c r="C38" s="12">
        <v>57</v>
      </c>
      <c r="D38" s="8">
        <v>1.75</v>
      </c>
      <c r="E38" s="12">
        <v>41</v>
      </c>
      <c r="F38" s="8">
        <v>2.11</v>
      </c>
      <c r="G38" s="12">
        <v>16</v>
      </c>
      <c r="H38" s="8">
        <v>1.23</v>
      </c>
      <c r="I38" s="12">
        <v>0</v>
      </c>
    </row>
    <row r="39" spans="2:9" ht="15" customHeight="1" x14ac:dyDescent="0.2">
      <c r="B39" t="s">
        <v>93</v>
      </c>
      <c r="C39" s="12">
        <v>48</v>
      </c>
      <c r="D39" s="8">
        <v>1.47</v>
      </c>
      <c r="E39" s="12">
        <v>12</v>
      </c>
      <c r="F39" s="8">
        <v>0.62</v>
      </c>
      <c r="G39" s="12">
        <v>36</v>
      </c>
      <c r="H39" s="8">
        <v>2.78</v>
      </c>
      <c r="I39" s="12">
        <v>0</v>
      </c>
    </row>
    <row r="40" spans="2:9" ht="15" customHeight="1" x14ac:dyDescent="0.2">
      <c r="B40" t="s">
        <v>80</v>
      </c>
      <c r="C40" s="12">
        <v>48</v>
      </c>
      <c r="D40" s="8">
        <v>1.47</v>
      </c>
      <c r="E40" s="12">
        <v>16</v>
      </c>
      <c r="F40" s="8">
        <v>0.82</v>
      </c>
      <c r="G40" s="12">
        <v>32</v>
      </c>
      <c r="H40" s="8">
        <v>2.4700000000000002</v>
      </c>
      <c r="I40" s="12">
        <v>0</v>
      </c>
    </row>
    <row r="41" spans="2:9" ht="15" customHeight="1" x14ac:dyDescent="0.2">
      <c r="B41" t="s">
        <v>72</v>
      </c>
      <c r="C41" s="12">
        <v>43</v>
      </c>
      <c r="D41" s="8">
        <v>1.32</v>
      </c>
      <c r="E41" s="12">
        <v>16</v>
      </c>
      <c r="F41" s="8">
        <v>0.82</v>
      </c>
      <c r="G41" s="12">
        <v>27</v>
      </c>
      <c r="H41" s="8">
        <v>2.08</v>
      </c>
      <c r="I41" s="12">
        <v>0</v>
      </c>
    </row>
    <row r="42" spans="2:9" ht="15" customHeight="1" x14ac:dyDescent="0.2">
      <c r="B42" t="s">
        <v>97</v>
      </c>
      <c r="C42" s="12">
        <v>42</v>
      </c>
      <c r="D42" s="8">
        <v>1.29</v>
      </c>
      <c r="E42" s="12">
        <v>9</v>
      </c>
      <c r="F42" s="8">
        <v>0.46</v>
      </c>
      <c r="G42" s="12">
        <v>32</v>
      </c>
      <c r="H42" s="8">
        <v>2.4700000000000002</v>
      </c>
      <c r="I42" s="12">
        <v>1</v>
      </c>
    </row>
    <row r="43" spans="2:9" ht="15" customHeight="1" x14ac:dyDescent="0.2">
      <c r="B43" t="s">
        <v>74</v>
      </c>
      <c r="C43" s="12">
        <v>41</v>
      </c>
      <c r="D43" s="8">
        <v>1.26</v>
      </c>
      <c r="E43" s="12">
        <v>10</v>
      </c>
      <c r="F43" s="8">
        <v>0.51</v>
      </c>
      <c r="G43" s="12">
        <v>31</v>
      </c>
      <c r="H43" s="8">
        <v>2.39</v>
      </c>
      <c r="I43" s="12">
        <v>0</v>
      </c>
    </row>
    <row r="44" spans="2:9" ht="15" customHeight="1" x14ac:dyDescent="0.2">
      <c r="B44" t="s">
        <v>75</v>
      </c>
      <c r="C44" s="12">
        <v>41</v>
      </c>
      <c r="D44" s="8">
        <v>1.26</v>
      </c>
      <c r="E44" s="12">
        <v>11</v>
      </c>
      <c r="F44" s="8">
        <v>0.56000000000000005</v>
      </c>
      <c r="G44" s="12">
        <v>30</v>
      </c>
      <c r="H44" s="8">
        <v>2.31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132</v>
      </c>
      <c r="C48" s="12">
        <v>195</v>
      </c>
      <c r="D48" s="8">
        <v>5.99</v>
      </c>
      <c r="E48" s="12">
        <v>172</v>
      </c>
      <c r="F48" s="8">
        <v>8.83</v>
      </c>
      <c r="G48" s="12">
        <v>23</v>
      </c>
      <c r="H48" s="8">
        <v>1.77</v>
      </c>
      <c r="I48" s="12">
        <v>0</v>
      </c>
    </row>
    <row r="49" spans="2:9" ht="15" customHeight="1" x14ac:dyDescent="0.2">
      <c r="B49" t="s">
        <v>133</v>
      </c>
      <c r="C49" s="12">
        <v>118</v>
      </c>
      <c r="D49" s="8">
        <v>3.62</v>
      </c>
      <c r="E49" s="12">
        <v>100</v>
      </c>
      <c r="F49" s="8">
        <v>5.14</v>
      </c>
      <c r="G49" s="12">
        <v>18</v>
      </c>
      <c r="H49" s="8">
        <v>1.39</v>
      </c>
      <c r="I49" s="12">
        <v>0</v>
      </c>
    </row>
    <row r="50" spans="2:9" ht="15" customHeight="1" x14ac:dyDescent="0.2">
      <c r="B50" t="s">
        <v>126</v>
      </c>
      <c r="C50" s="12">
        <v>117</v>
      </c>
      <c r="D50" s="8">
        <v>3.59</v>
      </c>
      <c r="E50" s="12">
        <v>79</v>
      </c>
      <c r="F50" s="8">
        <v>4.0599999999999996</v>
      </c>
      <c r="G50" s="12">
        <v>38</v>
      </c>
      <c r="H50" s="8">
        <v>2.93</v>
      </c>
      <c r="I50" s="12">
        <v>0</v>
      </c>
    </row>
    <row r="51" spans="2:9" ht="15" customHeight="1" x14ac:dyDescent="0.2">
      <c r="B51" t="s">
        <v>131</v>
      </c>
      <c r="C51" s="12">
        <v>104</v>
      </c>
      <c r="D51" s="8">
        <v>3.19</v>
      </c>
      <c r="E51" s="12">
        <v>98</v>
      </c>
      <c r="F51" s="8">
        <v>5.03</v>
      </c>
      <c r="G51" s="12">
        <v>5</v>
      </c>
      <c r="H51" s="8">
        <v>0.39</v>
      </c>
      <c r="I51" s="12">
        <v>1</v>
      </c>
    </row>
    <row r="52" spans="2:9" ht="15" customHeight="1" x14ac:dyDescent="0.2">
      <c r="B52" t="s">
        <v>129</v>
      </c>
      <c r="C52" s="12">
        <v>90</v>
      </c>
      <c r="D52" s="8">
        <v>2.76</v>
      </c>
      <c r="E52" s="12">
        <v>75</v>
      </c>
      <c r="F52" s="8">
        <v>3.85</v>
      </c>
      <c r="G52" s="12">
        <v>15</v>
      </c>
      <c r="H52" s="8">
        <v>1.1599999999999999</v>
      </c>
      <c r="I52" s="12">
        <v>0</v>
      </c>
    </row>
    <row r="53" spans="2:9" ht="15" customHeight="1" x14ac:dyDescent="0.2">
      <c r="B53" t="s">
        <v>128</v>
      </c>
      <c r="C53" s="12">
        <v>84</v>
      </c>
      <c r="D53" s="8">
        <v>2.58</v>
      </c>
      <c r="E53" s="12">
        <v>75</v>
      </c>
      <c r="F53" s="8">
        <v>3.85</v>
      </c>
      <c r="G53" s="12">
        <v>9</v>
      </c>
      <c r="H53" s="8">
        <v>0.69</v>
      </c>
      <c r="I53" s="12">
        <v>0</v>
      </c>
    </row>
    <row r="54" spans="2:9" ht="15" customHeight="1" x14ac:dyDescent="0.2">
      <c r="B54" t="s">
        <v>134</v>
      </c>
      <c r="C54" s="12">
        <v>77</v>
      </c>
      <c r="D54" s="8">
        <v>2.36</v>
      </c>
      <c r="E54" s="12">
        <v>70</v>
      </c>
      <c r="F54" s="8">
        <v>3.6</v>
      </c>
      <c r="G54" s="12">
        <v>7</v>
      </c>
      <c r="H54" s="8">
        <v>0.54</v>
      </c>
      <c r="I54" s="12">
        <v>0</v>
      </c>
    </row>
    <row r="55" spans="2:9" ht="15" customHeight="1" x14ac:dyDescent="0.2">
      <c r="B55" t="s">
        <v>118</v>
      </c>
      <c r="C55" s="12">
        <v>68</v>
      </c>
      <c r="D55" s="8">
        <v>2.09</v>
      </c>
      <c r="E55" s="12">
        <v>29</v>
      </c>
      <c r="F55" s="8">
        <v>1.49</v>
      </c>
      <c r="G55" s="12">
        <v>39</v>
      </c>
      <c r="H55" s="8">
        <v>3.01</v>
      </c>
      <c r="I55" s="12">
        <v>0</v>
      </c>
    </row>
    <row r="56" spans="2:9" ht="15" customHeight="1" x14ac:dyDescent="0.2">
      <c r="B56" t="s">
        <v>124</v>
      </c>
      <c r="C56" s="12">
        <v>60</v>
      </c>
      <c r="D56" s="8">
        <v>1.84</v>
      </c>
      <c r="E56" s="12">
        <v>40</v>
      </c>
      <c r="F56" s="8">
        <v>2.0499999999999998</v>
      </c>
      <c r="G56" s="12">
        <v>20</v>
      </c>
      <c r="H56" s="8">
        <v>1.54</v>
      </c>
      <c r="I56" s="12">
        <v>0</v>
      </c>
    </row>
    <row r="57" spans="2:9" ht="15" customHeight="1" x14ac:dyDescent="0.2">
      <c r="B57" t="s">
        <v>122</v>
      </c>
      <c r="C57" s="12">
        <v>58</v>
      </c>
      <c r="D57" s="8">
        <v>1.78</v>
      </c>
      <c r="E57" s="12">
        <v>28</v>
      </c>
      <c r="F57" s="8">
        <v>1.44</v>
      </c>
      <c r="G57" s="12">
        <v>30</v>
      </c>
      <c r="H57" s="8">
        <v>2.31</v>
      </c>
      <c r="I57" s="12">
        <v>0</v>
      </c>
    </row>
    <row r="58" spans="2:9" ht="15" customHeight="1" x14ac:dyDescent="0.2">
      <c r="B58" t="s">
        <v>125</v>
      </c>
      <c r="C58" s="12">
        <v>57</v>
      </c>
      <c r="D58" s="8">
        <v>1.75</v>
      </c>
      <c r="E58" s="12">
        <v>27</v>
      </c>
      <c r="F58" s="8">
        <v>1.39</v>
      </c>
      <c r="G58" s="12">
        <v>30</v>
      </c>
      <c r="H58" s="8">
        <v>2.31</v>
      </c>
      <c r="I58" s="12">
        <v>0</v>
      </c>
    </row>
    <row r="59" spans="2:9" ht="15" customHeight="1" x14ac:dyDescent="0.2">
      <c r="B59" t="s">
        <v>123</v>
      </c>
      <c r="C59" s="12">
        <v>53</v>
      </c>
      <c r="D59" s="8">
        <v>1.63</v>
      </c>
      <c r="E59" s="12">
        <v>24</v>
      </c>
      <c r="F59" s="8">
        <v>1.23</v>
      </c>
      <c r="G59" s="12">
        <v>29</v>
      </c>
      <c r="H59" s="8">
        <v>2.2400000000000002</v>
      </c>
      <c r="I59" s="12">
        <v>0</v>
      </c>
    </row>
    <row r="60" spans="2:9" ht="15" customHeight="1" x14ac:dyDescent="0.2">
      <c r="B60" t="s">
        <v>130</v>
      </c>
      <c r="C60" s="12">
        <v>53</v>
      </c>
      <c r="D60" s="8">
        <v>1.63</v>
      </c>
      <c r="E60" s="12">
        <v>47</v>
      </c>
      <c r="F60" s="8">
        <v>2.41</v>
      </c>
      <c r="G60" s="12">
        <v>6</v>
      </c>
      <c r="H60" s="8">
        <v>0.46</v>
      </c>
      <c r="I60" s="12">
        <v>0</v>
      </c>
    </row>
    <row r="61" spans="2:9" ht="15" customHeight="1" x14ac:dyDescent="0.2">
      <c r="B61" t="s">
        <v>121</v>
      </c>
      <c r="C61" s="12">
        <v>52</v>
      </c>
      <c r="D61" s="8">
        <v>1.6</v>
      </c>
      <c r="E61" s="12">
        <v>43</v>
      </c>
      <c r="F61" s="8">
        <v>2.21</v>
      </c>
      <c r="G61" s="12">
        <v>8</v>
      </c>
      <c r="H61" s="8">
        <v>0.62</v>
      </c>
      <c r="I61" s="12">
        <v>1</v>
      </c>
    </row>
    <row r="62" spans="2:9" ht="15" customHeight="1" x14ac:dyDescent="0.2">
      <c r="B62" t="s">
        <v>116</v>
      </c>
      <c r="C62" s="12">
        <v>51</v>
      </c>
      <c r="D62" s="8">
        <v>1.57</v>
      </c>
      <c r="E62" s="12">
        <v>19</v>
      </c>
      <c r="F62" s="8">
        <v>0.98</v>
      </c>
      <c r="G62" s="12">
        <v>32</v>
      </c>
      <c r="H62" s="8">
        <v>2.4700000000000002</v>
      </c>
      <c r="I62" s="12">
        <v>0</v>
      </c>
    </row>
    <row r="63" spans="2:9" ht="15" customHeight="1" x14ac:dyDescent="0.2">
      <c r="B63" t="s">
        <v>120</v>
      </c>
      <c r="C63" s="12">
        <v>49</v>
      </c>
      <c r="D63" s="8">
        <v>1.5</v>
      </c>
      <c r="E63" s="12">
        <v>19</v>
      </c>
      <c r="F63" s="8">
        <v>0.98</v>
      </c>
      <c r="G63" s="12">
        <v>30</v>
      </c>
      <c r="H63" s="8">
        <v>2.31</v>
      </c>
      <c r="I63" s="12">
        <v>0</v>
      </c>
    </row>
    <row r="64" spans="2:9" ht="15" customHeight="1" x14ac:dyDescent="0.2">
      <c r="B64" t="s">
        <v>119</v>
      </c>
      <c r="C64" s="12">
        <v>48</v>
      </c>
      <c r="D64" s="8">
        <v>1.47</v>
      </c>
      <c r="E64" s="12">
        <v>20</v>
      </c>
      <c r="F64" s="8">
        <v>1.03</v>
      </c>
      <c r="G64" s="12">
        <v>28</v>
      </c>
      <c r="H64" s="8">
        <v>2.16</v>
      </c>
      <c r="I64" s="12">
        <v>0</v>
      </c>
    </row>
    <row r="65" spans="2:9" ht="15" customHeight="1" x14ac:dyDescent="0.2">
      <c r="B65" t="s">
        <v>136</v>
      </c>
      <c r="C65" s="12">
        <v>47</v>
      </c>
      <c r="D65" s="8">
        <v>1.44</v>
      </c>
      <c r="E65" s="12">
        <v>43</v>
      </c>
      <c r="F65" s="8">
        <v>2.21</v>
      </c>
      <c r="G65" s="12">
        <v>4</v>
      </c>
      <c r="H65" s="8">
        <v>0.31</v>
      </c>
      <c r="I65" s="12">
        <v>0</v>
      </c>
    </row>
    <row r="66" spans="2:9" ht="15" customHeight="1" x14ac:dyDescent="0.2">
      <c r="B66" t="s">
        <v>140</v>
      </c>
      <c r="C66" s="12">
        <v>47</v>
      </c>
      <c r="D66" s="8">
        <v>1.44</v>
      </c>
      <c r="E66" s="12">
        <v>29</v>
      </c>
      <c r="F66" s="8">
        <v>1.49</v>
      </c>
      <c r="G66" s="12">
        <v>18</v>
      </c>
      <c r="H66" s="8">
        <v>1.39</v>
      </c>
      <c r="I66" s="12">
        <v>0</v>
      </c>
    </row>
    <row r="67" spans="2:9" ht="15" customHeight="1" x14ac:dyDescent="0.2">
      <c r="B67" t="s">
        <v>153</v>
      </c>
      <c r="C67" s="12">
        <v>45</v>
      </c>
      <c r="D67" s="8">
        <v>1.38</v>
      </c>
      <c r="E67" s="12">
        <v>32</v>
      </c>
      <c r="F67" s="8">
        <v>1.64</v>
      </c>
      <c r="G67" s="12">
        <v>13</v>
      </c>
      <c r="H67" s="8">
        <v>1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96BB4-62F2-4E25-9F76-66D7B183AB1B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218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267</v>
      </c>
      <c r="D6" s="8">
        <v>14.57</v>
      </c>
      <c r="E6" s="12">
        <v>92</v>
      </c>
      <c r="F6" s="8">
        <v>10.51</v>
      </c>
      <c r="G6" s="12">
        <v>175</v>
      </c>
      <c r="H6" s="8">
        <v>18.399999999999999</v>
      </c>
      <c r="I6" s="12">
        <v>0</v>
      </c>
    </row>
    <row r="7" spans="2:9" ht="15" customHeight="1" x14ac:dyDescent="0.2">
      <c r="B7" t="s">
        <v>48</v>
      </c>
      <c r="C7" s="12">
        <v>125</v>
      </c>
      <c r="D7" s="8">
        <v>6.82</v>
      </c>
      <c r="E7" s="12">
        <v>21</v>
      </c>
      <c r="F7" s="8">
        <v>2.4</v>
      </c>
      <c r="G7" s="12">
        <v>104</v>
      </c>
      <c r="H7" s="8">
        <v>10.94</v>
      </c>
      <c r="I7" s="12">
        <v>0</v>
      </c>
    </row>
    <row r="8" spans="2:9" ht="15" customHeight="1" x14ac:dyDescent="0.2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10</v>
      </c>
      <c r="D9" s="8">
        <v>0.55000000000000004</v>
      </c>
      <c r="E9" s="12">
        <v>1</v>
      </c>
      <c r="F9" s="8">
        <v>0.11</v>
      </c>
      <c r="G9" s="12">
        <v>9</v>
      </c>
      <c r="H9" s="8">
        <v>0.95</v>
      </c>
      <c r="I9" s="12">
        <v>0</v>
      </c>
    </row>
    <row r="10" spans="2:9" ht="15" customHeight="1" x14ac:dyDescent="0.2">
      <c r="B10" t="s">
        <v>51</v>
      </c>
      <c r="C10" s="12">
        <v>18</v>
      </c>
      <c r="D10" s="8">
        <v>0.98</v>
      </c>
      <c r="E10" s="12">
        <v>2</v>
      </c>
      <c r="F10" s="8">
        <v>0.23</v>
      </c>
      <c r="G10" s="12">
        <v>16</v>
      </c>
      <c r="H10" s="8">
        <v>1.68</v>
      </c>
      <c r="I10" s="12">
        <v>0</v>
      </c>
    </row>
    <row r="11" spans="2:9" ht="15" customHeight="1" x14ac:dyDescent="0.2">
      <c r="B11" t="s">
        <v>52</v>
      </c>
      <c r="C11" s="12">
        <v>408</v>
      </c>
      <c r="D11" s="8">
        <v>22.27</v>
      </c>
      <c r="E11" s="12">
        <v>152</v>
      </c>
      <c r="F11" s="8">
        <v>17.37</v>
      </c>
      <c r="G11" s="12">
        <v>256</v>
      </c>
      <c r="H11" s="8">
        <v>26.92</v>
      </c>
      <c r="I11" s="12">
        <v>0</v>
      </c>
    </row>
    <row r="12" spans="2:9" ht="15" customHeight="1" x14ac:dyDescent="0.2">
      <c r="B12" t="s">
        <v>53</v>
      </c>
      <c r="C12" s="12">
        <v>11</v>
      </c>
      <c r="D12" s="8">
        <v>0.6</v>
      </c>
      <c r="E12" s="12">
        <v>0</v>
      </c>
      <c r="F12" s="8">
        <v>0</v>
      </c>
      <c r="G12" s="12">
        <v>11</v>
      </c>
      <c r="H12" s="8">
        <v>1.1599999999999999</v>
      </c>
      <c r="I12" s="12">
        <v>0</v>
      </c>
    </row>
    <row r="13" spans="2:9" ht="15" customHeight="1" x14ac:dyDescent="0.2">
      <c r="B13" t="s">
        <v>54</v>
      </c>
      <c r="C13" s="12">
        <v>206</v>
      </c>
      <c r="D13" s="8">
        <v>11.24</v>
      </c>
      <c r="E13" s="12">
        <v>66</v>
      </c>
      <c r="F13" s="8">
        <v>7.54</v>
      </c>
      <c r="G13" s="12">
        <v>140</v>
      </c>
      <c r="H13" s="8">
        <v>14.72</v>
      </c>
      <c r="I13" s="12">
        <v>0</v>
      </c>
    </row>
    <row r="14" spans="2:9" ht="15" customHeight="1" x14ac:dyDescent="0.2">
      <c r="B14" t="s">
        <v>55</v>
      </c>
      <c r="C14" s="12">
        <v>64</v>
      </c>
      <c r="D14" s="8">
        <v>3.49</v>
      </c>
      <c r="E14" s="12">
        <v>31</v>
      </c>
      <c r="F14" s="8">
        <v>3.54</v>
      </c>
      <c r="G14" s="12">
        <v>32</v>
      </c>
      <c r="H14" s="8">
        <v>3.36</v>
      </c>
      <c r="I14" s="12">
        <v>0</v>
      </c>
    </row>
    <row r="15" spans="2:9" ht="15" customHeight="1" x14ac:dyDescent="0.2">
      <c r="B15" t="s">
        <v>56</v>
      </c>
      <c r="C15" s="12">
        <v>254</v>
      </c>
      <c r="D15" s="8">
        <v>13.86</v>
      </c>
      <c r="E15" s="12">
        <v>190</v>
      </c>
      <c r="F15" s="8">
        <v>21.71</v>
      </c>
      <c r="G15" s="12">
        <v>64</v>
      </c>
      <c r="H15" s="8">
        <v>6.73</v>
      </c>
      <c r="I15" s="12">
        <v>0</v>
      </c>
    </row>
    <row r="16" spans="2:9" ht="15" customHeight="1" x14ac:dyDescent="0.2">
      <c r="B16" t="s">
        <v>57</v>
      </c>
      <c r="C16" s="12">
        <v>244</v>
      </c>
      <c r="D16" s="8">
        <v>13.32</v>
      </c>
      <c r="E16" s="12">
        <v>193</v>
      </c>
      <c r="F16" s="8">
        <v>22.06</v>
      </c>
      <c r="G16" s="12">
        <v>50</v>
      </c>
      <c r="H16" s="8">
        <v>5.26</v>
      </c>
      <c r="I16" s="12">
        <v>1</v>
      </c>
    </row>
    <row r="17" spans="2:9" ht="15" customHeight="1" x14ac:dyDescent="0.2">
      <c r="B17" t="s">
        <v>58</v>
      </c>
      <c r="C17" s="12">
        <v>66</v>
      </c>
      <c r="D17" s="8">
        <v>3.6</v>
      </c>
      <c r="E17" s="12">
        <v>53</v>
      </c>
      <c r="F17" s="8">
        <v>6.06</v>
      </c>
      <c r="G17" s="12">
        <v>12</v>
      </c>
      <c r="H17" s="8">
        <v>1.26</v>
      </c>
      <c r="I17" s="12">
        <v>1</v>
      </c>
    </row>
    <row r="18" spans="2:9" ht="15" customHeight="1" x14ac:dyDescent="0.2">
      <c r="B18" t="s">
        <v>59</v>
      </c>
      <c r="C18" s="12">
        <v>77</v>
      </c>
      <c r="D18" s="8">
        <v>4.2</v>
      </c>
      <c r="E18" s="12">
        <v>49</v>
      </c>
      <c r="F18" s="8">
        <v>5.6</v>
      </c>
      <c r="G18" s="12">
        <v>26</v>
      </c>
      <c r="H18" s="8">
        <v>2.73</v>
      </c>
      <c r="I18" s="12">
        <v>1</v>
      </c>
    </row>
    <row r="19" spans="2:9" ht="15" customHeight="1" x14ac:dyDescent="0.2">
      <c r="B19" t="s">
        <v>60</v>
      </c>
      <c r="C19" s="12">
        <v>82</v>
      </c>
      <c r="D19" s="8">
        <v>4.4800000000000004</v>
      </c>
      <c r="E19" s="12">
        <v>25</v>
      </c>
      <c r="F19" s="8">
        <v>2.86</v>
      </c>
      <c r="G19" s="12">
        <v>56</v>
      </c>
      <c r="H19" s="8">
        <v>5.89</v>
      </c>
      <c r="I19" s="12">
        <v>0</v>
      </c>
    </row>
    <row r="20" spans="2:9" ht="15" customHeight="1" x14ac:dyDescent="0.2">
      <c r="B20" s="9" t="s">
        <v>191</v>
      </c>
      <c r="C20" s="12">
        <f>SUM(LTBL_22215[総数／事業所数])</f>
        <v>1832</v>
      </c>
      <c r="E20" s="12">
        <f>SUBTOTAL(109,LTBL_22215[個人／事業所数])</f>
        <v>875</v>
      </c>
      <c r="G20" s="12">
        <f>SUBTOTAL(109,LTBL_22215[法人／事業所数])</f>
        <v>951</v>
      </c>
      <c r="I20" s="12">
        <f>SUBTOTAL(109,LTBL_22215[法人以外の団体／事業所数])</f>
        <v>3</v>
      </c>
    </row>
    <row r="21" spans="2:9" ht="15" customHeight="1" x14ac:dyDescent="0.2">
      <c r="E21" s="11">
        <f>LTBL_22215[[#Totals],[個人／事業所数]]/LTBL_22215[[#Totals],[総数／事業所数]]</f>
        <v>0.47762008733624456</v>
      </c>
      <c r="G21" s="11">
        <f>LTBL_22215[[#Totals],[法人／事業所数]]/LTBL_22215[[#Totals],[総数／事業所数]]</f>
        <v>0.51910480349344978</v>
      </c>
      <c r="I21" s="11">
        <f>LTBL_22215[[#Totals],[法人以外の団体／事業所数]]/LTBL_22215[[#Totals],[総数／事業所数]]</f>
        <v>1.6375545851528383E-3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224</v>
      </c>
      <c r="D24" s="8">
        <v>12.23</v>
      </c>
      <c r="E24" s="12">
        <v>182</v>
      </c>
      <c r="F24" s="8">
        <v>20.8</v>
      </c>
      <c r="G24" s="12">
        <v>42</v>
      </c>
      <c r="H24" s="8">
        <v>4.42</v>
      </c>
      <c r="I24" s="12">
        <v>0</v>
      </c>
    </row>
    <row r="25" spans="2:9" ht="15" customHeight="1" x14ac:dyDescent="0.2">
      <c r="B25" t="s">
        <v>85</v>
      </c>
      <c r="C25" s="12">
        <v>204</v>
      </c>
      <c r="D25" s="8">
        <v>11.14</v>
      </c>
      <c r="E25" s="12">
        <v>177</v>
      </c>
      <c r="F25" s="8">
        <v>20.23</v>
      </c>
      <c r="G25" s="12">
        <v>27</v>
      </c>
      <c r="H25" s="8">
        <v>2.84</v>
      </c>
      <c r="I25" s="12">
        <v>0</v>
      </c>
    </row>
    <row r="26" spans="2:9" ht="15" customHeight="1" x14ac:dyDescent="0.2">
      <c r="B26" t="s">
        <v>81</v>
      </c>
      <c r="C26" s="12">
        <v>165</v>
      </c>
      <c r="D26" s="8">
        <v>9.01</v>
      </c>
      <c r="E26" s="12">
        <v>63</v>
      </c>
      <c r="F26" s="8">
        <v>7.2</v>
      </c>
      <c r="G26" s="12">
        <v>102</v>
      </c>
      <c r="H26" s="8">
        <v>10.73</v>
      </c>
      <c r="I26" s="12">
        <v>0</v>
      </c>
    </row>
    <row r="27" spans="2:9" ht="15" customHeight="1" x14ac:dyDescent="0.2">
      <c r="B27" t="s">
        <v>69</v>
      </c>
      <c r="C27" s="12">
        <v>132</v>
      </c>
      <c r="D27" s="8">
        <v>7.21</v>
      </c>
      <c r="E27" s="12">
        <v>34</v>
      </c>
      <c r="F27" s="8">
        <v>3.89</v>
      </c>
      <c r="G27" s="12">
        <v>98</v>
      </c>
      <c r="H27" s="8">
        <v>10.3</v>
      </c>
      <c r="I27" s="12">
        <v>0</v>
      </c>
    </row>
    <row r="28" spans="2:9" ht="15" customHeight="1" x14ac:dyDescent="0.2">
      <c r="B28" t="s">
        <v>79</v>
      </c>
      <c r="C28" s="12">
        <v>121</v>
      </c>
      <c r="D28" s="8">
        <v>6.6</v>
      </c>
      <c r="E28" s="12">
        <v>54</v>
      </c>
      <c r="F28" s="8">
        <v>6.17</v>
      </c>
      <c r="G28" s="12">
        <v>67</v>
      </c>
      <c r="H28" s="8">
        <v>7.05</v>
      </c>
      <c r="I28" s="12">
        <v>0</v>
      </c>
    </row>
    <row r="29" spans="2:9" ht="15" customHeight="1" x14ac:dyDescent="0.2">
      <c r="B29" t="s">
        <v>76</v>
      </c>
      <c r="C29" s="12">
        <v>79</v>
      </c>
      <c r="D29" s="8">
        <v>4.3099999999999996</v>
      </c>
      <c r="E29" s="12">
        <v>24</v>
      </c>
      <c r="F29" s="8">
        <v>2.74</v>
      </c>
      <c r="G29" s="12">
        <v>55</v>
      </c>
      <c r="H29" s="8">
        <v>5.78</v>
      </c>
      <c r="I29" s="12">
        <v>0</v>
      </c>
    </row>
    <row r="30" spans="2:9" ht="15" customHeight="1" x14ac:dyDescent="0.2">
      <c r="B30" t="s">
        <v>70</v>
      </c>
      <c r="C30" s="12">
        <v>78</v>
      </c>
      <c r="D30" s="8">
        <v>4.26</v>
      </c>
      <c r="E30" s="12">
        <v>42</v>
      </c>
      <c r="F30" s="8">
        <v>4.8</v>
      </c>
      <c r="G30" s="12">
        <v>36</v>
      </c>
      <c r="H30" s="8">
        <v>3.79</v>
      </c>
      <c r="I30" s="12">
        <v>0</v>
      </c>
    </row>
    <row r="31" spans="2:9" ht="15" customHeight="1" x14ac:dyDescent="0.2">
      <c r="B31" t="s">
        <v>86</v>
      </c>
      <c r="C31" s="12">
        <v>66</v>
      </c>
      <c r="D31" s="8">
        <v>3.6</v>
      </c>
      <c r="E31" s="12">
        <v>53</v>
      </c>
      <c r="F31" s="8">
        <v>6.06</v>
      </c>
      <c r="G31" s="12">
        <v>12</v>
      </c>
      <c r="H31" s="8">
        <v>1.26</v>
      </c>
      <c r="I31" s="12">
        <v>1</v>
      </c>
    </row>
    <row r="32" spans="2:9" ht="15" customHeight="1" x14ac:dyDescent="0.2">
      <c r="B32" t="s">
        <v>78</v>
      </c>
      <c r="C32" s="12">
        <v>65</v>
      </c>
      <c r="D32" s="8">
        <v>3.55</v>
      </c>
      <c r="E32" s="12">
        <v>28</v>
      </c>
      <c r="F32" s="8">
        <v>3.2</v>
      </c>
      <c r="G32" s="12">
        <v>37</v>
      </c>
      <c r="H32" s="8">
        <v>3.89</v>
      </c>
      <c r="I32" s="12">
        <v>0</v>
      </c>
    </row>
    <row r="33" spans="2:9" ht="15" customHeight="1" x14ac:dyDescent="0.2">
      <c r="B33" t="s">
        <v>77</v>
      </c>
      <c r="C33" s="12">
        <v>64</v>
      </c>
      <c r="D33" s="8">
        <v>3.49</v>
      </c>
      <c r="E33" s="12">
        <v>33</v>
      </c>
      <c r="F33" s="8">
        <v>3.77</v>
      </c>
      <c r="G33" s="12">
        <v>31</v>
      </c>
      <c r="H33" s="8">
        <v>3.26</v>
      </c>
      <c r="I33" s="12">
        <v>0</v>
      </c>
    </row>
    <row r="34" spans="2:9" ht="15" customHeight="1" x14ac:dyDescent="0.2">
      <c r="B34" t="s">
        <v>87</v>
      </c>
      <c r="C34" s="12">
        <v>59</v>
      </c>
      <c r="D34" s="8">
        <v>3.22</v>
      </c>
      <c r="E34" s="12">
        <v>48</v>
      </c>
      <c r="F34" s="8">
        <v>5.49</v>
      </c>
      <c r="G34" s="12">
        <v>11</v>
      </c>
      <c r="H34" s="8">
        <v>1.1599999999999999</v>
      </c>
      <c r="I34" s="12">
        <v>0</v>
      </c>
    </row>
    <row r="35" spans="2:9" ht="15" customHeight="1" x14ac:dyDescent="0.2">
      <c r="B35" t="s">
        <v>71</v>
      </c>
      <c r="C35" s="12">
        <v>57</v>
      </c>
      <c r="D35" s="8">
        <v>3.11</v>
      </c>
      <c r="E35" s="12">
        <v>16</v>
      </c>
      <c r="F35" s="8">
        <v>1.83</v>
      </c>
      <c r="G35" s="12">
        <v>41</v>
      </c>
      <c r="H35" s="8">
        <v>4.3099999999999996</v>
      </c>
      <c r="I35" s="12">
        <v>0</v>
      </c>
    </row>
    <row r="36" spans="2:9" ht="15" customHeight="1" x14ac:dyDescent="0.2">
      <c r="B36" t="s">
        <v>83</v>
      </c>
      <c r="C36" s="12">
        <v>35</v>
      </c>
      <c r="D36" s="8">
        <v>1.91</v>
      </c>
      <c r="E36" s="12">
        <v>16</v>
      </c>
      <c r="F36" s="8">
        <v>1.83</v>
      </c>
      <c r="G36" s="12">
        <v>18</v>
      </c>
      <c r="H36" s="8">
        <v>1.89</v>
      </c>
      <c r="I36" s="12">
        <v>0</v>
      </c>
    </row>
    <row r="37" spans="2:9" ht="15" customHeight="1" x14ac:dyDescent="0.2">
      <c r="B37" t="s">
        <v>88</v>
      </c>
      <c r="C37" s="12">
        <v>34</v>
      </c>
      <c r="D37" s="8">
        <v>1.86</v>
      </c>
      <c r="E37" s="12">
        <v>19</v>
      </c>
      <c r="F37" s="8">
        <v>2.17</v>
      </c>
      <c r="G37" s="12">
        <v>15</v>
      </c>
      <c r="H37" s="8">
        <v>1.58</v>
      </c>
      <c r="I37" s="12">
        <v>0</v>
      </c>
    </row>
    <row r="38" spans="2:9" ht="15" customHeight="1" x14ac:dyDescent="0.2">
      <c r="B38" t="s">
        <v>80</v>
      </c>
      <c r="C38" s="12">
        <v>31</v>
      </c>
      <c r="D38" s="8">
        <v>1.69</v>
      </c>
      <c r="E38" s="12">
        <v>2</v>
      </c>
      <c r="F38" s="8">
        <v>0.23</v>
      </c>
      <c r="G38" s="12">
        <v>29</v>
      </c>
      <c r="H38" s="8">
        <v>3.05</v>
      </c>
      <c r="I38" s="12">
        <v>0</v>
      </c>
    </row>
    <row r="39" spans="2:9" ht="15" customHeight="1" x14ac:dyDescent="0.2">
      <c r="B39" t="s">
        <v>82</v>
      </c>
      <c r="C39" s="12">
        <v>27</v>
      </c>
      <c r="D39" s="8">
        <v>1.47</v>
      </c>
      <c r="E39" s="12">
        <v>15</v>
      </c>
      <c r="F39" s="8">
        <v>1.71</v>
      </c>
      <c r="G39" s="12">
        <v>12</v>
      </c>
      <c r="H39" s="8">
        <v>1.26</v>
      </c>
      <c r="I39" s="12">
        <v>0</v>
      </c>
    </row>
    <row r="40" spans="2:9" ht="15" customHeight="1" x14ac:dyDescent="0.2">
      <c r="B40" t="s">
        <v>74</v>
      </c>
      <c r="C40" s="12">
        <v>22</v>
      </c>
      <c r="D40" s="8">
        <v>1.2</v>
      </c>
      <c r="E40" s="12">
        <v>4</v>
      </c>
      <c r="F40" s="8">
        <v>0.46</v>
      </c>
      <c r="G40" s="12">
        <v>18</v>
      </c>
      <c r="H40" s="8">
        <v>1.89</v>
      </c>
      <c r="I40" s="12">
        <v>0</v>
      </c>
    </row>
    <row r="41" spans="2:9" ht="15" customHeight="1" x14ac:dyDescent="0.2">
      <c r="B41" t="s">
        <v>101</v>
      </c>
      <c r="C41" s="12">
        <v>22</v>
      </c>
      <c r="D41" s="8">
        <v>1.2</v>
      </c>
      <c r="E41" s="12">
        <v>6</v>
      </c>
      <c r="F41" s="8">
        <v>0.69</v>
      </c>
      <c r="G41" s="12">
        <v>16</v>
      </c>
      <c r="H41" s="8">
        <v>1.68</v>
      </c>
      <c r="I41" s="12">
        <v>0</v>
      </c>
    </row>
    <row r="42" spans="2:9" ht="15" customHeight="1" x14ac:dyDescent="0.2">
      <c r="B42" t="s">
        <v>99</v>
      </c>
      <c r="C42" s="12">
        <v>18</v>
      </c>
      <c r="D42" s="8">
        <v>0.98</v>
      </c>
      <c r="E42" s="12">
        <v>5</v>
      </c>
      <c r="F42" s="8">
        <v>0.56999999999999995</v>
      </c>
      <c r="G42" s="12">
        <v>13</v>
      </c>
      <c r="H42" s="8">
        <v>1.37</v>
      </c>
      <c r="I42" s="12">
        <v>0</v>
      </c>
    </row>
    <row r="43" spans="2:9" ht="15" customHeight="1" x14ac:dyDescent="0.2">
      <c r="B43" t="s">
        <v>95</v>
      </c>
      <c r="C43" s="12">
        <v>18</v>
      </c>
      <c r="D43" s="8">
        <v>0.98</v>
      </c>
      <c r="E43" s="12">
        <v>10</v>
      </c>
      <c r="F43" s="8">
        <v>1.1399999999999999</v>
      </c>
      <c r="G43" s="12">
        <v>7</v>
      </c>
      <c r="H43" s="8">
        <v>0.74</v>
      </c>
      <c r="I43" s="12">
        <v>1</v>
      </c>
    </row>
    <row r="44" spans="2:9" ht="15" customHeight="1" x14ac:dyDescent="0.2">
      <c r="B44" t="s">
        <v>90</v>
      </c>
      <c r="C44" s="12">
        <v>18</v>
      </c>
      <c r="D44" s="8">
        <v>0.98</v>
      </c>
      <c r="E44" s="12">
        <v>1</v>
      </c>
      <c r="F44" s="8">
        <v>0.11</v>
      </c>
      <c r="G44" s="12">
        <v>15</v>
      </c>
      <c r="H44" s="8">
        <v>1.58</v>
      </c>
      <c r="I44" s="12">
        <v>1</v>
      </c>
    </row>
    <row r="45" spans="2:9" ht="15" customHeight="1" x14ac:dyDescent="0.2">
      <c r="B45" t="s">
        <v>102</v>
      </c>
      <c r="C45" s="12">
        <v>18</v>
      </c>
      <c r="D45" s="8">
        <v>0.98</v>
      </c>
      <c r="E45" s="12">
        <v>3</v>
      </c>
      <c r="F45" s="8">
        <v>0.34</v>
      </c>
      <c r="G45" s="12">
        <v>15</v>
      </c>
      <c r="H45" s="8">
        <v>1.58</v>
      </c>
      <c r="I45" s="12">
        <v>0</v>
      </c>
    </row>
    <row r="48" spans="2:9" ht="33" customHeight="1" x14ac:dyDescent="0.2">
      <c r="B48" t="s">
        <v>193</v>
      </c>
      <c r="C48" s="10" t="s">
        <v>62</v>
      </c>
      <c r="D48" s="10" t="s">
        <v>63</v>
      </c>
      <c r="E48" s="10" t="s">
        <v>64</v>
      </c>
      <c r="F48" s="10" t="s">
        <v>65</v>
      </c>
      <c r="G48" s="10" t="s">
        <v>66</v>
      </c>
      <c r="H48" s="10" t="s">
        <v>67</v>
      </c>
      <c r="I48" s="10" t="s">
        <v>68</v>
      </c>
    </row>
    <row r="49" spans="2:9" ht="15" customHeight="1" x14ac:dyDescent="0.2">
      <c r="B49" t="s">
        <v>126</v>
      </c>
      <c r="C49" s="12">
        <v>106</v>
      </c>
      <c r="D49" s="8">
        <v>5.79</v>
      </c>
      <c r="E49" s="12">
        <v>55</v>
      </c>
      <c r="F49" s="8">
        <v>6.29</v>
      </c>
      <c r="G49" s="12">
        <v>51</v>
      </c>
      <c r="H49" s="8">
        <v>5.36</v>
      </c>
      <c r="I49" s="12">
        <v>0</v>
      </c>
    </row>
    <row r="50" spans="2:9" ht="15" customHeight="1" x14ac:dyDescent="0.2">
      <c r="B50" t="s">
        <v>132</v>
      </c>
      <c r="C50" s="12">
        <v>106</v>
      </c>
      <c r="D50" s="8">
        <v>5.79</v>
      </c>
      <c r="E50" s="12">
        <v>90</v>
      </c>
      <c r="F50" s="8">
        <v>10.29</v>
      </c>
      <c r="G50" s="12">
        <v>16</v>
      </c>
      <c r="H50" s="8">
        <v>1.68</v>
      </c>
      <c r="I50" s="12">
        <v>0</v>
      </c>
    </row>
    <row r="51" spans="2:9" ht="15" customHeight="1" x14ac:dyDescent="0.2">
      <c r="B51" t="s">
        <v>128</v>
      </c>
      <c r="C51" s="12">
        <v>63</v>
      </c>
      <c r="D51" s="8">
        <v>3.44</v>
      </c>
      <c r="E51" s="12">
        <v>50</v>
      </c>
      <c r="F51" s="8">
        <v>5.71</v>
      </c>
      <c r="G51" s="12">
        <v>13</v>
      </c>
      <c r="H51" s="8">
        <v>1.37</v>
      </c>
      <c r="I51" s="12">
        <v>0</v>
      </c>
    </row>
    <row r="52" spans="2:9" ht="15" customHeight="1" x14ac:dyDescent="0.2">
      <c r="B52" t="s">
        <v>131</v>
      </c>
      <c r="C52" s="12">
        <v>54</v>
      </c>
      <c r="D52" s="8">
        <v>2.95</v>
      </c>
      <c r="E52" s="12">
        <v>51</v>
      </c>
      <c r="F52" s="8">
        <v>5.83</v>
      </c>
      <c r="G52" s="12">
        <v>3</v>
      </c>
      <c r="H52" s="8">
        <v>0.32</v>
      </c>
      <c r="I52" s="12">
        <v>0</v>
      </c>
    </row>
    <row r="53" spans="2:9" ht="15" customHeight="1" x14ac:dyDescent="0.2">
      <c r="B53" t="s">
        <v>116</v>
      </c>
      <c r="C53" s="12">
        <v>51</v>
      </c>
      <c r="D53" s="8">
        <v>2.78</v>
      </c>
      <c r="E53" s="12">
        <v>7</v>
      </c>
      <c r="F53" s="8">
        <v>0.8</v>
      </c>
      <c r="G53" s="12">
        <v>44</v>
      </c>
      <c r="H53" s="8">
        <v>4.63</v>
      </c>
      <c r="I53" s="12">
        <v>0</v>
      </c>
    </row>
    <row r="54" spans="2:9" ht="15" customHeight="1" x14ac:dyDescent="0.2">
      <c r="B54" t="s">
        <v>129</v>
      </c>
      <c r="C54" s="12">
        <v>49</v>
      </c>
      <c r="D54" s="8">
        <v>2.67</v>
      </c>
      <c r="E54" s="12">
        <v>43</v>
      </c>
      <c r="F54" s="8">
        <v>4.91</v>
      </c>
      <c r="G54" s="12">
        <v>6</v>
      </c>
      <c r="H54" s="8">
        <v>0.63</v>
      </c>
      <c r="I54" s="12">
        <v>0</v>
      </c>
    </row>
    <row r="55" spans="2:9" ht="15" customHeight="1" x14ac:dyDescent="0.2">
      <c r="B55" t="s">
        <v>130</v>
      </c>
      <c r="C55" s="12">
        <v>48</v>
      </c>
      <c r="D55" s="8">
        <v>2.62</v>
      </c>
      <c r="E55" s="12">
        <v>44</v>
      </c>
      <c r="F55" s="8">
        <v>5.03</v>
      </c>
      <c r="G55" s="12">
        <v>4</v>
      </c>
      <c r="H55" s="8">
        <v>0.42</v>
      </c>
      <c r="I55" s="12">
        <v>0</v>
      </c>
    </row>
    <row r="56" spans="2:9" ht="15" customHeight="1" x14ac:dyDescent="0.2">
      <c r="B56" t="s">
        <v>134</v>
      </c>
      <c r="C56" s="12">
        <v>48</v>
      </c>
      <c r="D56" s="8">
        <v>2.62</v>
      </c>
      <c r="E56" s="12">
        <v>40</v>
      </c>
      <c r="F56" s="8">
        <v>4.57</v>
      </c>
      <c r="G56" s="12">
        <v>8</v>
      </c>
      <c r="H56" s="8">
        <v>0.84</v>
      </c>
      <c r="I56" s="12">
        <v>0</v>
      </c>
    </row>
    <row r="57" spans="2:9" ht="15" customHeight="1" x14ac:dyDescent="0.2">
      <c r="B57" t="s">
        <v>122</v>
      </c>
      <c r="C57" s="12">
        <v>47</v>
      </c>
      <c r="D57" s="8">
        <v>2.57</v>
      </c>
      <c r="E57" s="12">
        <v>22</v>
      </c>
      <c r="F57" s="8">
        <v>2.5099999999999998</v>
      </c>
      <c r="G57" s="12">
        <v>25</v>
      </c>
      <c r="H57" s="8">
        <v>2.63</v>
      </c>
      <c r="I57" s="12">
        <v>0</v>
      </c>
    </row>
    <row r="58" spans="2:9" ht="15" customHeight="1" x14ac:dyDescent="0.2">
      <c r="B58" t="s">
        <v>133</v>
      </c>
      <c r="C58" s="12">
        <v>42</v>
      </c>
      <c r="D58" s="8">
        <v>2.29</v>
      </c>
      <c r="E58" s="12">
        <v>38</v>
      </c>
      <c r="F58" s="8">
        <v>4.34</v>
      </c>
      <c r="G58" s="12">
        <v>4</v>
      </c>
      <c r="H58" s="8">
        <v>0.42</v>
      </c>
      <c r="I58" s="12">
        <v>0</v>
      </c>
    </row>
    <row r="59" spans="2:9" ht="15" customHeight="1" x14ac:dyDescent="0.2">
      <c r="B59" t="s">
        <v>124</v>
      </c>
      <c r="C59" s="12">
        <v>41</v>
      </c>
      <c r="D59" s="8">
        <v>2.2400000000000002</v>
      </c>
      <c r="E59" s="12">
        <v>22</v>
      </c>
      <c r="F59" s="8">
        <v>2.5099999999999998</v>
      </c>
      <c r="G59" s="12">
        <v>19</v>
      </c>
      <c r="H59" s="8">
        <v>2</v>
      </c>
      <c r="I59" s="12">
        <v>0</v>
      </c>
    </row>
    <row r="60" spans="2:9" ht="15" customHeight="1" x14ac:dyDescent="0.2">
      <c r="B60" t="s">
        <v>118</v>
      </c>
      <c r="C60" s="12">
        <v>38</v>
      </c>
      <c r="D60" s="8">
        <v>2.0699999999999998</v>
      </c>
      <c r="E60" s="12">
        <v>19</v>
      </c>
      <c r="F60" s="8">
        <v>2.17</v>
      </c>
      <c r="G60" s="12">
        <v>19</v>
      </c>
      <c r="H60" s="8">
        <v>2</v>
      </c>
      <c r="I60" s="12">
        <v>0</v>
      </c>
    </row>
    <row r="61" spans="2:9" ht="15" customHeight="1" x14ac:dyDescent="0.2">
      <c r="B61" t="s">
        <v>135</v>
      </c>
      <c r="C61" s="12">
        <v>34</v>
      </c>
      <c r="D61" s="8">
        <v>1.86</v>
      </c>
      <c r="E61" s="12">
        <v>19</v>
      </c>
      <c r="F61" s="8">
        <v>2.17</v>
      </c>
      <c r="G61" s="12">
        <v>15</v>
      </c>
      <c r="H61" s="8">
        <v>1.58</v>
      </c>
      <c r="I61" s="12">
        <v>0</v>
      </c>
    </row>
    <row r="62" spans="2:9" ht="15" customHeight="1" x14ac:dyDescent="0.2">
      <c r="B62" t="s">
        <v>137</v>
      </c>
      <c r="C62" s="12">
        <v>33</v>
      </c>
      <c r="D62" s="8">
        <v>1.8</v>
      </c>
      <c r="E62" s="12">
        <v>9</v>
      </c>
      <c r="F62" s="8">
        <v>1.03</v>
      </c>
      <c r="G62" s="12">
        <v>24</v>
      </c>
      <c r="H62" s="8">
        <v>2.52</v>
      </c>
      <c r="I62" s="12">
        <v>0</v>
      </c>
    </row>
    <row r="63" spans="2:9" ht="15" customHeight="1" x14ac:dyDescent="0.2">
      <c r="B63" t="s">
        <v>125</v>
      </c>
      <c r="C63" s="12">
        <v>32</v>
      </c>
      <c r="D63" s="8">
        <v>1.75</v>
      </c>
      <c r="E63" s="12">
        <v>4</v>
      </c>
      <c r="F63" s="8">
        <v>0.46</v>
      </c>
      <c r="G63" s="12">
        <v>28</v>
      </c>
      <c r="H63" s="8">
        <v>2.94</v>
      </c>
      <c r="I63" s="12">
        <v>0</v>
      </c>
    </row>
    <row r="64" spans="2:9" ht="15" customHeight="1" x14ac:dyDescent="0.2">
      <c r="B64" t="s">
        <v>121</v>
      </c>
      <c r="C64" s="12">
        <v>29</v>
      </c>
      <c r="D64" s="8">
        <v>1.58</v>
      </c>
      <c r="E64" s="12">
        <v>16</v>
      </c>
      <c r="F64" s="8">
        <v>1.83</v>
      </c>
      <c r="G64" s="12">
        <v>13</v>
      </c>
      <c r="H64" s="8">
        <v>1.37</v>
      </c>
      <c r="I64" s="12">
        <v>0</v>
      </c>
    </row>
    <row r="65" spans="2:9" ht="15" customHeight="1" x14ac:dyDescent="0.2">
      <c r="B65" t="s">
        <v>123</v>
      </c>
      <c r="C65" s="12">
        <v>28</v>
      </c>
      <c r="D65" s="8">
        <v>1.53</v>
      </c>
      <c r="E65" s="12">
        <v>9</v>
      </c>
      <c r="F65" s="8">
        <v>1.03</v>
      </c>
      <c r="G65" s="12">
        <v>19</v>
      </c>
      <c r="H65" s="8">
        <v>2</v>
      </c>
      <c r="I65" s="12">
        <v>0</v>
      </c>
    </row>
    <row r="66" spans="2:9" ht="15" customHeight="1" x14ac:dyDescent="0.2">
      <c r="B66" t="s">
        <v>120</v>
      </c>
      <c r="C66" s="12">
        <v>27</v>
      </c>
      <c r="D66" s="8">
        <v>1.47</v>
      </c>
      <c r="E66" s="12">
        <v>11</v>
      </c>
      <c r="F66" s="8">
        <v>1.26</v>
      </c>
      <c r="G66" s="12">
        <v>16</v>
      </c>
      <c r="H66" s="8">
        <v>1.68</v>
      </c>
      <c r="I66" s="12">
        <v>0</v>
      </c>
    </row>
    <row r="67" spans="2:9" ht="15" customHeight="1" x14ac:dyDescent="0.2">
      <c r="B67" t="s">
        <v>161</v>
      </c>
      <c r="C67" s="12">
        <v>27</v>
      </c>
      <c r="D67" s="8">
        <v>1.47</v>
      </c>
      <c r="E67" s="12">
        <v>16</v>
      </c>
      <c r="F67" s="8">
        <v>1.83</v>
      </c>
      <c r="G67" s="12">
        <v>11</v>
      </c>
      <c r="H67" s="8">
        <v>1.1599999999999999</v>
      </c>
      <c r="I67" s="12">
        <v>0</v>
      </c>
    </row>
    <row r="68" spans="2:9" ht="15" customHeight="1" x14ac:dyDescent="0.2">
      <c r="B68" t="s">
        <v>140</v>
      </c>
      <c r="C68" s="12">
        <v>27</v>
      </c>
      <c r="D68" s="8">
        <v>1.47</v>
      </c>
      <c r="E68" s="12">
        <v>21</v>
      </c>
      <c r="F68" s="8">
        <v>2.4</v>
      </c>
      <c r="G68" s="12">
        <v>6</v>
      </c>
      <c r="H68" s="8">
        <v>0.63</v>
      </c>
      <c r="I68" s="12">
        <v>0</v>
      </c>
    </row>
    <row r="70" spans="2:9" ht="15" customHeight="1" x14ac:dyDescent="0.2">
      <c r="B70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9B13D-D55D-4BD9-85E8-426060C761F9}">
  <sheetPr>
    <pageSetUpPr fitToPage="1"/>
  </sheetPr>
  <dimension ref="A1:I1042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114</v>
      </c>
      <c r="B1" s="3" t="s">
        <v>115</v>
      </c>
      <c r="C1" s="7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84</v>
      </c>
      <c r="C3" s="4">
        <v>9907</v>
      </c>
      <c r="D3" s="8">
        <v>10.25</v>
      </c>
      <c r="E3" s="4">
        <v>8554</v>
      </c>
      <c r="F3" s="8">
        <v>16.77</v>
      </c>
      <c r="G3" s="4">
        <v>1351</v>
      </c>
      <c r="H3" s="8">
        <v>3.01</v>
      </c>
      <c r="I3" s="4">
        <v>2</v>
      </c>
    </row>
    <row r="4" spans="1:9" x14ac:dyDescent="0.2">
      <c r="A4" s="2">
        <v>2</v>
      </c>
      <c r="B4" s="1" t="s">
        <v>85</v>
      </c>
      <c r="C4" s="4">
        <v>9697</v>
      </c>
      <c r="D4" s="8">
        <v>10.029999999999999</v>
      </c>
      <c r="E4" s="4">
        <v>8341</v>
      </c>
      <c r="F4" s="8">
        <v>16.350000000000001</v>
      </c>
      <c r="G4" s="4">
        <v>1344</v>
      </c>
      <c r="H4" s="8">
        <v>2.99</v>
      </c>
      <c r="I4" s="4">
        <v>7</v>
      </c>
    </row>
    <row r="5" spans="1:9" x14ac:dyDescent="0.2">
      <c r="A5" s="2">
        <v>3</v>
      </c>
      <c r="B5" s="1" t="s">
        <v>81</v>
      </c>
      <c r="C5" s="4">
        <v>7328</v>
      </c>
      <c r="D5" s="8">
        <v>7.58</v>
      </c>
      <c r="E5" s="4">
        <v>3616</v>
      </c>
      <c r="F5" s="8">
        <v>7.09</v>
      </c>
      <c r="G5" s="4">
        <v>3700</v>
      </c>
      <c r="H5" s="8">
        <v>8.23</v>
      </c>
      <c r="I5" s="4">
        <v>6</v>
      </c>
    </row>
    <row r="6" spans="1:9" x14ac:dyDescent="0.2">
      <c r="A6" s="2">
        <v>4</v>
      </c>
      <c r="B6" s="1" t="s">
        <v>79</v>
      </c>
      <c r="C6" s="4">
        <v>5734</v>
      </c>
      <c r="D6" s="8">
        <v>5.93</v>
      </c>
      <c r="E6" s="4">
        <v>2941</v>
      </c>
      <c r="F6" s="8">
        <v>5.76</v>
      </c>
      <c r="G6" s="4">
        <v>2789</v>
      </c>
      <c r="H6" s="8">
        <v>6.2</v>
      </c>
      <c r="I6" s="4">
        <v>3</v>
      </c>
    </row>
    <row r="7" spans="1:9" x14ac:dyDescent="0.2">
      <c r="A7" s="2">
        <v>5</v>
      </c>
      <c r="B7" s="1" t="s">
        <v>69</v>
      </c>
      <c r="C7" s="4">
        <v>5698</v>
      </c>
      <c r="D7" s="8">
        <v>5.9</v>
      </c>
      <c r="E7" s="4">
        <v>1731</v>
      </c>
      <c r="F7" s="8">
        <v>3.39</v>
      </c>
      <c r="G7" s="4">
        <v>3967</v>
      </c>
      <c r="H7" s="8">
        <v>8.82</v>
      </c>
      <c r="I7" s="4">
        <v>0</v>
      </c>
    </row>
    <row r="8" spans="1:9" x14ac:dyDescent="0.2">
      <c r="A8" s="2">
        <v>6</v>
      </c>
      <c r="B8" s="1" t="s">
        <v>70</v>
      </c>
      <c r="C8" s="4">
        <v>4682</v>
      </c>
      <c r="D8" s="8">
        <v>4.84</v>
      </c>
      <c r="E8" s="4">
        <v>2148</v>
      </c>
      <c r="F8" s="8">
        <v>4.21</v>
      </c>
      <c r="G8" s="4">
        <v>2534</v>
      </c>
      <c r="H8" s="8">
        <v>5.64</v>
      </c>
      <c r="I8" s="4">
        <v>0</v>
      </c>
    </row>
    <row r="9" spans="1:9" x14ac:dyDescent="0.2">
      <c r="A9" s="2">
        <v>7</v>
      </c>
      <c r="B9" s="1" t="s">
        <v>77</v>
      </c>
      <c r="C9" s="4">
        <v>4529</v>
      </c>
      <c r="D9" s="8">
        <v>4.6900000000000004</v>
      </c>
      <c r="E9" s="4">
        <v>3215</v>
      </c>
      <c r="F9" s="8">
        <v>6.3</v>
      </c>
      <c r="G9" s="4">
        <v>1302</v>
      </c>
      <c r="H9" s="8">
        <v>2.9</v>
      </c>
      <c r="I9" s="4">
        <v>12</v>
      </c>
    </row>
    <row r="10" spans="1:9" x14ac:dyDescent="0.2">
      <c r="A10" s="2">
        <v>8</v>
      </c>
      <c r="B10" s="1" t="s">
        <v>86</v>
      </c>
      <c r="C10" s="4">
        <v>3559</v>
      </c>
      <c r="D10" s="8">
        <v>3.68</v>
      </c>
      <c r="E10" s="4">
        <v>2682</v>
      </c>
      <c r="F10" s="8">
        <v>5.26</v>
      </c>
      <c r="G10" s="4">
        <v>779</v>
      </c>
      <c r="H10" s="8">
        <v>1.73</v>
      </c>
      <c r="I10" s="4">
        <v>21</v>
      </c>
    </row>
    <row r="11" spans="1:9" x14ac:dyDescent="0.2">
      <c r="A11" s="2">
        <v>9</v>
      </c>
      <c r="B11" s="1" t="s">
        <v>71</v>
      </c>
      <c r="C11" s="4">
        <v>3469</v>
      </c>
      <c r="D11" s="8">
        <v>3.59</v>
      </c>
      <c r="E11" s="4">
        <v>931</v>
      </c>
      <c r="F11" s="8">
        <v>1.82</v>
      </c>
      <c r="G11" s="4">
        <v>2537</v>
      </c>
      <c r="H11" s="8">
        <v>5.64</v>
      </c>
      <c r="I11" s="4">
        <v>1</v>
      </c>
    </row>
    <row r="12" spans="1:9" x14ac:dyDescent="0.2">
      <c r="A12" s="2">
        <v>10</v>
      </c>
      <c r="B12" s="1" t="s">
        <v>78</v>
      </c>
      <c r="C12" s="4">
        <v>3091</v>
      </c>
      <c r="D12" s="8">
        <v>3.2</v>
      </c>
      <c r="E12" s="4">
        <v>1716</v>
      </c>
      <c r="F12" s="8">
        <v>3.36</v>
      </c>
      <c r="G12" s="4">
        <v>1375</v>
      </c>
      <c r="H12" s="8">
        <v>3.06</v>
      </c>
      <c r="I12" s="4">
        <v>0</v>
      </c>
    </row>
    <row r="13" spans="1:9" x14ac:dyDescent="0.2">
      <c r="A13" s="2">
        <v>11</v>
      </c>
      <c r="B13" s="1" t="s">
        <v>87</v>
      </c>
      <c r="C13" s="4">
        <v>2919</v>
      </c>
      <c r="D13" s="8">
        <v>3.02</v>
      </c>
      <c r="E13" s="4">
        <v>2561</v>
      </c>
      <c r="F13" s="8">
        <v>5.0199999999999996</v>
      </c>
      <c r="G13" s="4">
        <v>355</v>
      </c>
      <c r="H13" s="8">
        <v>0.79</v>
      </c>
      <c r="I13" s="4">
        <v>1</v>
      </c>
    </row>
    <row r="14" spans="1:9" x14ac:dyDescent="0.2">
      <c r="A14" s="2">
        <v>12</v>
      </c>
      <c r="B14" s="1" t="s">
        <v>82</v>
      </c>
      <c r="C14" s="4">
        <v>2573</v>
      </c>
      <c r="D14" s="8">
        <v>2.66</v>
      </c>
      <c r="E14" s="4">
        <v>1721</v>
      </c>
      <c r="F14" s="8">
        <v>3.37</v>
      </c>
      <c r="G14" s="4">
        <v>851</v>
      </c>
      <c r="H14" s="8">
        <v>1.89</v>
      </c>
      <c r="I14" s="4">
        <v>1</v>
      </c>
    </row>
    <row r="15" spans="1:9" x14ac:dyDescent="0.2">
      <c r="A15" s="2">
        <v>13</v>
      </c>
      <c r="B15" s="1" t="s">
        <v>76</v>
      </c>
      <c r="C15" s="4">
        <v>2434</v>
      </c>
      <c r="D15" s="8">
        <v>2.52</v>
      </c>
      <c r="E15" s="4">
        <v>1245</v>
      </c>
      <c r="F15" s="8">
        <v>2.44</v>
      </c>
      <c r="G15" s="4">
        <v>1189</v>
      </c>
      <c r="H15" s="8">
        <v>2.64</v>
      </c>
      <c r="I15" s="4">
        <v>0</v>
      </c>
    </row>
    <row r="16" spans="1:9" x14ac:dyDescent="0.2">
      <c r="A16" s="2">
        <v>14</v>
      </c>
      <c r="B16" s="1" t="s">
        <v>83</v>
      </c>
      <c r="C16" s="4">
        <v>2063</v>
      </c>
      <c r="D16" s="8">
        <v>2.13</v>
      </c>
      <c r="E16" s="4">
        <v>957</v>
      </c>
      <c r="F16" s="8">
        <v>1.88</v>
      </c>
      <c r="G16" s="4">
        <v>1082</v>
      </c>
      <c r="H16" s="8">
        <v>2.41</v>
      </c>
      <c r="I16" s="4">
        <v>0</v>
      </c>
    </row>
    <row r="17" spans="1:9" x14ac:dyDescent="0.2">
      <c r="A17" s="2">
        <v>15</v>
      </c>
      <c r="B17" s="1" t="s">
        <v>75</v>
      </c>
      <c r="C17" s="4">
        <v>1394</v>
      </c>
      <c r="D17" s="8">
        <v>1.44</v>
      </c>
      <c r="E17" s="4">
        <v>165</v>
      </c>
      <c r="F17" s="8">
        <v>0.32</v>
      </c>
      <c r="G17" s="4">
        <v>1229</v>
      </c>
      <c r="H17" s="8">
        <v>2.73</v>
      </c>
      <c r="I17" s="4">
        <v>0</v>
      </c>
    </row>
    <row r="18" spans="1:9" x14ac:dyDescent="0.2">
      <c r="A18" s="2">
        <v>16</v>
      </c>
      <c r="B18" s="1" t="s">
        <v>72</v>
      </c>
      <c r="C18" s="4">
        <v>1343</v>
      </c>
      <c r="D18" s="8">
        <v>1.39</v>
      </c>
      <c r="E18" s="4">
        <v>457</v>
      </c>
      <c r="F18" s="8">
        <v>0.9</v>
      </c>
      <c r="G18" s="4">
        <v>886</v>
      </c>
      <c r="H18" s="8">
        <v>1.97</v>
      </c>
      <c r="I18" s="4">
        <v>0</v>
      </c>
    </row>
    <row r="19" spans="1:9" x14ac:dyDescent="0.2">
      <c r="A19" s="2">
        <v>17</v>
      </c>
      <c r="B19" s="1" t="s">
        <v>74</v>
      </c>
      <c r="C19" s="4">
        <v>1341</v>
      </c>
      <c r="D19" s="8">
        <v>1.39</v>
      </c>
      <c r="E19" s="4">
        <v>238</v>
      </c>
      <c r="F19" s="8">
        <v>0.47</v>
      </c>
      <c r="G19" s="4">
        <v>1092</v>
      </c>
      <c r="H19" s="8">
        <v>2.4300000000000002</v>
      </c>
      <c r="I19" s="4">
        <v>11</v>
      </c>
    </row>
    <row r="20" spans="1:9" x14ac:dyDescent="0.2">
      <c r="A20" s="2">
        <v>18</v>
      </c>
      <c r="B20" s="1" t="s">
        <v>80</v>
      </c>
      <c r="C20" s="4">
        <v>1339</v>
      </c>
      <c r="D20" s="8">
        <v>1.39</v>
      </c>
      <c r="E20" s="4">
        <v>291</v>
      </c>
      <c r="F20" s="8">
        <v>0.56999999999999995</v>
      </c>
      <c r="G20" s="4">
        <v>1048</v>
      </c>
      <c r="H20" s="8">
        <v>2.33</v>
      </c>
      <c r="I20" s="4">
        <v>0</v>
      </c>
    </row>
    <row r="21" spans="1:9" x14ac:dyDescent="0.2">
      <c r="A21" s="2">
        <v>19</v>
      </c>
      <c r="B21" s="1" t="s">
        <v>73</v>
      </c>
      <c r="C21" s="4">
        <v>1303</v>
      </c>
      <c r="D21" s="8">
        <v>1.35</v>
      </c>
      <c r="E21" s="4">
        <v>346</v>
      </c>
      <c r="F21" s="8">
        <v>0.68</v>
      </c>
      <c r="G21" s="4">
        <v>957</v>
      </c>
      <c r="H21" s="8">
        <v>2.13</v>
      </c>
      <c r="I21" s="4">
        <v>0</v>
      </c>
    </row>
    <row r="22" spans="1:9" x14ac:dyDescent="0.2">
      <c r="A22" s="2">
        <v>20</v>
      </c>
      <c r="B22" s="1" t="s">
        <v>88</v>
      </c>
      <c r="C22" s="4">
        <v>1260</v>
      </c>
      <c r="D22" s="8">
        <v>1.3</v>
      </c>
      <c r="E22" s="4">
        <v>894</v>
      </c>
      <c r="F22" s="8">
        <v>1.75</v>
      </c>
      <c r="G22" s="4">
        <v>366</v>
      </c>
      <c r="H22" s="8">
        <v>0.81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84</v>
      </c>
      <c r="C25" s="4">
        <v>2055</v>
      </c>
      <c r="D25" s="8">
        <v>10.55</v>
      </c>
      <c r="E25" s="4">
        <v>1796</v>
      </c>
      <c r="F25" s="8">
        <v>17.91</v>
      </c>
      <c r="G25" s="4">
        <v>258</v>
      </c>
      <c r="H25" s="8">
        <v>2.75</v>
      </c>
      <c r="I25" s="4">
        <v>1</v>
      </c>
    </row>
    <row r="26" spans="1:9" x14ac:dyDescent="0.2">
      <c r="A26" s="2">
        <v>2</v>
      </c>
      <c r="B26" s="1" t="s">
        <v>85</v>
      </c>
      <c r="C26" s="4">
        <v>1970</v>
      </c>
      <c r="D26" s="8">
        <v>10.11</v>
      </c>
      <c r="E26" s="4">
        <v>1691</v>
      </c>
      <c r="F26" s="8">
        <v>16.86</v>
      </c>
      <c r="G26" s="4">
        <v>278</v>
      </c>
      <c r="H26" s="8">
        <v>2.96</v>
      </c>
      <c r="I26" s="4">
        <v>1</v>
      </c>
    </row>
    <row r="27" spans="1:9" x14ac:dyDescent="0.2">
      <c r="A27" s="2">
        <v>3</v>
      </c>
      <c r="B27" s="1" t="s">
        <v>81</v>
      </c>
      <c r="C27" s="4">
        <v>1385</v>
      </c>
      <c r="D27" s="8">
        <v>7.11</v>
      </c>
      <c r="E27" s="4">
        <v>534</v>
      </c>
      <c r="F27" s="8">
        <v>5.33</v>
      </c>
      <c r="G27" s="4">
        <v>848</v>
      </c>
      <c r="H27" s="8">
        <v>9.0399999999999991</v>
      </c>
      <c r="I27" s="4">
        <v>2</v>
      </c>
    </row>
    <row r="28" spans="1:9" x14ac:dyDescent="0.2">
      <c r="A28" s="2">
        <v>4</v>
      </c>
      <c r="B28" s="1" t="s">
        <v>79</v>
      </c>
      <c r="C28" s="4">
        <v>1135</v>
      </c>
      <c r="D28" s="8">
        <v>5.82</v>
      </c>
      <c r="E28" s="4">
        <v>623</v>
      </c>
      <c r="F28" s="8">
        <v>6.21</v>
      </c>
      <c r="G28" s="4">
        <v>511</v>
      </c>
      <c r="H28" s="8">
        <v>5.44</v>
      </c>
      <c r="I28" s="4">
        <v>1</v>
      </c>
    </row>
    <row r="29" spans="1:9" x14ac:dyDescent="0.2">
      <c r="A29" s="2">
        <v>5</v>
      </c>
      <c r="B29" s="1" t="s">
        <v>69</v>
      </c>
      <c r="C29" s="4">
        <v>930</v>
      </c>
      <c r="D29" s="8">
        <v>4.7699999999999996</v>
      </c>
      <c r="E29" s="4">
        <v>208</v>
      </c>
      <c r="F29" s="8">
        <v>2.0699999999999998</v>
      </c>
      <c r="G29" s="4">
        <v>722</v>
      </c>
      <c r="H29" s="8">
        <v>7.69</v>
      </c>
      <c r="I29" s="4">
        <v>0</v>
      </c>
    </row>
    <row r="30" spans="1:9" x14ac:dyDescent="0.2">
      <c r="A30" s="2">
        <v>6</v>
      </c>
      <c r="B30" s="1" t="s">
        <v>70</v>
      </c>
      <c r="C30" s="4">
        <v>908</v>
      </c>
      <c r="D30" s="8">
        <v>4.66</v>
      </c>
      <c r="E30" s="4">
        <v>364</v>
      </c>
      <c r="F30" s="8">
        <v>3.63</v>
      </c>
      <c r="G30" s="4">
        <v>544</v>
      </c>
      <c r="H30" s="8">
        <v>5.8</v>
      </c>
      <c r="I30" s="4">
        <v>0</v>
      </c>
    </row>
    <row r="31" spans="1:9" x14ac:dyDescent="0.2">
      <c r="A31" s="2">
        <v>7</v>
      </c>
      <c r="B31" s="1" t="s">
        <v>77</v>
      </c>
      <c r="C31" s="4">
        <v>898</v>
      </c>
      <c r="D31" s="8">
        <v>4.6100000000000003</v>
      </c>
      <c r="E31" s="4">
        <v>681</v>
      </c>
      <c r="F31" s="8">
        <v>6.79</v>
      </c>
      <c r="G31" s="4">
        <v>216</v>
      </c>
      <c r="H31" s="8">
        <v>2.2999999999999998</v>
      </c>
      <c r="I31" s="4">
        <v>1</v>
      </c>
    </row>
    <row r="32" spans="1:9" x14ac:dyDescent="0.2">
      <c r="A32" s="2">
        <v>8</v>
      </c>
      <c r="B32" s="1" t="s">
        <v>71</v>
      </c>
      <c r="C32" s="4">
        <v>679</v>
      </c>
      <c r="D32" s="8">
        <v>3.48</v>
      </c>
      <c r="E32" s="4">
        <v>174</v>
      </c>
      <c r="F32" s="8">
        <v>1.74</v>
      </c>
      <c r="G32" s="4">
        <v>505</v>
      </c>
      <c r="H32" s="8">
        <v>5.38</v>
      </c>
      <c r="I32" s="4">
        <v>0</v>
      </c>
    </row>
    <row r="33" spans="1:9" x14ac:dyDescent="0.2">
      <c r="A33" s="2">
        <v>9</v>
      </c>
      <c r="B33" s="1" t="s">
        <v>86</v>
      </c>
      <c r="C33" s="4">
        <v>662</v>
      </c>
      <c r="D33" s="8">
        <v>3.4</v>
      </c>
      <c r="E33" s="4">
        <v>495</v>
      </c>
      <c r="F33" s="8">
        <v>4.9400000000000004</v>
      </c>
      <c r="G33" s="4">
        <v>155</v>
      </c>
      <c r="H33" s="8">
        <v>1.65</v>
      </c>
      <c r="I33" s="4">
        <v>5</v>
      </c>
    </row>
    <row r="34" spans="1:9" x14ac:dyDescent="0.2">
      <c r="A34" s="2">
        <v>10</v>
      </c>
      <c r="B34" s="1" t="s">
        <v>82</v>
      </c>
      <c r="C34" s="4">
        <v>647</v>
      </c>
      <c r="D34" s="8">
        <v>3.32</v>
      </c>
      <c r="E34" s="4">
        <v>395</v>
      </c>
      <c r="F34" s="8">
        <v>3.94</v>
      </c>
      <c r="G34" s="4">
        <v>252</v>
      </c>
      <c r="H34" s="8">
        <v>2.69</v>
      </c>
      <c r="I34" s="4">
        <v>0</v>
      </c>
    </row>
    <row r="35" spans="1:9" x14ac:dyDescent="0.2">
      <c r="A35" s="2">
        <v>11</v>
      </c>
      <c r="B35" s="1" t="s">
        <v>87</v>
      </c>
      <c r="C35" s="4">
        <v>589</v>
      </c>
      <c r="D35" s="8">
        <v>3.02</v>
      </c>
      <c r="E35" s="4">
        <v>527</v>
      </c>
      <c r="F35" s="8">
        <v>5.26</v>
      </c>
      <c r="G35" s="4">
        <v>62</v>
      </c>
      <c r="H35" s="8">
        <v>0.66</v>
      </c>
      <c r="I35" s="4">
        <v>0</v>
      </c>
    </row>
    <row r="36" spans="1:9" x14ac:dyDescent="0.2">
      <c r="A36" s="2">
        <v>12</v>
      </c>
      <c r="B36" s="1" t="s">
        <v>78</v>
      </c>
      <c r="C36" s="4">
        <v>574</v>
      </c>
      <c r="D36" s="8">
        <v>2.95</v>
      </c>
      <c r="E36" s="4">
        <v>355</v>
      </c>
      <c r="F36" s="8">
        <v>3.54</v>
      </c>
      <c r="G36" s="4">
        <v>219</v>
      </c>
      <c r="H36" s="8">
        <v>2.33</v>
      </c>
      <c r="I36" s="4">
        <v>0</v>
      </c>
    </row>
    <row r="37" spans="1:9" x14ac:dyDescent="0.2">
      <c r="A37" s="2">
        <v>13</v>
      </c>
      <c r="B37" s="1" t="s">
        <v>76</v>
      </c>
      <c r="C37" s="4">
        <v>551</v>
      </c>
      <c r="D37" s="8">
        <v>2.83</v>
      </c>
      <c r="E37" s="4">
        <v>280</v>
      </c>
      <c r="F37" s="8">
        <v>2.79</v>
      </c>
      <c r="G37" s="4">
        <v>271</v>
      </c>
      <c r="H37" s="8">
        <v>2.89</v>
      </c>
      <c r="I37" s="4">
        <v>0</v>
      </c>
    </row>
    <row r="38" spans="1:9" x14ac:dyDescent="0.2">
      <c r="A38" s="2">
        <v>14</v>
      </c>
      <c r="B38" s="1" t="s">
        <v>83</v>
      </c>
      <c r="C38" s="4">
        <v>433</v>
      </c>
      <c r="D38" s="8">
        <v>2.2200000000000002</v>
      </c>
      <c r="E38" s="4">
        <v>178</v>
      </c>
      <c r="F38" s="8">
        <v>1.78</v>
      </c>
      <c r="G38" s="4">
        <v>251</v>
      </c>
      <c r="H38" s="8">
        <v>2.67</v>
      </c>
      <c r="I38" s="4">
        <v>0</v>
      </c>
    </row>
    <row r="39" spans="1:9" x14ac:dyDescent="0.2">
      <c r="A39" s="2">
        <v>15</v>
      </c>
      <c r="B39" s="1" t="s">
        <v>75</v>
      </c>
      <c r="C39" s="4">
        <v>412</v>
      </c>
      <c r="D39" s="8">
        <v>2.11</v>
      </c>
      <c r="E39" s="4">
        <v>43</v>
      </c>
      <c r="F39" s="8">
        <v>0.43</v>
      </c>
      <c r="G39" s="4">
        <v>369</v>
      </c>
      <c r="H39" s="8">
        <v>3.93</v>
      </c>
      <c r="I39" s="4">
        <v>0</v>
      </c>
    </row>
    <row r="40" spans="1:9" x14ac:dyDescent="0.2">
      <c r="A40" s="2">
        <v>16</v>
      </c>
      <c r="B40" s="1" t="s">
        <v>74</v>
      </c>
      <c r="C40" s="4">
        <v>345</v>
      </c>
      <c r="D40" s="8">
        <v>1.77</v>
      </c>
      <c r="E40" s="4">
        <v>55</v>
      </c>
      <c r="F40" s="8">
        <v>0.55000000000000004</v>
      </c>
      <c r="G40" s="4">
        <v>290</v>
      </c>
      <c r="H40" s="8">
        <v>3.09</v>
      </c>
      <c r="I40" s="4">
        <v>0</v>
      </c>
    </row>
    <row r="41" spans="1:9" x14ac:dyDescent="0.2">
      <c r="A41" s="2">
        <v>17</v>
      </c>
      <c r="B41" s="1" t="s">
        <v>89</v>
      </c>
      <c r="C41" s="4">
        <v>338</v>
      </c>
      <c r="D41" s="8">
        <v>1.73</v>
      </c>
      <c r="E41" s="4">
        <v>71</v>
      </c>
      <c r="F41" s="8">
        <v>0.71</v>
      </c>
      <c r="G41" s="4">
        <v>267</v>
      </c>
      <c r="H41" s="8">
        <v>2.84</v>
      </c>
      <c r="I41" s="4">
        <v>0</v>
      </c>
    </row>
    <row r="42" spans="1:9" x14ac:dyDescent="0.2">
      <c r="A42" s="2">
        <v>18</v>
      </c>
      <c r="B42" s="1" t="s">
        <v>80</v>
      </c>
      <c r="C42" s="4">
        <v>306</v>
      </c>
      <c r="D42" s="8">
        <v>1.57</v>
      </c>
      <c r="E42" s="4">
        <v>80</v>
      </c>
      <c r="F42" s="8">
        <v>0.8</v>
      </c>
      <c r="G42" s="4">
        <v>226</v>
      </c>
      <c r="H42" s="8">
        <v>2.41</v>
      </c>
      <c r="I42" s="4">
        <v>0</v>
      </c>
    </row>
    <row r="43" spans="1:9" x14ac:dyDescent="0.2">
      <c r="A43" s="2">
        <v>19</v>
      </c>
      <c r="B43" s="1" t="s">
        <v>72</v>
      </c>
      <c r="C43" s="4">
        <v>287</v>
      </c>
      <c r="D43" s="8">
        <v>1.47</v>
      </c>
      <c r="E43" s="4">
        <v>106</v>
      </c>
      <c r="F43" s="8">
        <v>1.06</v>
      </c>
      <c r="G43" s="4">
        <v>181</v>
      </c>
      <c r="H43" s="8">
        <v>1.93</v>
      </c>
      <c r="I43" s="4">
        <v>0</v>
      </c>
    </row>
    <row r="44" spans="1:9" x14ac:dyDescent="0.2">
      <c r="A44" s="2">
        <v>20</v>
      </c>
      <c r="B44" s="1" t="s">
        <v>90</v>
      </c>
      <c r="C44" s="4">
        <v>270</v>
      </c>
      <c r="D44" s="8">
        <v>1.39</v>
      </c>
      <c r="E44" s="4">
        <v>2</v>
      </c>
      <c r="F44" s="8">
        <v>0.02</v>
      </c>
      <c r="G44" s="4">
        <v>249</v>
      </c>
      <c r="H44" s="8">
        <v>2.65</v>
      </c>
      <c r="I44" s="4">
        <v>11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84</v>
      </c>
      <c r="C47" s="4">
        <v>980</v>
      </c>
      <c r="D47" s="8">
        <v>12.52</v>
      </c>
      <c r="E47" s="4">
        <v>829</v>
      </c>
      <c r="F47" s="8">
        <v>20.82</v>
      </c>
      <c r="G47" s="4">
        <v>150</v>
      </c>
      <c r="H47" s="8">
        <v>3.94</v>
      </c>
      <c r="I47" s="4">
        <v>1</v>
      </c>
    </row>
    <row r="48" spans="1:9" x14ac:dyDescent="0.2">
      <c r="A48" s="2">
        <v>2</v>
      </c>
      <c r="B48" s="1" t="s">
        <v>85</v>
      </c>
      <c r="C48" s="4">
        <v>790</v>
      </c>
      <c r="D48" s="8">
        <v>10.09</v>
      </c>
      <c r="E48" s="4">
        <v>653</v>
      </c>
      <c r="F48" s="8">
        <v>16.399999999999999</v>
      </c>
      <c r="G48" s="4">
        <v>136</v>
      </c>
      <c r="H48" s="8">
        <v>3.58</v>
      </c>
      <c r="I48" s="4">
        <v>1</v>
      </c>
    </row>
    <row r="49" spans="1:9" x14ac:dyDescent="0.2">
      <c r="A49" s="2">
        <v>3</v>
      </c>
      <c r="B49" s="1" t="s">
        <v>81</v>
      </c>
      <c r="C49" s="4">
        <v>526</v>
      </c>
      <c r="D49" s="8">
        <v>6.72</v>
      </c>
      <c r="E49" s="4">
        <v>159</v>
      </c>
      <c r="F49" s="8">
        <v>3.99</v>
      </c>
      <c r="G49" s="4">
        <v>365</v>
      </c>
      <c r="H49" s="8">
        <v>9.6</v>
      </c>
      <c r="I49" s="4">
        <v>1</v>
      </c>
    </row>
    <row r="50" spans="1:9" x14ac:dyDescent="0.2">
      <c r="A50" s="2">
        <v>4</v>
      </c>
      <c r="B50" s="1" t="s">
        <v>79</v>
      </c>
      <c r="C50" s="4">
        <v>517</v>
      </c>
      <c r="D50" s="8">
        <v>6.6</v>
      </c>
      <c r="E50" s="4">
        <v>266</v>
      </c>
      <c r="F50" s="8">
        <v>6.68</v>
      </c>
      <c r="G50" s="4">
        <v>251</v>
      </c>
      <c r="H50" s="8">
        <v>6.6</v>
      </c>
      <c r="I50" s="4">
        <v>0</v>
      </c>
    </row>
    <row r="51" spans="1:9" x14ac:dyDescent="0.2">
      <c r="A51" s="2">
        <v>5</v>
      </c>
      <c r="B51" s="1" t="s">
        <v>77</v>
      </c>
      <c r="C51" s="4">
        <v>391</v>
      </c>
      <c r="D51" s="8">
        <v>4.99</v>
      </c>
      <c r="E51" s="4">
        <v>279</v>
      </c>
      <c r="F51" s="8">
        <v>7.01</v>
      </c>
      <c r="G51" s="4">
        <v>112</v>
      </c>
      <c r="H51" s="8">
        <v>2.94</v>
      </c>
      <c r="I51" s="4">
        <v>0</v>
      </c>
    </row>
    <row r="52" spans="1:9" x14ac:dyDescent="0.2">
      <c r="A52" s="2">
        <v>6</v>
      </c>
      <c r="B52" s="1" t="s">
        <v>69</v>
      </c>
      <c r="C52" s="4">
        <v>340</v>
      </c>
      <c r="D52" s="8">
        <v>4.34</v>
      </c>
      <c r="E52" s="4">
        <v>67</v>
      </c>
      <c r="F52" s="8">
        <v>1.68</v>
      </c>
      <c r="G52" s="4">
        <v>273</v>
      </c>
      <c r="H52" s="8">
        <v>7.18</v>
      </c>
      <c r="I52" s="4">
        <v>0</v>
      </c>
    </row>
    <row r="53" spans="1:9" x14ac:dyDescent="0.2">
      <c r="A53" s="2">
        <v>7</v>
      </c>
      <c r="B53" s="1" t="s">
        <v>82</v>
      </c>
      <c r="C53" s="4">
        <v>329</v>
      </c>
      <c r="D53" s="8">
        <v>4.2</v>
      </c>
      <c r="E53" s="4">
        <v>205</v>
      </c>
      <c r="F53" s="8">
        <v>5.15</v>
      </c>
      <c r="G53" s="4">
        <v>124</v>
      </c>
      <c r="H53" s="8">
        <v>3.26</v>
      </c>
      <c r="I53" s="4">
        <v>0</v>
      </c>
    </row>
    <row r="54" spans="1:9" x14ac:dyDescent="0.2">
      <c r="A54" s="2">
        <v>8</v>
      </c>
      <c r="B54" s="1" t="s">
        <v>76</v>
      </c>
      <c r="C54" s="4">
        <v>320</v>
      </c>
      <c r="D54" s="8">
        <v>4.09</v>
      </c>
      <c r="E54" s="4">
        <v>148</v>
      </c>
      <c r="F54" s="8">
        <v>3.72</v>
      </c>
      <c r="G54" s="4">
        <v>172</v>
      </c>
      <c r="H54" s="8">
        <v>4.5199999999999996</v>
      </c>
      <c r="I54" s="4">
        <v>0</v>
      </c>
    </row>
    <row r="55" spans="1:9" x14ac:dyDescent="0.2">
      <c r="A55" s="2">
        <v>9</v>
      </c>
      <c r="B55" s="1" t="s">
        <v>86</v>
      </c>
      <c r="C55" s="4">
        <v>278</v>
      </c>
      <c r="D55" s="8">
        <v>3.55</v>
      </c>
      <c r="E55" s="4">
        <v>186</v>
      </c>
      <c r="F55" s="8">
        <v>4.67</v>
      </c>
      <c r="G55" s="4">
        <v>85</v>
      </c>
      <c r="H55" s="8">
        <v>2.23</v>
      </c>
      <c r="I55" s="4">
        <v>2</v>
      </c>
    </row>
    <row r="56" spans="1:9" x14ac:dyDescent="0.2">
      <c r="A56" s="2">
        <v>10</v>
      </c>
      <c r="B56" s="1" t="s">
        <v>70</v>
      </c>
      <c r="C56" s="4">
        <v>254</v>
      </c>
      <c r="D56" s="8">
        <v>3.24</v>
      </c>
      <c r="E56" s="4">
        <v>95</v>
      </c>
      <c r="F56" s="8">
        <v>2.39</v>
      </c>
      <c r="G56" s="4">
        <v>159</v>
      </c>
      <c r="H56" s="8">
        <v>4.18</v>
      </c>
      <c r="I56" s="4">
        <v>0</v>
      </c>
    </row>
    <row r="57" spans="1:9" x14ac:dyDescent="0.2">
      <c r="A57" s="2">
        <v>11</v>
      </c>
      <c r="B57" s="1" t="s">
        <v>87</v>
      </c>
      <c r="C57" s="4">
        <v>229</v>
      </c>
      <c r="D57" s="8">
        <v>2.92</v>
      </c>
      <c r="E57" s="4">
        <v>206</v>
      </c>
      <c r="F57" s="8">
        <v>5.17</v>
      </c>
      <c r="G57" s="4">
        <v>23</v>
      </c>
      <c r="H57" s="8">
        <v>0.6</v>
      </c>
      <c r="I57" s="4">
        <v>0</v>
      </c>
    </row>
    <row r="58" spans="1:9" x14ac:dyDescent="0.2">
      <c r="A58" s="2">
        <v>12</v>
      </c>
      <c r="B58" s="1" t="s">
        <v>78</v>
      </c>
      <c r="C58" s="4">
        <v>204</v>
      </c>
      <c r="D58" s="8">
        <v>2.61</v>
      </c>
      <c r="E58" s="4">
        <v>133</v>
      </c>
      <c r="F58" s="8">
        <v>3.34</v>
      </c>
      <c r="G58" s="4">
        <v>71</v>
      </c>
      <c r="H58" s="8">
        <v>1.87</v>
      </c>
      <c r="I58" s="4">
        <v>0</v>
      </c>
    </row>
    <row r="59" spans="1:9" x14ac:dyDescent="0.2">
      <c r="A59" s="2">
        <v>13</v>
      </c>
      <c r="B59" s="1" t="s">
        <v>83</v>
      </c>
      <c r="C59" s="4">
        <v>196</v>
      </c>
      <c r="D59" s="8">
        <v>2.5</v>
      </c>
      <c r="E59" s="4">
        <v>80</v>
      </c>
      <c r="F59" s="8">
        <v>2.0099999999999998</v>
      </c>
      <c r="G59" s="4">
        <v>114</v>
      </c>
      <c r="H59" s="8">
        <v>3</v>
      </c>
      <c r="I59" s="4">
        <v>0</v>
      </c>
    </row>
    <row r="60" spans="1:9" x14ac:dyDescent="0.2">
      <c r="A60" s="2">
        <v>14</v>
      </c>
      <c r="B60" s="1" t="s">
        <v>71</v>
      </c>
      <c r="C60" s="4">
        <v>163</v>
      </c>
      <c r="D60" s="8">
        <v>2.08</v>
      </c>
      <c r="E60" s="4">
        <v>48</v>
      </c>
      <c r="F60" s="8">
        <v>1.21</v>
      </c>
      <c r="G60" s="4">
        <v>115</v>
      </c>
      <c r="H60" s="8">
        <v>3.02</v>
      </c>
      <c r="I60" s="4">
        <v>0</v>
      </c>
    </row>
    <row r="61" spans="1:9" x14ac:dyDescent="0.2">
      <c r="A61" s="2">
        <v>15</v>
      </c>
      <c r="B61" s="1" t="s">
        <v>75</v>
      </c>
      <c r="C61" s="4">
        <v>143</v>
      </c>
      <c r="D61" s="8">
        <v>1.83</v>
      </c>
      <c r="E61" s="4">
        <v>18</v>
      </c>
      <c r="F61" s="8">
        <v>0.45</v>
      </c>
      <c r="G61" s="4">
        <v>125</v>
      </c>
      <c r="H61" s="8">
        <v>3.29</v>
      </c>
      <c r="I61" s="4">
        <v>0</v>
      </c>
    </row>
    <row r="62" spans="1:9" x14ac:dyDescent="0.2">
      <c r="A62" s="2">
        <v>16</v>
      </c>
      <c r="B62" s="1" t="s">
        <v>80</v>
      </c>
      <c r="C62" s="4">
        <v>133</v>
      </c>
      <c r="D62" s="8">
        <v>1.7</v>
      </c>
      <c r="E62" s="4">
        <v>32</v>
      </c>
      <c r="F62" s="8">
        <v>0.8</v>
      </c>
      <c r="G62" s="4">
        <v>101</v>
      </c>
      <c r="H62" s="8">
        <v>2.66</v>
      </c>
      <c r="I62" s="4">
        <v>0</v>
      </c>
    </row>
    <row r="63" spans="1:9" x14ac:dyDescent="0.2">
      <c r="A63" s="2">
        <v>17</v>
      </c>
      <c r="B63" s="1" t="s">
        <v>90</v>
      </c>
      <c r="C63" s="4">
        <v>132</v>
      </c>
      <c r="D63" s="8">
        <v>1.69</v>
      </c>
      <c r="E63" s="4">
        <v>1</v>
      </c>
      <c r="F63" s="8">
        <v>0.03</v>
      </c>
      <c r="G63" s="4">
        <v>116</v>
      </c>
      <c r="H63" s="8">
        <v>3.05</v>
      </c>
      <c r="I63" s="4">
        <v>11</v>
      </c>
    </row>
    <row r="64" spans="1:9" x14ac:dyDescent="0.2">
      <c r="A64" s="2">
        <v>18</v>
      </c>
      <c r="B64" s="1" t="s">
        <v>89</v>
      </c>
      <c r="C64" s="4">
        <v>126</v>
      </c>
      <c r="D64" s="8">
        <v>1.61</v>
      </c>
      <c r="E64" s="4">
        <v>24</v>
      </c>
      <c r="F64" s="8">
        <v>0.6</v>
      </c>
      <c r="G64" s="4">
        <v>102</v>
      </c>
      <c r="H64" s="8">
        <v>2.68</v>
      </c>
      <c r="I64" s="4">
        <v>0</v>
      </c>
    </row>
    <row r="65" spans="1:9" x14ac:dyDescent="0.2">
      <c r="A65" s="2">
        <v>19</v>
      </c>
      <c r="B65" s="1" t="s">
        <v>74</v>
      </c>
      <c r="C65" s="4">
        <v>114</v>
      </c>
      <c r="D65" s="8">
        <v>1.46</v>
      </c>
      <c r="E65" s="4">
        <v>14</v>
      </c>
      <c r="F65" s="8">
        <v>0.35</v>
      </c>
      <c r="G65" s="4">
        <v>100</v>
      </c>
      <c r="H65" s="8">
        <v>2.63</v>
      </c>
      <c r="I65" s="4">
        <v>0</v>
      </c>
    </row>
    <row r="66" spans="1:9" x14ac:dyDescent="0.2">
      <c r="A66" s="2">
        <v>20</v>
      </c>
      <c r="B66" s="1" t="s">
        <v>91</v>
      </c>
      <c r="C66" s="4">
        <v>113</v>
      </c>
      <c r="D66" s="8">
        <v>1.44</v>
      </c>
      <c r="E66" s="4">
        <v>65</v>
      </c>
      <c r="F66" s="8">
        <v>1.63</v>
      </c>
      <c r="G66" s="4">
        <v>48</v>
      </c>
      <c r="H66" s="8">
        <v>1.26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85</v>
      </c>
      <c r="C69" s="4">
        <v>508</v>
      </c>
      <c r="D69" s="8">
        <v>9.4499999999999993</v>
      </c>
      <c r="E69" s="4">
        <v>433</v>
      </c>
      <c r="F69" s="8">
        <v>18.350000000000001</v>
      </c>
      <c r="G69" s="4">
        <v>75</v>
      </c>
      <c r="H69" s="8">
        <v>2.5</v>
      </c>
      <c r="I69" s="4">
        <v>0</v>
      </c>
    </row>
    <row r="70" spans="1:9" x14ac:dyDescent="0.2">
      <c r="A70" s="2">
        <v>2</v>
      </c>
      <c r="B70" s="1" t="s">
        <v>81</v>
      </c>
      <c r="C70" s="4">
        <v>475</v>
      </c>
      <c r="D70" s="8">
        <v>8.84</v>
      </c>
      <c r="E70" s="4">
        <v>167</v>
      </c>
      <c r="F70" s="8">
        <v>7.08</v>
      </c>
      <c r="G70" s="4">
        <v>308</v>
      </c>
      <c r="H70" s="8">
        <v>10.25</v>
      </c>
      <c r="I70" s="4">
        <v>0</v>
      </c>
    </row>
    <row r="71" spans="1:9" x14ac:dyDescent="0.2">
      <c r="A71" s="2">
        <v>3</v>
      </c>
      <c r="B71" s="1" t="s">
        <v>84</v>
      </c>
      <c r="C71" s="4">
        <v>409</v>
      </c>
      <c r="D71" s="8">
        <v>7.61</v>
      </c>
      <c r="E71" s="4">
        <v>359</v>
      </c>
      <c r="F71" s="8">
        <v>15.21</v>
      </c>
      <c r="G71" s="4">
        <v>50</v>
      </c>
      <c r="H71" s="8">
        <v>1.66</v>
      </c>
      <c r="I71" s="4">
        <v>0</v>
      </c>
    </row>
    <row r="72" spans="1:9" x14ac:dyDescent="0.2">
      <c r="A72" s="2">
        <v>4</v>
      </c>
      <c r="B72" s="1" t="s">
        <v>69</v>
      </c>
      <c r="C72" s="4">
        <v>297</v>
      </c>
      <c r="D72" s="8">
        <v>5.52</v>
      </c>
      <c r="E72" s="4">
        <v>49</v>
      </c>
      <c r="F72" s="8">
        <v>2.08</v>
      </c>
      <c r="G72" s="4">
        <v>248</v>
      </c>
      <c r="H72" s="8">
        <v>8.26</v>
      </c>
      <c r="I72" s="4">
        <v>0</v>
      </c>
    </row>
    <row r="73" spans="1:9" x14ac:dyDescent="0.2">
      <c r="A73" s="2">
        <v>5</v>
      </c>
      <c r="B73" s="1" t="s">
        <v>70</v>
      </c>
      <c r="C73" s="4">
        <v>274</v>
      </c>
      <c r="D73" s="8">
        <v>5.0999999999999996</v>
      </c>
      <c r="E73" s="4">
        <v>66</v>
      </c>
      <c r="F73" s="8">
        <v>2.8</v>
      </c>
      <c r="G73" s="4">
        <v>208</v>
      </c>
      <c r="H73" s="8">
        <v>6.92</v>
      </c>
      <c r="I73" s="4">
        <v>0</v>
      </c>
    </row>
    <row r="74" spans="1:9" x14ac:dyDescent="0.2">
      <c r="A74" s="2">
        <v>6</v>
      </c>
      <c r="B74" s="1" t="s">
        <v>71</v>
      </c>
      <c r="C74" s="4">
        <v>252</v>
      </c>
      <c r="D74" s="8">
        <v>4.6900000000000004</v>
      </c>
      <c r="E74" s="4">
        <v>46</v>
      </c>
      <c r="F74" s="8">
        <v>1.95</v>
      </c>
      <c r="G74" s="4">
        <v>206</v>
      </c>
      <c r="H74" s="8">
        <v>6.86</v>
      </c>
      <c r="I74" s="4">
        <v>0</v>
      </c>
    </row>
    <row r="75" spans="1:9" x14ac:dyDescent="0.2">
      <c r="A75" s="2">
        <v>7</v>
      </c>
      <c r="B75" s="1" t="s">
        <v>79</v>
      </c>
      <c r="C75" s="4">
        <v>246</v>
      </c>
      <c r="D75" s="8">
        <v>4.58</v>
      </c>
      <c r="E75" s="4">
        <v>129</v>
      </c>
      <c r="F75" s="8">
        <v>5.47</v>
      </c>
      <c r="G75" s="4">
        <v>116</v>
      </c>
      <c r="H75" s="8">
        <v>3.86</v>
      </c>
      <c r="I75" s="4">
        <v>1</v>
      </c>
    </row>
    <row r="76" spans="1:9" x14ac:dyDescent="0.2">
      <c r="A76" s="2">
        <v>8</v>
      </c>
      <c r="B76" s="1" t="s">
        <v>75</v>
      </c>
      <c r="C76" s="4">
        <v>189</v>
      </c>
      <c r="D76" s="8">
        <v>3.52</v>
      </c>
      <c r="E76" s="4">
        <v>9</v>
      </c>
      <c r="F76" s="8">
        <v>0.38</v>
      </c>
      <c r="G76" s="4">
        <v>180</v>
      </c>
      <c r="H76" s="8">
        <v>5.99</v>
      </c>
      <c r="I76" s="4">
        <v>0</v>
      </c>
    </row>
    <row r="77" spans="1:9" x14ac:dyDescent="0.2">
      <c r="A77" s="2">
        <v>9</v>
      </c>
      <c r="B77" s="1" t="s">
        <v>78</v>
      </c>
      <c r="C77" s="4">
        <v>176</v>
      </c>
      <c r="D77" s="8">
        <v>3.27</v>
      </c>
      <c r="E77" s="4">
        <v>104</v>
      </c>
      <c r="F77" s="8">
        <v>4.41</v>
      </c>
      <c r="G77" s="4">
        <v>72</v>
      </c>
      <c r="H77" s="8">
        <v>2.4</v>
      </c>
      <c r="I77" s="4">
        <v>0</v>
      </c>
    </row>
    <row r="78" spans="1:9" x14ac:dyDescent="0.2">
      <c r="A78" s="2">
        <v>10</v>
      </c>
      <c r="B78" s="1" t="s">
        <v>82</v>
      </c>
      <c r="C78" s="4">
        <v>168</v>
      </c>
      <c r="D78" s="8">
        <v>3.13</v>
      </c>
      <c r="E78" s="4">
        <v>89</v>
      </c>
      <c r="F78" s="8">
        <v>3.77</v>
      </c>
      <c r="G78" s="4">
        <v>79</v>
      </c>
      <c r="H78" s="8">
        <v>2.63</v>
      </c>
      <c r="I78" s="4">
        <v>0</v>
      </c>
    </row>
    <row r="79" spans="1:9" x14ac:dyDescent="0.2">
      <c r="A79" s="2">
        <v>11</v>
      </c>
      <c r="B79" s="1" t="s">
        <v>86</v>
      </c>
      <c r="C79" s="4">
        <v>160</v>
      </c>
      <c r="D79" s="8">
        <v>2.98</v>
      </c>
      <c r="E79" s="4">
        <v>111</v>
      </c>
      <c r="F79" s="8">
        <v>4.7</v>
      </c>
      <c r="G79" s="4">
        <v>47</v>
      </c>
      <c r="H79" s="8">
        <v>1.56</v>
      </c>
      <c r="I79" s="4">
        <v>1</v>
      </c>
    </row>
    <row r="80" spans="1:9" x14ac:dyDescent="0.2">
      <c r="A80" s="2">
        <v>12</v>
      </c>
      <c r="B80" s="1" t="s">
        <v>77</v>
      </c>
      <c r="C80" s="4">
        <v>159</v>
      </c>
      <c r="D80" s="8">
        <v>2.96</v>
      </c>
      <c r="E80" s="4">
        <v>119</v>
      </c>
      <c r="F80" s="8">
        <v>5.04</v>
      </c>
      <c r="G80" s="4">
        <v>40</v>
      </c>
      <c r="H80" s="8">
        <v>1.33</v>
      </c>
      <c r="I80" s="4">
        <v>0</v>
      </c>
    </row>
    <row r="81" spans="1:9" x14ac:dyDescent="0.2">
      <c r="A81" s="2">
        <v>13</v>
      </c>
      <c r="B81" s="1" t="s">
        <v>87</v>
      </c>
      <c r="C81" s="4">
        <v>156</v>
      </c>
      <c r="D81" s="8">
        <v>2.9</v>
      </c>
      <c r="E81" s="4">
        <v>137</v>
      </c>
      <c r="F81" s="8">
        <v>5.81</v>
      </c>
      <c r="G81" s="4">
        <v>19</v>
      </c>
      <c r="H81" s="8">
        <v>0.63</v>
      </c>
      <c r="I81" s="4">
        <v>0</v>
      </c>
    </row>
    <row r="82" spans="1:9" x14ac:dyDescent="0.2">
      <c r="A82" s="2">
        <v>14</v>
      </c>
      <c r="B82" s="1" t="s">
        <v>74</v>
      </c>
      <c r="C82" s="4">
        <v>131</v>
      </c>
      <c r="D82" s="8">
        <v>2.44</v>
      </c>
      <c r="E82" s="4">
        <v>16</v>
      </c>
      <c r="F82" s="8">
        <v>0.68</v>
      </c>
      <c r="G82" s="4">
        <v>115</v>
      </c>
      <c r="H82" s="8">
        <v>3.83</v>
      </c>
      <c r="I82" s="4">
        <v>0</v>
      </c>
    </row>
    <row r="83" spans="1:9" x14ac:dyDescent="0.2">
      <c r="A83" s="2">
        <v>15</v>
      </c>
      <c r="B83" s="1" t="s">
        <v>89</v>
      </c>
      <c r="C83" s="4">
        <v>127</v>
      </c>
      <c r="D83" s="8">
        <v>2.36</v>
      </c>
      <c r="E83" s="4">
        <v>20</v>
      </c>
      <c r="F83" s="8">
        <v>0.85</v>
      </c>
      <c r="G83" s="4">
        <v>107</v>
      </c>
      <c r="H83" s="8">
        <v>3.56</v>
      </c>
      <c r="I83" s="4">
        <v>0</v>
      </c>
    </row>
    <row r="84" spans="1:9" x14ac:dyDescent="0.2">
      <c r="A84" s="2">
        <v>16</v>
      </c>
      <c r="B84" s="1" t="s">
        <v>83</v>
      </c>
      <c r="C84" s="4">
        <v>121</v>
      </c>
      <c r="D84" s="8">
        <v>2.25</v>
      </c>
      <c r="E84" s="4">
        <v>38</v>
      </c>
      <c r="F84" s="8">
        <v>1.61</v>
      </c>
      <c r="G84" s="4">
        <v>83</v>
      </c>
      <c r="H84" s="8">
        <v>2.76</v>
      </c>
      <c r="I84" s="4">
        <v>0</v>
      </c>
    </row>
    <row r="85" spans="1:9" x14ac:dyDescent="0.2">
      <c r="A85" s="2">
        <v>17</v>
      </c>
      <c r="B85" s="1" t="s">
        <v>91</v>
      </c>
      <c r="C85" s="4">
        <v>114</v>
      </c>
      <c r="D85" s="8">
        <v>2.12</v>
      </c>
      <c r="E85" s="4">
        <v>68</v>
      </c>
      <c r="F85" s="8">
        <v>2.88</v>
      </c>
      <c r="G85" s="4">
        <v>46</v>
      </c>
      <c r="H85" s="8">
        <v>1.53</v>
      </c>
      <c r="I85" s="4">
        <v>0</v>
      </c>
    </row>
    <row r="86" spans="1:9" x14ac:dyDescent="0.2">
      <c r="A86" s="2">
        <v>18</v>
      </c>
      <c r="B86" s="1" t="s">
        <v>72</v>
      </c>
      <c r="C86" s="4">
        <v>110</v>
      </c>
      <c r="D86" s="8">
        <v>2.0499999999999998</v>
      </c>
      <c r="E86" s="4">
        <v>43</v>
      </c>
      <c r="F86" s="8">
        <v>1.82</v>
      </c>
      <c r="G86" s="4">
        <v>67</v>
      </c>
      <c r="H86" s="8">
        <v>2.23</v>
      </c>
      <c r="I86" s="4">
        <v>0</v>
      </c>
    </row>
    <row r="87" spans="1:9" x14ac:dyDescent="0.2">
      <c r="A87" s="2">
        <v>19</v>
      </c>
      <c r="B87" s="1" t="s">
        <v>80</v>
      </c>
      <c r="C87" s="4">
        <v>104</v>
      </c>
      <c r="D87" s="8">
        <v>1.93</v>
      </c>
      <c r="E87" s="4">
        <v>26</v>
      </c>
      <c r="F87" s="8">
        <v>1.1000000000000001</v>
      </c>
      <c r="G87" s="4">
        <v>78</v>
      </c>
      <c r="H87" s="8">
        <v>2.6</v>
      </c>
      <c r="I87" s="4">
        <v>0</v>
      </c>
    </row>
    <row r="88" spans="1:9" x14ac:dyDescent="0.2">
      <c r="A88" s="2">
        <v>20</v>
      </c>
      <c r="B88" s="1" t="s">
        <v>92</v>
      </c>
      <c r="C88" s="4">
        <v>86</v>
      </c>
      <c r="D88" s="8">
        <v>1.6</v>
      </c>
      <c r="E88" s="4">
        <v>30</v>
      </c>
      <c r="F88" s="8">
        <v>1.27</v>
      </c>
      <c r="G88" s="4">
        <v>56</v>
      </c>
      <c r="H88" s="8">
        <v>1.86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85</v>
      </c>
      <c r="C91" s="4">
        <v>672</v>
      </c>
      <c r="D91" s="8">
        <v>10.7</v>
      </c>
      <c r="E91" s="4">
        <v>605</v>
      </c>
      <c r="F91" s="8">
        <v>16.420000000000002</v>
      </c>
      <c r="G91" s="4">
        <v>67</v>
      </c>
      <c r="H91" s="8">
        <v>2.6</v>
      </c>
      <c r="I91" s="4">
        <v>0</v>
      </c>
    </row>
    <row r="92" spans="1:9" x14ac:dyDescent="0.2">
      <c r="A92" s="2">
        <v>2</v>
      </c>
      <c r="B92" s="1" t="s">
        <v>84</v>
      </c>
      <c r="C92" s="4">
        <v>666</v>
      </c>
      <c r="D92" s="8">
        <v>10.61</v>
      </c>
      <c r="E92" s="4">
        <v>608</v>
      </c>
      <c r="F92" s="8">
        <v>16.5</v>
      </c>
      <c r="G92" s="4">
        <v>58</v>
      </c>
      <c r="H92" s="8">
        <v>2.25</v>
      </c>
      <c r="I92" s="4">
        <v>0</v>
      </c>
    </row>
    <row r="93" spans="1:9" x14ac:dyDescent="0.2">
      <c r="A93" s="2">
        <v>3</v>
      </c>
      <c r="B93" s="1" t="s">
        <v>81</v>
      </c>
      <c r="C93" s="4">
        <v>384</v>
      </c>
      <c r="D93" s="8">
        <v>6.11</v>
      </c>
      <c r="E93" s="4">
        <v>208</v>
      </c>
      <c r="F93" s="8">
        <v>5.64</v>
      </c>
      <c r="G93" s="4">
        <v>175</v>
      </c>
      <c r="H93" s="8">
        <v>6.79</v>
      </c>
      <c r="I93" s="4">
        <v>1</v>
      </c>
    </row>
    <row r="94" spans="1:9" x14ac:dyDescent="0.2">
      <c r="A94" s="2">
        <v>4</v>
      </c>
      <c r="B94" s="1" t="s">
        <v>70</v>
      </c>
      <c r="C94" s="4">
        <v>380</v>
      </c>
      <c r="D94" s="8">
        <v>6.05</v>
      </c>
      <c r="E94" s="4">
        <v>203</v>
      </c>
      <c r="F94" s="8">
        <v>5.51</v>
      </c>
      <c r="G94" s="4">
        <v>177</v>
      </c>
      <c r="H94" s="8">
        <v>6.87</v>
      </c>
      <c r="I94" s="4">
        <v>0</v>
      </c>
    </row>
    <row r="95" spans="1:9" x14ac:dyDescent="0.2">
      <c r="A95" s="2">
        <v>5</v>
      </c>
      <c r="B95" s="1" t="s">
        <v>79</v>
      </c>
      <c r="C95" s="4">
        <v>372</v>
      </c>
      <c r="D95" s="8">
        <v>5.92</v>
      </c>
      <c r="E95" s="4">
        <v>228</v>
      </c>
      <c r="F95" s="8">
        <v>6.19</v>
      </c>
      <c r="G95" s="4">
        <v>144</v>
      </c>
      <c r="H95" s="8">
        <v>5.59</v>
      </c>
      <c r="I95" s="4">
        <v>0</v>
      </c>
    </row>
    <row r="96" spans="1:9" x14ac:dyDescent="0.2">
      <c r="A96" s="2">
        <v>6</v>
      </c>
      <c r="B96" s="1" t="s">
        <v>77</v>
      </c>
      <c r="C96" s="4">
        <v>348</v>
      </c>
      <c r="D96" s="8">
        <v>5.54</v>
      </c>
      <c r="E96" s="4">
        <v>283</v>
      </c>
      <c r="F96" s="8">
        <v>7.68</v>
      </c>
      <c r="G96" s="4">
        <v>64</v>
      </c>
      <c r="H96" s="8">
        <v>2.48</v>
      </c>
      <c r="I96" s="4">
        <v>1</v>
      </c>
    </row>
    <row r="97" spans="1:9" x14ac:dyDescent="0.2">
      <c r="A97" s="2">
        <v>7</v>
      </c>
      <c r="B97" s="1" t="s">
        <v>69</v>
      </c>
      <c r="C97" s="4">
        <v>293</v>
      </c>
      <c r="D97" s="8">
        <v>4.67</v>
      </c>
      <c r="E97" s="4">
        <v>92</v>
      </c>
      <c r="F97" s="8">
        <v>2.5</v>
      </c>
      <c r="G97" s="4">
        <v>201</v>
      </c>
      <c r="H97" s="8">
        <v>7.8</v>
      </c>
      <c r="I97" s="4">
        <v>0</v>
      </c>
    </row>
    <row r="98" spans="1:9" x14ac:dyDescent="0.2">
      <c r="A98" s="2">
        <v>8</v>
      </c>
      <c r="B98" s="1" t="s">
        <v>71</v>
      </c>
      <c r="C98" s="4">
        <v>264</v>
      </c>
      <c r="D98" s="8">
        <v>4.2</v>
      </c>
      <c r="E98" s="4">
        <v>80</v>
      </c>
      <c r="F98" s="8">
        <v>2.17</v>
      </c>
      <c r="G98" s="4">
        <v>184</v>
      </c>
      <c r="H98" s="8">
        <v>7.14</v>
      </c>
      <c r="I98" s="4">
        <v>0</v>
      </c>
    </row>
    <row r="99" spans="1:9" x14ac:dyDescent="0.2">
      <c r="A99" s="2">
        <v>9</v>
      </c>
      <c r="B99" s="1" t="s">
        <v>86</v>
      </c>
      <c r="C99" s="4">
        <v>224</v>
      </c>
      <c r="D99" s="8">
        <v>3.57</v>
      </c>
      <c r="E99" s="4">
        <v>198</v>
      </c>
      <c r="F99" s="8">
        <v>5.37</v>
      </c>
      <c r="G99" s="4">
        <v>23</v>
      </c>
      <c r="H99" s="8">
        <v>0.89</v>
      </c>
      <c r="I99" s="4">
        <v>2</v>
      </c>
    </row>
    <row r="100" spans="1:9" x14ac:dyDescent="0.2">
      <c r="A100" s="2">
        <v>10</v>
      </c>
      <c r="B100" s="1" t="s">
        <v>87</v>
      </c>
      <c r="C100" s="4">
        <v>204</v>
      </c>
      <c r="D100" s="8">
        <v>3.25</v>
      </c>
      <c r="E100" s="4">
        <v>184</v>
      </c>
      <c r="F100" s="8">
        <v>4.99</v>
      </c>
      <c r="G100" s="4">
        <v>20</v>
      </c>
      <c r="H100" s="8">
        <v>0.78</v>
      </c>
      <c r="I100" s="4">
        <v>0</v>
      </c>
    </row>
    <row r="101" spans="1:9" x14ac:dyDescent="0.2">
      <c r="A101" s="2">
        <v>11</v>
      </c>
      <c r="B101" s="1" t="s">
        <v>78</v>
      </c>
      <c r="C101" s="4">
        <v>194</v>
      </c>
      <c r="D101" s="8">
        <v>3.09</v>
      </c>
      <c r="E101" s="4">
        <v>118</v>
      </c>
      <c r="F101" s="8">
        <v>3.2</v>
      </c>
      <c r="G101" s="4">
        <v>76</v>
      </c>
      <c r="H101" s="8">
        <v>2.95</v>
      </c>
      <c r="I101" s="4">
        <v>0</v>
      </c>
    </row>
    <row r="102" spans="1:9" x14ac:dyDescent="0.2">
      <c r="A102" s="2">
        <v>12</v>
      </c>
      <c r="B102" s="1" t="s">
        <v>76</v>
      </c>
      <c r="C102" s="4">
        <v>150</v>
      </c>
      <c r="D102" s="8">
        <v>2.39</v>
      </c>
      <c r="E102" s="4">
        <v>90</v>
      </c>
      <c r="F102" s="8">
        <v>2.44</v>
      </c>
      <c r="G102" s="4">
        <v>60</v>
      </c>
      <c r="H102" s="8">
        <v>2.33</v>
      </c>
      <c r="I102" s="4">
        <v>0</v>
      </c>
    </row>
    <row r="103" spans="1:9" x14ac:dyDescent="0.2">
      <c r="A103" s="2">
        <v>12</v>
      </c>
      <c r="B103" s="1" t="s">
        <v>82</v>
      </c>
      <c r="C103" s="4">
        <v>150</v>
      </c>
      <c r="D103" s="8">
        <v>2.39</v>
      </c>
      <c r="E103" s="4">
        <v>101</v>
      </c>
      <c r="F103" s="8">
        <v>2.74</v>
      </c>
      <c r="G103" s="4">
        <v>49</v>
      </c>
      <c r="H103" s="8">
        <v>1.9</v>
      </c>
      <c r="I103" s="4">
        <v>0</v>
      </c>
    </row>
    <row r="104" spans="1:9" x14ac:dyDescent="0.2">
      <c r="A104" s="2">
        <v>14</v>
      </c>
      <c r="B104" s="1" t="s">
        <v>72</v>
      </c>
      <c r="C104" s="4">
        <v>116</v>
      </c>
      <c r="D104" s="8">
        <v>1.85</v>
      </c>
      <c r="E104" s="4">
        <v>38</v>
      </c>
      <c r="F104" s="8">
        <v>1.03</v>
      </c>
      <c r="G104" s="4">
        <v>78</v>
      </c>
      <c r="H104" s="8">
        <v>3.03</v>
      </c>
      <c r="I104" s="4">
        <v>0</v>
      </c>
    </row>
    <row r="105" spans="1:9" x14ac:dyDescent="0.2">
      <c r="A105" s="2">
        <v>14</v>
      </c>
      <c r="B105" s="1" t="s">
        <v>83</v>
      </c>
      <c r="C105" s="4">
        <v>116</v>
      </c>
      <c r="D105" s="8">
        <v>1.85</v>
      </c>
      <c r="E105" s="4">
        <v>60</v>
      </c>
      <c r="F105" s="8">
        <v>1.63</v>
      </c>
      <c r="G105" s="4">
        <v>54</v>
      </c>
      <c r="H105" s="8">
        <v>2.1</v>
      </c>
      <c r="I105" s="4">
        <v>0</v>
      </c>
    </row>
    <row r="106" spans="1:9" x14ac:dyDescent="0.2">
      <c r="A106" s="2">
        <v>16</v>
      </c>
      <c r="B106" s="1" t="s">
        <v>74</v>
      </c>
      <c r="C106" s="4">
        <v>100</v>
      </c>
      <c r="D106" s="8">
        <v>1.59</v>
      </c>
      <c r="E106" s="4">
        <v>25</v>
      </c>
      <c r="F106" s="8">
        <v>0.68</v>
      </c>
      <c r="G106" s="4">
        <v>75</v>
      </c>
      <c r="H106" s="8">
        <v>2.91</v>
      </c>
      <c r="I106" s="4">
        <v>0</v>
      </c>
    </row>
    <row r="107" spans="1:9" x14ac:dyDescent="0.2">
      <c r="A107" s="2">
        <v>17</v>
      </c>
      <c r="B107" s="1" t="s">
        <v>88</v>
      </c>
      <c r="C107" s="4">
        <v>99</v>
      </c>
      <c r="D107" s="8">
        <v>1.58</v>
      </c>
      <c r="E107" s="4">
        <v>83</v>
      </c>
      <c r="F107" s="8">
        <v>2.25</v>
      </c>
      <c r="G107" s="4">
        <v>16</v>
      </c>
      <c r="H107" s="8">
        <v>0.62</v>
      </c>
      <c r="I107" s="4">
        <v>0</v>
      </c>
    </row>
    <row r="108" spans="1:9" x14ac:dyDescent="0.2">
      <c r="A108" s="2">
        <v>18</v>
      </c>
      <c r="B108" s="1" t="s">
        <v>73</v>
      </c>
      <c r="C108" s="4">
        <v>93</v>
      </c>
      <c r="D108" s="8">
        <v>1.48</v>
      </c>
      <c r="E108" s="4">
        <v>27</v>
      </c>
      <c r="F108" s="8">
        <v>0.73</v>
      </c>
      <c r="G108" s="4">
        <v>66</v>
      </c>
      <c r="H108" s="8">
        <v>2.56</v>
      </c>
      <c r="I108" s="4">
        <v>0</v>
      </c>
    </row>
    <row r="109" spans="1:9" x14ac:dyDescent="0.2">
      <c r="A109" s="2">
        <v>19</v>
      </c>
      <c r="B109" s="1" t="s">
        <v>93</v>
      </c>
      <c r="C109" s="4">
        <v>86</v>
      </c>
      <c r="D109" s="8">
        <v>1.37</v>
      </c>
      <c r="E109" s="4">
        <v>20</v>
      </c>
      <c r="F109" s="8">
        <v>0.54</v>
      </c>
      <c r="G109" s="4">
        <v>65</v>
      </c>
      <c r="H109" s="8">
        <v>2.52</v>
      </c>
      <c r="I109" s="4">
        <v>1</v>
      </c>
    </row>
    <row r="110" spans="1:9" x14ac:dyDescent="0.2">
      <c r="A110" s="2">
        <v>20</v>
      </c>
      <c r="B110" s="1" t="s">
        <v>89</v>
      </c>
      <c r="C110" s="4">
        <v>85</v>
      </c>
      <c r="D110" s="8">
        <v>1.35</v>
      </c>
      <c r="E110" s="4">
        <v>27</v>
      </c>
      <c r="F110" s="8">
        <v>0.73</v>
      </c>
      <c r="G110" s="4">
        <v>58</v>
      </c>
      <c r="H110" s="8">
        <v>2.25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85</v>
      </c>
      <c r="C113" s="4">
        <v>1970</v>
      </c>
      <c r="D113" s="8">
        <v>9.9</v>
      </c>
      <c r="E113" s="4">
        <v>1683</v>
      </c>
      <c r="F113" s="8">
        <v>18.32</v>
      </c>
      <c r="G113" s="4">
        <v>286</v>
      </c>
      <c r="H113" s="8">
        <v>2.68</v>
      </c>
      <c r="I113" s="4">
        <v>1</v>
      </c>
    </row>
    <row r="114" spans="1:9" x14ac:dyDescent="0.2">
      <c r="A114" s="2">
        <v>2</v>
      </c>
      <c r="B114" s="1" t="s">
        <v>84</v>
      </c>
      <c r="C114" s="4">
        <v>1757</v>
      </c>
      <c r="D114" s="8">
        <v>8.83</v>
      </c>
      <c r="E114" s="4">
        <v>1437</v>
      </c>
      <c r="F114" s="8">
        <v>15.64</v>
      </c>
      <c r="G114" s="4">
        <v>319</v>
      </c>
      <c r="H114" s="8">
        <v>2.99</v>
      </c>
      <c r="I114" s="4">
        <v>1</v>
      </c>
    </row>
    <row r="115" spans="1:9" x14ac:dyDescent="0.2">
      <c r="A115" s="2">
        <v>3</v>
      </c>
      <c r="B115" s="1" t="s">
        <v>81</v>
      </c>
      <c r="C115" s="4">
        <v>1590</v>
      </c>
      <c r="D115" s="8">
        <v>7.99</v>
      </c>
      <c r="E115" s="4">
        <v>558</v>
      </c>
      <c r="F115" s="8">
        <v>6.07</v>
      </c>
      <c r="G115" s="4">
        <v>1031</v>
      </c>
      <c r="H115" s="8">
        <v>9.68</v>
      </c>
      <c r="I115" s="4">
        <v>1</v>
      </c>
    </row>
    <row r="116" spans="1:9" x14ac:dyDescent="0.2">
      <c r="A116" s="2">
        <v>4</v>
      </c>
      <c r="B116" s="1" t="s">
        <v>69</v>
      </c>
      <c r="C116" s="4">
        <v>1152</v>
      </c>
      <c r="D116" s="8">
        <v>5.79</v>
      </c>
      <c r="E116" s="4">
        <v>292</v>
      </c>
      <c r="F116" s="8">
        <v>3.18</v>
      </c>
      <c r="G116" s="4">
        <v>860</v>
      </c>
      <c r="H116" s="8">
        <v>8.07</v>
      </c>
      <c r="I116" s="4">
        <v>0</v>
      </c>
    </row>
    <row r="117" spans="1:9" x14ac:dyDescent="0.2">
      <c r="A117" s="2">
        <v>5</v>
      </c>
      <c r="B117" s="1" t="s">
        <v>79</v>
      </c>
      <c r="C117" s="4">
        <v>1080</v>
      </c>
      <c r="D117" s="8">
        <v>5.42</v>
      </c>
      <c r="E117" s="4">
        <v>490</v>
      </c>
      <c r="F117" s="8">
        <v>5.33</v>
      </c>
      <c r="G117" s="4">
        <v>590</v>
      </c>
      <c r="H117" s="8">
        <v>5.54</v>
      </c>
      <c r="I117" s="4">
        <v>0</v>
      </c>
    </row>
    <row r="118" spans="1:9" x14ac:dyDescent="0.2">
      <c r="A118" s="2">
        <v>6</v>
      </c>
      <c r="B118" s="1" t="s">
        <v>70</v>
      </c>
      <c r="C118" s="4">
        <v>973</v>
      </c>
      <c r="D118" s="8">
        <v>4.8899999999999997</v>
      </c>
      <c r="E118" s="4">
        <v>341</v>
      </c>
      <c r="F118" s="8">
        <v>3.71</v>
      </c>
      <c r="G118" s="4">
        <v>632</v>
      </c>
      <c r="H118" s="8">
        <v>5.93</v>
      </c>
      <c r="I118" s="4">
        <v>0</v>
      </c>
    </row>
    <row r="119" spans="1:9" x14ac:dyDescent="0.2">
      <c r="A119" s="2">
        <v>7</v>
      </c>
      <c r="B119" s="1" t="s">
        <v>71</v>
      </c>
      <c r="C119" s="4">
        <v>735</v>
      </c>
      <c r="D119" s="8">
        <v>3.69</v>
      </c>
      <c r="E119" s="4">
        <v>135</v>
      </c>
      <c r="F119" s="8">
        <v>1.47</v>
      </c>
      <c r="G119" s="4">
        <v>599</v>
      </c>
      <c r="H119" s="8">
        <v>5.62</v>
      </c>
      <c r="I119" s="4">
        <v>1</v>
      </c>
    </row>
    <row r="120" spans="1:9" x14ac:dyDescent="0.2">
      <c r="A120" s="2">
        <v>8</v>
      </c>
      <c r="B120" s="1" t="s">
        <v>86</v>
      </c>
      <c r="C120" s="4">
        <v>734</v>
      </c>
      <c r="D120" s="8">
        <v>3.69</v>
      </c>
      <c r="E120" s="4">
        <v>545</v>
      </c>
      <c r="F120" s="8">
        <v>5.93</v>
      </c>
      <c r="G120" s="4">
        <v>173</v>
      </c>
      <c r="H120" s="8">
        <v>1.62</v>
      </c>
      <c r="I120" s="4">
        <v>3</v>
      </c>
    </row>
    <row r="121" spans="1:9" x14ac:dyDescent="0.2">
      <c r="A121" s="2">
        <v>9</v>
      </c>
      <c r="B121" s="1" t="s">
        <v>77</v>
      </c>
      <c r="C121" s="4">
        <v>716</v>
      </c>
      <c r="D121" s="8">
        <v>3.6</v>
      </c>
      <c r="E121" s="4">
        <v>476</v>
      </c>
      <c r="F121" s="8">
        <v>5.18</v>
      </c>
      <c r="G121" s="4">
        <v>237</v>
      </c>
      <c r="H121" s="8">
        <v>2.2200000000000002</v>
      </c>
      <c r="I121" s="4">
        <v>3</v>
      </c>
    </row>
    <row r="122" spans="1:9" x14ac:dyDescent="0.2">
      <c r="A122" s="2">
        <v>10</v>
      </c>
      <c r="B122" s="1" t="s">
        <v>82</v>
      </c>
      <c r="C122" s="4">
        <v>703</v>
      </c>
      <c r="D122" s="8">
        <v>3.53</v>
      </c>
      <c r="E122" s="4">
        <v>441</v>
      </c>
      <c r="F122" s="8">
        <v>4.8</v>
      </c>
      <c r="G122" s="4">
        <v>262</v>
      </c>
      <c r="H122" s="8">
        <v>2.46</v>
      </c>
      <c r="I122" s="4">
        <v>0</v>
      </c>
    </row>
    <row r="123" spans="1:9" x14ac:dyDescent="0.2">
      <c r="A123" s="2">
        <v>11</v>
      </c>
      <c r="B123" s="1" t="s">
        <v>78</v>
      </c>
      <c r="C123" s="4">
        <v>701</v>
      </c>
      <c r="D123" s="8">
        <v>3.52</v>
      </c>
      <c r="E123" s="4">
        <v>357</v>
      </c>
      <c r="F123" s="8">
        <v>3.89</v>
      </c>
      <c r="G123" s="4">
        <v>344</v>
      </c>
      <c r="H123" s="8">
        <v>3.23</v>
      </c>
      <c r="I123" s="4">
        <v>0</v>
      </c>
    </row>
    <row r="124" spans="1:9" x14ac:dyDescent="0.2">
      <c r="A124" s="2">
        <v>12</v>
      </c>
      <c r="B124" s="1" t="s">
        <v>87</v>
      </c>
      <c r="C124" s="4">
        <v>615</v>
      </c>
      <c r="D124" s="8">
        <v>3.09</v>
      </c>
      <c r="E124" s="4">
        <v>510</v>
      </c>
      <c r="F124" s="8">
        <v>5.55</v>
      </c>
      <c r="G124" s="4">
        <v>104</v>
      </c>
      <c r="H124" s="8">
        <v>0.98</v>
      </c>
      <c r="I124" s="4">
        <v>0</v>
      </c>
    </row>
    <row r="125" spans="1:9" x14ac:dyDescent="0.2">
      <c r="A125" s="2">
        <v>13</v>
      </c>
      <c r="B125" s="1" t="s">
        <v>76</v>
      </c>
      <c r="C125" s="4">
        <v>517</v>
      </c>
      <c r="D125" s="8">
        <v>2.6</v>
      </c>
      <c r="E125" s="4">
        <v>225</v>
      </c>
      <c r="F125" s="8">
        <v>2.4500000000000002</v>
      </c>
      <c r="G125" s="4">
        <v>292</v>
      </c>
      <c r="H125" s="8">
        <v>2.74</v>
      </c>
      <c r="I125" s="4">
        <v>0</v>
      </c>
    </row>
    <row r="126" spans="1:9" x14ac:dyDescent="0.2">
      <c r="A126" s="2">
        <v>14</v>
      </c>
      <c r="B126" s="1" t="s">
        <v>83</v>
      </c>
      <c r="C126" s="4">
        <v>434</v>
      </c>
      <c r="D126" s="8">
        <v>2.1800000000000002</v>
      </c>
      <c r="E126" s="4">
        <v>190</v>
      </c>
      <c r="F126" s="8">
        <v>2.0699999999999998</v>
      </c>
      <c r="G126" s="4">
        <v>240</v>
      </c>
      <c r="H126" s="8">
        <v>2.25</v>
      </c>
      <c r="I126" s="4">
        <v>0</v>
      </c>
    </row>
    <row r="127" spans="1:9" x14ac:dyDescent="0.2">
      <c r="A127" s="2">
        <v>15</v>
      </c>
      <c r="B127" s="1" t="s">
        <v>75</v>
      </c>
      <c r="C127" s="4">
        <v>378</v>
      </c>
      <c r="D127" s="8">
        <v>1.9</v>
      </c>
      <c r="E127" s="4">
        <v>25</v>
      </c>
      <c r="F127" s="8">
        <v>0.27</v>
      </c>
      <c r="G127" s="4">
        <v>353</v>
      </c>
      <c r="H127" s="8">
        <v>3.31</v>
      </c>
      <c r="I127" s="4">
        <v>0</v>
      </c>
    </row>
    <row r="128" spans="1:9" x14ac:dyDescent="0.2">
      <c r="A128" s="2">
        <v>16</v>
      </c>
      <c r="B128" s="1" t="s">
        <v>73</v>
      </c>
      <c r="C128" s="4">
        <v>359</v>
      </c>
      <c r="D128" s="8">
        <v>1.8</v>
      </c>
      <c r="E128" s="4">
        <v>95</v>
      </c>
      <c r="F128" s="8">
        <v>1.03</v>
      </c>
      <c r="G128" s="4">
        <v>264</v>
      </c>
      <c r="H128" s="8">
        <v>2.48</v>
      </c>
      <c r="I128" s="4">
        <v>0</v>
      </c>
    </row>
    <row r="129" spans="1:9" x14ac:dyDescent="0.2">
      <c r="A129" s="2">
        <v>17</v>
      </c>
      <c r="B129" s="1" t="s">
        <v>94</v>
      </c>
      <c r="C129" s="4">
        <v>303</v>
      </c>
      <c r="D129" s="8">
        <v>1.52</v>
      </c>
      <c r="E129" s="4">
        <v>77</v>
      </c>
      <c r="F129" s="8">
        <v>0.84</v>
      </c>
      <c r="G129" s="4">
        <v>226</v>
      </c>
      <c r="H129" s="8">
        <v>2.12</v>
      </c>
      <c r="I129" s="4">
        <v>0</v>
      </c>
    </row>
    <row r="130" spans="1:9" x14ac:dyDescent="0.2">
      <c r="A130" s="2">
        <v>18</v>
      </c>
      <c r="B130" s="1" t="s">
        <v>72</v>
      </c>
      <c r="C130" s="4">
        <v>295</v>
      </c>
      <c r="D130" s="8">
        <v>1.48</v>
      </c>
      <c r="E130" s="4">
        <v>96</v>
      </c>
      <c r="F130" s="8">
        <v>1.05</v>
      </c>
      <c r="G130" s="4">
        <v>199</v>
      </c>
      <c r="H130" s="8">
        <v>1.87</v>
      </c>
      <c r="I130" s="4">
        <v>0</v>
      </c>
    </row>
    <row r="131" spans="1:9" x14ac:dyDescent="0.2">
      <c r="A131" s="2">
        <v>19</v>
      </c>
      <c r="B131" s="1" t="s">
        <v>89</v>
      </c>
      <c r="C131" s="4">
        <v>294</v>
      </c>
      <c r="D131" s="8">
        <v>1.48</v>
      </c>
      <c r="E131" s="4">
        <v>54</v>
      </c>
      <c r="F131" s="8">
        <v>0.59</v>
      </c>
      <c r="G131" s="4">
        <v>239</v>
      </c>
      <c r="H131" s="8">
        <v>2.2400000000000002</v>
      </c>
      <c r="I131" s="4">
        <v>1</v>
      </c>
    </row>
    <row r="132" spans="1:9" x14ac:dyDescent="0.2">
      <c r="A132" s="2">
        <v>20</v>
      </c>
      <c r="B132" s="1" t="s">
        <v>74</v>
      </c>
      <c r="C132" s="4">
        <v>277</v>
      </c>
      <c r="D132" s="8">
        <v>1.39</v>
      </c>
      <c r="E132" s="4">
        <v>43</v>
      </c>
      <c r="F132" s="8">
        <v>0.47</v>
      </c>
      <c r="G132" s="4">
        <v>234</v>
      </c>
      <c r="H132" s="8">
        <v>2.2000000000000002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84</v>
      </c>
      <c r="C135" s="4">
        <v>979</v>
      </c>
      <c r="D135" s="8">
        <v>13.71</v>
      </c>
      <c r="E135" s="4">
        <v>775</v>
      </c>
      <c r="F135" s="8">
        <v>24.36</v>
      </c>
      <c r="G135" s="4">
        <v>204</v>
      </c>
      <c r="H135" s="8">
        <v>5.17</v>
      </c>
      <c r="I135" s="4">
        <v>0</v>
      </c>
    </row>
    <row r="136" spans="1:9" x14ac:dyDescent="0.2">
      <c r="A136" s="2">
        <v>2</v>
      </c>
      <c r="B136" s="1" t="s">
        <v>81</v>
      </c>
      <c r="C136" s="4">
        <v>735</v>
      </c>
      <c r="D136" s="8">
        <v>10.29</v>
      </c>
      <c r="E136" s="4">
        <v>212</v>
      </c>
      <c r="F136" s="8">
        <v>6.66</v>
      </c>
      <c r="G136" s="4">
        <v>523</v>
      </c>
      <c r="H136" s="8">
        <v>13.25</v>
      </c>
      <c r="I136" s="4">
        <v>0</v>
      </c>
    </row>
    <row r="137" spans="1:9" x14ac:dyDescent="0.2">
      <c r="A137" s="2">
        <v>3</v>
      </c>
      <c r="B137" s="1" t="s">
        <v>85</v>
      </c>
      <c r="C137" s="4">
        <v>720</v>
      </c>
      <c r="D137" s="8">
        <v>10.08</v>
      </c>
      <c r="E137" s="4">
        <v>581</v>
      </c>
      <c r="F137" s="8">
        <v>18.260000000000002</v>
      </c>
      <c r="G137" s="4">
        <v>138</v>
      </c>
      <c r="H137" s="8">
        <v>3.5</v>
      </c>
      <c r="I137" s="4">
        <v>1</v>
      </c>
    </row>
    <row r="138" spans="1:9" x14ac:dyDescent="0.2">
      <c r="A138" s="2">
        <v>4</v>
      </c>
      <c r="B138" s="1" t="s">
        <v>79</v>
      </c>
      <c r="C138" s="4">
        <v>400</v>
      </c>
      <c r="D138" s="8">
        <v>5.6</v>
      </c>
      <c r="E138" s="4">
        <v>185</v>
      </c>
      <c r="F138" s="8">
        <v>5.82</v>
      </c>
      <c r="G138" s="4">
        <v>215</v>
      </c>
      <c r="H138" s="8">
        <v>5.45</v>
      </c>
      <c r="I138" s="4">
        <v>0</v>
      </c>
    </row>
    <row r="139" spans="1:9" x14ac:dyDescent="0.2">
      <c r="A139" s="2">
        <v>5</v>
      </c>
      <c r="B139" s="1" t="s">
        <v>82</v>
      </c>
      <c r="C139" s="4">
        <v>365</v>
      </c>
      <c r="D139" s="8">
        <v>5.1100000000000003</v>
      </c>
      <c r="E139" s="4">
        <v>223</v>
      </c>
      <c r="F139" s="8">
        <v>7.01</v>
      </c>
      <c r="G139" s="4">
        <v>142</v>
      </c>
      <c r="H139" s="8">
        <v>3.6</v>
      </c>
      <c r="I139" s="4">
        <v>0</v>
      </c>
    </row>
    <row r="140" spans="1:9" x14ac:dyDescent="0.2">
      <c r="A140" s="2">
        <v>6</v>
      </c>
      <c r="B140" s="1" t="s">
        <v>69</v>
      </c>
      <c r="C140" s="4">
        <v>276</v>
      </c>
      <c r="D140" s="8">
        <v>3.87</v>
      </c>
      <c r="E140" s="4">
        <v>48</v>
      </c>
      <c r="F140" s="8">
        <v>1.51</v>
      </c>
      <c r="G140" s="4">
        <v>228</v>
      </c>
      <c r="H140" s="8">
        <v>5.78</v>
      </c>
      <c r="I140" s="4">
        <v>0</v>
      </c>
    </row>
    <row r="141" spans="1:9" x14ac:dyDescent="0.2">
      <c r="A141" s="2">
        <v>7</v>
      </c>
      <c r="B141" s="1" t="s">
        <v>86</v>
      </c>
      <c r="C141" s="4">
        <v>257</v>
      </c>
      <c r="D141" s="8">
        <v>3.6</v>
      </c>
      <c r="E141" s="4">
        <v>167</v>
      </c>
      <c r="F141" s="8">
        <v>5.25</v>
      </c>
      <c r="G141" s="4">
        <v>89</v>
      </c>
      <c r="H141" s="8">
        <v>2.25</v>
      </c>
      <c r="I141" s="4">
        <v>0</v>
      </c>
    </row>
    <row r="142" spans="1:9" x14ac:dyDescent="0.2">
      <c r="A142" s="2">
        <v>8</v>
      </c>
      <c r="B142" s="1" t="s">
        <v>77</v>
      </c>
      <c r="C142" s="4">
        <v>246</v>
      </c>
      <c r="D142" s="8">
        <v>3.45</v>
      </c>
      <c r="E142" s="4">
        <v>155</v>
      </c>
      <c r="F142" s="8">
        <v>4.87</v>
      </c>
      <c r="G142" s="4">
        <v>90</v>
      </c>
      <c r="H142" s="8">
        <v>2.2799999999999998</v>
      </c>
      <c r="I142" s="4">
        <v>1</v>
      </c>
    </row>
    <row r="143" spans="1:9" x14ac:dyDescent="0.2">
      <c r="A143" s="2">
        <v>9</v>
      </c>
      <c r="B143" s="1" t="s">
        <v>76</v>
      </c>
      <c r="C143" s="4">
        <v>233</v>
      </c>
      <c r="D143" s="8">
        <v>3.26</v>
      </c>
      <c r="E143" s="4">
        <v>94</v>
      </c>
      <c r="F143" s="8">
        <v>2.96</v>
      </c>
      <c r="G143" s="4">
        <v>139</v>
      </c>
      <c r="H143" s="8">
        <v>3.52</v>
      </c>
      <c r="I143" s="4">
        <v>0</v>
      </c>
    </row>
    <row r="144" spans="1:9" x14ac:dyDescent="0.2">
      <c r="A144" s="2">
        <v>10</v>
      </c>
      <c r="B144" s="1" t="s">
        <v>87</v>
      </c>
      <c r="C144" s="4">
        <v>224</v>
      </c>
      <c r="D144" s="8">
        <v>3.14</v>
      </c>
      <c r="E144" s="4">
        <v>182</v>
      </c>
      <c r="F144" s="8">
        <v>5.72</v>
      </c>
      <c r="G144" s="4">
        <v>42</v>
      </c>
      <c r="H144" s="8">
        <v>1.06</v>
      </c>
      <c r="I144" s="4">
        <v>0</v>
      </c>
    </row>
    <row r="145" spans="1:9" x14ac:dyDescent="0.2">
      <c r="A145" s="2">
        <v>11</v>
      </c>
      <c r="B145" s="1" t="s">
        <v>70</v>
      </c>
      <c r="C145" s="4">
        <v>209</v>
      </c>
      <c r="D145" s="8">
        <v>2.93</v>
      </c>
      <c r="E145" s="4">
        <v>57</v>
      </c>
      <c r="F145" s="8">
        <v>1.79</v>
      </c>
      <c r="G145" s="4">
        <v>152</v>
      </c>
      <c r="H145" s="8">
        <v>3.85</v>
      </c>
      <c r="I145" s="4">
        <v>0</v>
      </c>
    </row>
    <row r="146" spans="1:9" x14ac:dyDescent="0.2">
      <c r="A146" s="2">
        <v>12</v>
      </c>
      <c r="B146" s="1" t="s">
        <v>71</v>
      </c>
      <c r="C146" s="4">
        <v>192</v>
      </c>
      <c r="D146" s="8">
        <v>2.69</v>
      </c>
      <c r="E146" s="4">
        <v>16</v>
      </c>
      <c r="F146" s="8">
        <v>0.5</v>
      </c>
      <c r="G146" s="4">
        <v>176</v>
      </c>
      <c r="H146" s="8">
        <v>4.46</v>
      </c>
      <c r="I146" s="4">
        <v>0</v>
      </c>
    </row>
    <row r="147" spans="1:9" x14ac:dyDescent="0.2">
      <c r="A147" s="2">
        <v>13</v>
      </c>
      <c r="B147" s="1" t="s">
        <v>83</v>
      </c>
      <c r="C147" s="4">
        <v>173</v>
      </c>
      <c r="D147" s="8">
        <v>2.42</v>
      </c>
      <c r="E147" s="4">
        <v>71</v>
      </c>
      <c r="F147" s="8">
        <v>2.23</v>
      </c>
      <c r="G147" s="4">
        <v>100</v>
      </c>
      <c r="H147" s="8">
        <v>2.5299999999999998</v>
      </c>
      <c r="I147" s="4">
        <v>0</v>
      </c>
    </row>
    <row r="148" spans="1:9" x14ac:dyDescent="0.2">
      <c r="A148" s="2">
        <v>14</v>
      </c>
      <c r="B148" s="1" t="s">
        <v>75</v>
      </c>
      <c r="C148" s="4">
        <v>164</v>
      </c>
      <c r="D148" s="8">
        <v>2.2999999999999998</v>
      </c>
      <c r="E148" s="4">
        <v>6</v>
      </c>
      <c r="F148" s="8">
        <v>0.19</v>
      </c>
      <c r="G148" s="4">
        <v>158</v>
      </c>
      <c r="H148" s="8">
        <v>4</v>
      </c>
      <c r="I148" s="4">
        <v>0</v>
      </c>
    </row>
    <row r="149" spans="1:9" x14ac:dyDescent="0.2">
      <c r="A149" s="2">
        <v>14</v>
      </c>
      <c r="B149" s="1" t="s">
        <v>78</v>
      </c>
      <c r="C149" s="4">
        <v>164</v>
      </c>
      <c r="D149" s="8">
        <v>2.2999999999999998</v>
      </c>
      <c r="E149" s="4">
        <v>67</v>
      </c>
      <c r="F149" s="8">
        <v>2.11</v>
      </c>
      <c r="G149" s="4">
        <v>97</v>
      </c>
      <c r="H149" s="8">
        <v>2.46</v>
      </c>
      <c r="I149" s="4">
        <v>0</v>
      </c>
    </row>
    <row r="150" spans="1:9" x14ac:dyDescent="0.2">
      <c r="A150" s="2">
        <v>16</v>
      </c>
      <c r="B150" s="1" t="s">
        <v>80</v>
      </c>
      <c r="C150" s="4">
        <v>140</v>
      </c>
      <c r="D150" s="8">
        <v>1.96</v>
      </c>
      <c r="E150" s="4">
        <v>20</v>
      </c>
      <c r="F150" s="8">
        <v>0.63</v>
      </c>
      <c r="G150" s="4">
        <v>120</v>
      </c>
      <c r="H150" s="8">
        <v>3.04</v>
      </c>
      <c r="I150" s="4">
        <v>0</v>
      </c>
    </row>
    <row r="151" spans="1:9" x14ac:dyDescent="0.2">
      <c r="A151" s="2">
        <v>17</v>
      </c>
      <c r="B151" s="1" t="s">
        <v>89</v>
      </c>
      <c r="C151" s="4">
        <v>126</v>
      </c>
      <c r="D151" s="8">
        <v>1.76</v>
      </c>
      <c r="E151" s="4">
        <v>20</v>
      </c>
      <c r="F151" s="8">
        <v>0.63</v>
      </c>
      <c r="G151" s="4">
        <v>106</v>
      </c>
      <c r="H151" s="8">
        <v>2.69</v>
      </c>
      <c r="I151" s="4">
        <v>0</v>
      </c>
    </row>
    <row r="152" spans="1:9" x14ac:dyDescent="0.2">
      <c r="A152" s="2">
        <v>18</v>
      </c>
      <c r="B152" s="1" t="s">
        <v>95</v>
      </c>
      <c r="C152" s="4">
        <v>102</v>
      </c>
      <c r="D152" s="8">
        <v>1.43</v>
      </c>
      <c r="E152" s="4">
        <v>39</v>
      </c>
      <c r="F152" s="8">
        <v>1.23</v>
      </c>
      <c r="G152" s="4">
        <v>63</v>
      </c>
      <c r="H152" s="8">
        <v>1.6</v>
      </c>
      <c r="I152" s="4">
        <v>0</v>
      </c>
    </row>
    <row r="153" spans="1:9" x14ac:dyDescent="0.2">
      <c r="A153" s="2">
        <v>19</v>
      </c>
      <c r="B153" s="1" t="s">
        <v>74</v>
      </c>
      <c r="C153" s="4">
        <v>87</v>
      </c>
      <c r="D153" s="8">
        <v>1.22</v>
      </c>
      <c r="E153" s="4">
        <v>11</v>
      </c>
      <c r="F153" s="8">
        <v>0.35</v>
      </c>
      <c r="G153" s="4">
        <v>76</v>
      </c>
      <c r="H153" s="8">
        <v>1.93</v>
      </c>
      <c r="I153" s="4">
        <v>0</v>
      </c>
    </row>
    <row r="154" spans="1:9" x14ac:dyDescent="0.2">
      <c r="A154" s="2">
        <v>20</v>
      </c>
      <c r="B154" s="1" t="s">
        <v>73</v>
      </c>
      <c r="C154" s="4">
        <v>86</v>
      </c>
      <c r="D154" s="8">
        <v>1.2</v>
      </c>
      <c r="E154" s="4">
        <v>26</v>
      </c>
      <c r="F154" s="8">
        <v>0.82</v>
      </c>
      <c r="G154" s="4">
        <v>60</v>
      </c>
      <c r="H154" s="8">
        <v>1.52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85</v>
      </c>
      <c r="C157" s="4">
        <v>312</v>
      </c>
      <c r="D157" s="8">
        <v>9.32</v>
      </c>
      <c r="E157" s="4">
        <v>269</v>
      </c>
      <c r="F157" s="8">
        <v>19.45</v>
      </c>
      <c r="G157" s="4">
        <v>43</v>
      </c>
      <c r="H157" s="8">
        <v>2.19</v>
      </c>
      <c r="I157" s="4">
        <v>0</v>
      </c>
    </row>
    <row r="158" spans="1:9" x14ac:dyDescent="0.2">
      <c r="A158" s="2">
        <v>2</v>
      </c>
      <c r="B158" s="1" t="s">
        <v>81</v>
      </c>
      <c r="C158" s="4">
        <v>234</v>
      </c>
      <c r="D158" s="8">
        <v>6.99</v>
      </c>
      <c r="E158" s="4">
        <v>72</v>
      </c>
      <c r="F158" s="8">
        <v>5.21</v>
      </c>
      <c r="G158" s="4">
        <v>162</v>
      </c>
      <c r="H158" s="8">
        <v>8.26</v>
      </c>
      <c r="I158" s="4">
        <v>0</v>
      </c>
    </row>
    <row r="159" spans="1:9" x14ac:dyDescent="0.2">
      <c r="A159" s="2">
        <v>3</v>
      </c>
      <c r="B159" s="1" t="s">
        <v>84</v>
      </c>
      <c r="C159" s="4">
        <v>208</v>
      </c>
      <c r="D159" s="8">
        <v>6.22</v>
      </c>
      <c r="E159" s="4">
        <v>177</v>
      </c>
      <c r="F159" s="8">
        <v>12.8</v>
      </c>
      <c r="G159" s="4">
        <v>31</v>
      </c>
      <c r="H159" s="8">
        <v>1.58</v>
      </c>
      <c r="I159" s="4">
        <v>0</v>
      </c>
    </row>
    <row r="160" spans="1:9" x14ac:dyDescent="0.2">
      <c r="A160" s="2">
        <v>4</v>
      </c>
      <c r="B160" s="1" t="s">
        <v>69</v>
      </c>
      <c r="C160" s="4">
        <v>199</v>
      </c>
      <c r="D160" s="8">
        <v>5.95</v>
      </c>
      <c r="E160" s="4">
        <v>44</v>
      </c>
      <c r="F160" s="8">
        <v>3.18</v>
      </c>
      <c r="G160" s="4">
        <v>155</v>
      </c>
      <c r="H160" s="8">
        <v>7.9</v>
      </c>
      <c r="I160" s="4">
        <v>0</v>
      </c>
    </row>
    <row r="161" spans="1:9" x14ac:dyDescent="0.2">
      <c r="A161" s="2">
        <v>5</v>
      </c>
      <c r="B161" s="1" t="s">
        <v>70</v>
      </c>
      <c r="C161" s="4">
        <v>192</v>
      </c>
      <c r="D161" s="8">
        <v>5.74</v>
      </c>
      <c r="E161" s="4">
        <v>49</v>
      </c>
      <c r="F161" s="8">
        <v>3.54</v>
      </c>
      <c r="G161" s="4">
        <v>143</v>
      </c>
      <c r="H161" s="8">
        <v>7.29</v>
      </c>
      <c r="I161" s="4">
        <v>0</v>
      </c>
    </row>
    <row r="162" spans="1:9" x14ac:dyDescent="0.2">
      <c r="A162" s="2">
        <v>6</v>
      </c>
      <c r="B162" s="1" t="s">
        <v>78</v>
      </c>
      <c r="C162" s="4">
        <v>161</v>
      </c>
      <c r="D162" s="8">
        <v>4.8099999999999996</v>
      </c>
      <c r="E162" s="4">
        <v>81</v>
      </c>
      <c r="F162" s="8">
        <v>5.86</v>
      </c>
      <c r="G162" s="4">
        <v>80</v>
      </c>
      <c r="H162" s="8">
        <v>4.08</v>
      </c>
      <c r="I162" s="4">
        <v>0</v>
      </c>
    </row>
    <row r="163" spans="1:9" x14ac:dyDescent="0.2">
      <c r="A163" s="2">
        <v>7</v>
      </c>
      <c r="B163" s="1" t="s">
        <v>79</v>
      </c>
      <c r="C163" s="4">
        <v>151</v>
      </c>
      <c r="D163" s="8">
        <v>4.51</v>
      </c>
      <c r="E163" s="4">
        <v>51</v>
      </c>
      <c r="F163" s="8">
        <v>3.69</v>
      </c>
      <c r="G163" s="4">
        <v>100</v>
      </c>
      <c r="H163" s="8">
        <v>5.0999999999999996</v>
      </c>
      <c r="I163" s="4">
        <v>0</v>
      </c>
    </row>
    <row r="164" spans="1:9" x14ac:dyDescent="0.2">
      <c r="A164" s="2">
        <v>8</v>
      </c>
      <c r="B164" s="1" t="s">
        <v>71</v>
      </c>
      <c r="C164" s="4">
        <v>128</v>
      </c>
      <c r="D164" s="8">
        <v>3.83</v>
      </c>
      <c r="E164" s="4">
        <v>16</v>
      </c>
      <c r="F164" s="8">
        <v>1.1599999999999999</v>
      </c>
      <c r="G164" s="4">
        <v>112</v>
      </c>
      <c r="H164" s="8">
        <v>5.71</v>
      </c>
      <c r="I164" s="4">
        <v>0</v>
      </c>
    </row>
    <row r="165" spans="1:9" x14ac:dyDescent="0.2">
      <c r="A165" s="2">
        <v>9</v>
      </c>
      <c r="B165" s="1" t="s">
        <v>82</v>
      </c>
      <c r="C165" s="4">
        <v>105</v>
      </c>
      <c r="D165" s="8">
        <v>3.14</v>
      </c>
      <c r="E165" s="4">
        <v>63</v>
      </c>
      <c r="F165" s="8">
        <v>4.5599999999999996</v>
      </c>
      <c r="G165" s="4">
        <v>42</v>
      </c>
      <c r="H165" s="8">
        <v>2.14</v>
      </c>
      <c r="I165" s="4">
        <v>0</v>
      </c>
    </row>
    <row r="166" spans="1:9" x14ac:dyDescent="0.2">
      <c r="A166" s="2">
        <v>10</v>
      </c>
      <c r="B166" s="1" t="s">
        <v>86</v>
      </c>
      <c r="C166" s="4">
        <v>101</v>
      </c>
      <c r="D166" s="8">
        <v>3.02</v>
      </c>
      <c r="E166" s="4">
        <v>82</v>
      </c>
      <c r="F166" s="8">
        <v>5.93</v>
      </c>
      <c r="G166" s="4">
        <v>19</v>
      </c>
      <c r="H166" s="8">
        <v>0.97</v>
      </c>
      <c r="I166" s="4">
        <v>0</v>
      </c>
    </row>
    <row r="167" spans="1:9" x14ac:dyDescent="0.2">
      <c r="A167" s="2">
        <v>11</v>
      </c>
      <c r="B167" s="1" t="s">
        <v>75</v>
      </c>
      <c r="C167" s="4">
        <v>96</v>
      </c>
      <c r="D167" s="8">
        <v>2.87</v>
      </c>
      <c r="E167" s="4">
        <v>6</v>
      </c>
      <c r="F167" s="8">
        <v>0.43</v>
      </c>
      <c r="G167" s="4">
        <v>90</v>
      </c>
      <c r="H167" s="8">
        <v>4.59</v>
      </c>
      <c r="I167" s="4">
        <v>0</v>
      </c>
    </row>
    <row r="168" spans="1:9" x14ac:dyDescent="0.2">
      <c r="A168" s="2">
        <v>12</v>
      </c>
      <c r="B168" s="1" t="s">
        <v>87</v>
      </c>
      <c r="C168" s="4">
        <v>87</v>
      </c>
      <c r="D168" s="8">
        <v>2.6</v>
      </c>
      <c r="E168" s="4">
        <v>66</v>
      </c>
      <c r="F168" s="8">
        <v>4.7699999999999996</v>
      </c>
      <c r="G168" s="4">
        <v>21</v>
      </c>
      <c r="H168" s="8">
        <v>1.07</v>
      </c>
      <c r="I168" s="4">
        <v>0</v>
      </c>
    </row>
    <row r="169" spans="1:9" x14ac:dyDescent="0.2">
      <c r="A169" s="2">
        <v>12</v>
      </c>
      <c r="B169" s="1" t="s">
        <v>88</v>
      </c>
      <c r="C169" s="4">
        <v>87</v>
      </c>
      <c r="D169" s="8">
        <v>2.6</v>
      </c>
      <c r="E169" s="4">
        <v>54</v>
      </c>
      <c r="F169" s="8">
        <v>3.9</v>
      </c>
      <c r="G169" s="4">
        <v>33</v>
      </c>
      <c r="H169" s="8">
        <v>1.68</v>
      </c>
      <c r="I169" s="4">
        <v>0</v>
      </c>
    </row>
    <row r="170" spans="1:9" x14ac:dyDescent="0.2">
      <c r="A170" s="2">
        <v>14</v>
      </c>
      <c r="B170" s="1" t="s">
        <v>96</v>
      </c>
      <c r="C170" s="4">
        <v>81</v>
      </c>
      <c r="D170" s="8">
        <v>2.42</v>
      </c>
      <c r="E170" s="4">
        <v>39</v>
      </c>
      <c r="F170" s="8">
        <v>2.82</v>
      </c>
      <c r="G170" s="4">
        <v>42</v>
      </c>
      <c r="H170" s="8">
        <v>2.14</v>
      </c>
      <c r="I170" s="4">
        <v>0</v>
      </c>
    </row>
    <row r="171" spans="1:9" x14ac:dyDescent="0.2">
      <c r="A171" s="2">
        <v>14</v>
      </c>
      <c r="B171" s="1" t="s">
        <v>77</v>
      </c>
      <c r="C171" s="4">
        <v>81</v>
      </c>
      <c r="D171" s="8">
        <v>2.42</v>
      </c>
      <c r="E171" s="4">
        <v>54</v>
      </c>
      <c r="F171" s="8">
        <v>3.9</v>
      </c>
      <c r="G171" s="4">
        <v>27</v>
      </c>
      <c r="H171" s="8">
        <v>1.38</v>
      </c>
      <c r="I171" s="4">
        <v>0</v>
      </c>
    </row>
    <row r="172" spans="1:9" x14ac:dyDescent="0.2">
      <c r="A172" s="2">
        <v>16</v>
      </c>
      <c r="B172" s="1" t="s">
        <v>72</v>
      </c>
      <c r="C172" s="4">
        <v>78</v>
      </c>
      <c r="D172" s="8">
        <v>2.33</v>
      </c>
      <c r="E172" s="4">
        <v>23</v>
      </c>
      <c r="F172" s="8">
        <v>1.66</v>
      </c>
      <c r="G172" s="4">
        <v>55</v>
      </c>
      <c r="H172" s="8">
        <v>2.8</v>
      </c>
      <c r="I172" s="4">
        <v>0</v>
      </c>
    </row>
    <row r="173" spans="1:9" x14ac:dyDescent="0.2">
      <c r="A173" s="2">
        <v>16</v>
      </c>
      <c r="B173" s="1" t="s">
        <v>73</v>
      </c>
      <c r="C173" s="4">
        <v>78</v>
      </c>
      <c r="D173" s="8">
        <v>2.33</v>
      </c>
      <c r="E173" s="4">
        <v>21</v>
      </c>
      <c r="F173" s="8">
        <v>1.52</v>
      </c>
      <c r="G173" s="4">
        <v>57</v>
      </c>
      <c r="H173" s="8">
        <v>2.91</v>
      </c>
      <c r="I173" s="4">
        <v>0</v>
      </c>
    </row>
    <row r="174" spans="1:9" x14ac:dyDescent="0.2">
      <c r="A174" s="2">
        <v>18</v>
      </c>
      <c r="B174" s="1" t="s">
        <v>83</v>
      </c>
      <c r="C174" s="4">
        <v>76</v>
      </c>
      <c r="D174" s="8">
        <v>2.27</v>
      </c>
      <c r="E174" s="4">
        <v>31</v>
      </c>
      <c r="F174" s="8">
        <v>2.2400000000000002</v>
      </c>
      <c r="G174" s="4">
        <v>45</v>
      </c>
      <c r="H174" s="8">
        <v>2.29</v>
      </c>
      <c r="I174" s="4">
        <v>0</v>
      </c>
    </row>
    <row r="175" spans="1:9" x14ac:dyDescent="0.2">
      <c r="A175" s="2">
        <v>19</v>
      </c>
      <c r="B175" s="1" t="s">
        <v>76</v>
      </c>
      <c r="C175" s="4">
        <v>74</v>
      </c>
      <c r="D175" s="8">
        <v>2.21</v>
      </c>
      <c r="E175" s="4">
        <v>22</v>
      </c>
      <c r="F175" s="8">
        <v>1.59</v>
      </c>
      <c r="G175" s="4">
        <v>52</v>
      </c>
      <c r="H175" s="8">
        <v>2.65</v>
      </c>
      <c r="I175" s="4">
        <v>0</v>
      </c>
    </row>
    <row r="176" spans="1:9" x14ac:dyDescent="0.2">
      <c r="A176" s="2">
        <v>20</v>
      </c>
      <c r="B176" s="1" t="s">
        <v>74</v>
      </c>
      <c r="C176" s="4">
        <v>66</v>
      </c>
      <c r="D176" s="8">
        <v>1.97</v>
      </c>
      <c r="E176" s="4">
        <v>8</v>
      </c>
      <c r="F176" s="8">
        <v>0.57999999999999996</v>
      </c>
      <c r="G176" s="4">
        <v>58</v>
      </c>
      <c r="H176" s="8">
        <v>2.96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85</v>
      </c>
      <c r="C179" s="4">
        <v>222</v>
      </c>
      <c r="D179" s="8">
        <v>10.26</v>
      </c>
      <c r="E179" s="4">
        <v>189</v>
      </c>
      <c r="F179" s="8">
        <v>17.78</v>
      </c>
      <c r="G179" s="4">
        <v>33</v>
      </c>
      <c r="H179" s="8">
        <v>3.01</v>
      </c>
      <c r="I179" s="4">
        <v>0</v>
      </c>
    </row>
    <row r="180" spans="1:9" x14ac:dyDescent="0.2">
      <c r="A180" s="2">
        <v>2</v>
      </c>
      <c r="B180" s="1" t="s">
        <v>81</v>
      </c>
      <c r="C180" s="4">
        <v>162</v>
      </c>
      <c r="D180" s="8">
        <v>7.49</v>
      </c>
      <c r="E180" s="4">
        <v>62</v>
      </c>
      <c r="F180" s="8">
        <v>5.83</v>
      </c>
      <c r="G180" s="4">
        <v>99</v>
      </c>
      <c r="H180" s="8">
        <v>9.0299999999999994</v>
      </c>
      <c r="I180" s="4">
        <v>1</v>
      </c>
    </row>
    <row r="181" spans="1:9" x14ac:dyDescent="0.2">
      <c r="A181" s="2">
        <v>3</v>
      </c>
      <c r="B181" s="1" t="s">
        <v>69</v>
      </c>
      <c r="C181" s="4">
        <v>143</v>
      </c>
      <c r="D181" s="8">
        <v>6.61</v>
      </c>
      <c r="E181" s="4">
        <v>36</v>
      </c>
      <c r="F181" s="8">
        <v>3.39</v>
      </c>
      <c r="G181" s="4">
        <v>107</v>
      </c>
      <c r="H181" s="8">
        <v>9.76</v>
      </c>
      <c r="I181" s="4">
        <v>0</v>
      </c>
    </row>
    <row r="182" spans="1:9" x14ac:dyDescent="0.2">
      <c r="A182" s="2">
        <v>4</v>
      </c>
      <c r="B182" s="1" t="s">
        <v>70</v>
      </c>
      <c r="C182" s="4">
        <v>142</v>
      </c>
      <c r="D182" s="8">
        <v>6.56</v>
      </c>
      <c r="E182" s="4">
        <v>59</v>
      </c>
      <c r="F182" s="8">
        <v>5.55</v>
      </c>
      <c r="G182" s="4">
        <v>83</v>
      </c>
      <c r="H182" s="8">
        <v>7.57</v>
      </c>
      <c r="I182" s="4">
        <v>0</v>
      </c>
    </row>
    <row r="183" spans="1:9" x14ac:dyDescent="0.2">
      <c r="A183" s="2">
        <v>5</v>
      </c>
      <c r="B183" s="1" t="s">
        <v>84</v>
      </c>
      <c r="C183" s="4">
        <v>126</v>
      </c>
      <c r="D183" s="8">
        <v>5.83</v>
      </c>
      <c r="E183" s="4">
        <v>107</v>
      </c>
      <c r="F183" s="8">
        <v>10.07</v>
      </c>
      <c r="G183" s="4">
        <v>19</v>
      </c>
      <c r="H183" s="8">
        <v>1.73</v>
      </c>
      <c r="I183" s="4">
        <v>0</v>
      </c>
    </row>
    <row r="184" spans="1:9" x14ac:dyDescent="0.2">
      <c r="A184" s="2">
        <v>6</v>
      </c>
      <c r="B184" s="1" t="s">
        <v>77</v>
      </c>
      <c r="C184" s="4">
        <v>114</v>
      </c>
      <c r="D184" s="8">
        <v>5.27</v>
      </c>
      <c r="E184" s="4">
        <v>87</v>
      </c>
      <c r="F184" s="8">
        <v>8.18</v>
      </c>
      <c r="G184" s="4">
        <v>27</v>
      </c>
      <c r="H184" s="8">
        <v>2.46</v>
      </c>
      <c r="I184" s="4">
        <v>0</v>
      </c>
    </row>
    <row r="185" spans="1:9" x14ac:dyDescent="0.2">
      <c r="A185" s="2">
        <v>7</v>
      </c>
      <c r="B185" s="1" t="s">
        <v>79</v>
      </c>
      <c r="C185" s="4">
        <v>101</v>
      </c>
      <c r="D185" s="8">
        <v>4.67</v>
      </c>
      <c r="E185" s="4">
        <v>41</v>
      </c>
      <c r="F185" s="8">
        <v>3.86</v>
      </c>
      <c r="G185" s="4">
        <v>60</v>
      </c>
      <c r="H185" s="8">
        <v>5.47</v>
      </c>
      <c r="I185" s="4">
        <v>0</v>
      </c>
    </row>
    <row r="186" spans="1:9" x14ac:dyDescent="0.2">
      <c r="A186" s="2">
        <v>8</v>
      </c>
      <c r="B186" s="1" t="s">
        <v>86</v>
      </c>
      <c r="C186" s="4">
        <v>91</v>
      </c>
      <c r="D186" s="8">
        <v>4.21</v>
      </c>
      <c r="E186" s="4">
        <v>77</v>
      </c>
      <c r="F186" s="8">
        <v>7.24</v>
      </c>
      <c r="G186" s="4">
        <v>12</v>
      </c>
      <c r="H186" s="8">
        <v>1.0900000000000001</v>
      </c>
      <c r="I186" s="4">
        <v>1</v>
      </c>
    </row>
    <row r="187" spans="1:9" x14ac:dyDescent="0.2">
      <c r="A187" s="2">
        <v>9</v>
      </c>
      <c r="B187" s="1" t="s">
        <v>71</v>
      </c>
      <c r="C187" s="4">
        <v>90</v>
      </c>
      <c r="D187" s="8">
        <v>4.16</v>
      </c>
      <c r="E187" s="4">
        <v>18</v>
      </c>
      <c r="F187" s="8">
        <v>1.69</v>
      </c>
      <c r="G187" s="4">
        <v>72</v>
      </c>
      <c r="H187" s="8">
        <v>6.57</v>
      </c>
      <c r="I187" s="4">
        <v>0</v>
      </c>
    </row>
    <row r="188" spans="1:9" x14ac:dyDescent="0.2">
      <c r="A188" s="2">
        <v>10</v>
      </c>
      <c r="B188" s="1" t="s">
        <v>78</v>
      </c>
      <c r="C188" s="4">
        <v>87</v>
      </c>
      <c r="D188" s="8">
        <v>4.0199999999999996</v>
      </c>
      <c r="E188" s="4">
        <v>36</v>
      </c>
      <c r="F188" s="8">
        <v>3.39</v>
      </c>
      <c r="G188" s="4">
        <v>51</v>
      </c>
      <c r="H188" s="8">
        <v>4.6500000000000004</v>
      </c>
      <c r="I188" s="4">
        <v>0</v>
      </c>
    </row>
    <row r="189" spans="1:9" x14ac:dyDescent="0.2">
      <c r="A189" s="2">
        <v>10</v>
      </c>
      <c r="B189" s="1" t="s">
        <v>87</v>
      </c>
      <c r="C189" s="4">
        <v>87</v>
      </c>
      <c r="D189" s="8">
        <v>4.0199999999999996</v>
      </c>
      <c r="E189" s="4">
        <v>72</v>
      </c>
      <c r="F189" s="8">
        <v>6.77</v>
      </c>
      <c r="G189" s="4">
        <v>15</v>
      </c>
      <c r="H189" s="8">
        <v>1.37</v>
      </c>
      <c r="I189" s="4">
        <v>0</v>
      </c>
    </row>
    <row r="190" spans="1:9" x14ac:dyDescent="0.2">
      <c r="A190" s="2">
        <v>12</v>
      </c>
      <c r="B190" s="1" t="s">
        <v>76</v>
      </c>
      <c r="C190" s="4">
        <v>65</v>
      </c>
      <c r="D190" s="8">
        <v>3.01</v>
      </c>
      <c r="E190" s="4">
        <v>25</v>
      </c>
      <c r="F190" s="8">
        <v>2.35</v>
      </c>
      <c r="G190" s="4">
        <v>40</v>
      </c>
      <c r="H190" s="8">
        <v>3.65</v>
      </c>
      <c r="I190" s="4">
        <v>0</v>
      </c>
    </row>
    <row r="191" spans="1:9" x14ac:dyDescent="0.2">
      <c r="A191" s="2">
        <v>13</v>
      </c>
      <c r="B191" s="1" t="s">
        <v>82</v>
      </c>
      <c r="C191" s="4">
        <v>59</v>
      </c>
      <c r="D191" s="8">
        <v>2.73</v>
      </c>
      <c r="E191" s="4">
        <v>37</v>
      </c>
      <c r="F191" s="8">
        <v>3.48</v>
      </c>
      <c r="G191" s="4">
        <v>22</v>
      </c>
      <c r="H191" s="8">
        <v>2.0099999999999998</v>
      </c>
      <c r="I191" s="4">
        <v>0</v>
      </c>
    </row>
    <row r="192" spans="1:9" x14ac:dyDescent="0.2">
      <c r="A192" s="2">
        <v>14</v>
      </c>
      <c r="B192" s="1" t="s">
        <v>94</v>
      </c>
      <c r="C192" s="4">
        <v>45</v>
      </c>
      <c r="D192" s="8">
        <v>2.08</v>
      </c>
      <c r="E192" s="4">
        <v>17</v>
      </c>
      <c r="F192" s="8">
        <v>1.6</v>
      </c>
      <c r="G192" s="4">
        <v>28</v>
      </c>
      <c r="H192" s="8">
        <v>2.5499999999999998</v>
      </c>
      <c r="I192" s="4">
        <v>0</v>
      </c>
    </row>
    <row r="193" spans="1:9" x14ac:dyDescent="0.2">
      <c r="A193" s="2">
        <v>15</v>
      </c>
      <c r="B193" s="1" t="s">
        <v>73</v>
      </c>
      <c r="C193" s="4">
        <v>43</v>
      </c>
      <c r="D193" s="8">
        <v>1.99</v>
      </c>
      <c r="E193" s="4">
        <v>9</v>
      </c>
      <c r="F193" s="8">
        <v>0.85</v>
      </c>
      <c r="G193" s="4">
        <v>34</v>
      </c>
      <c r="H193" s="8">
        <v>3.1</v>
      </c>
      <c r="I193" s="4">
        <v>0</v>
      </c>
    </row>
    <row r="194" spans="1:9" x14ac:dyDescent="0.2">
      <c r="A194" s="2">
        <v>16</v>
      </c>
      <c r="B194" s="1" t="s">
        <v>83</v>
      </c>
      <c r="C194" s="4">
        <v>42</v>
      </c>
      <c r="D194" s="8">
        <v>1.94</v>
      </c>
      <c r="E194" s="4">
        <v>22</v>
      </c>
      <c r="F194" s="8">
        <v>2.0699999999999998</v>
      </c>
      <c r="G194" s="4">
        <v>20</v>
      </c>
      <c r="H194" s="8">
        <v>1.82</v>
      </c>
      <c r="I194" s="4">
        <v>0</v>
      </c>
    </row>
    <row r="195" spans="1:9" x14ac:dyDescent="0.2">
      <c r="A195" s="2">
        <v>17</v>
      </c>
      <c r="B195" s="1" t="s">
        <v>75</v>
      </c>
      <c r="C195" s="4">
        <v>34</v>
      </c>
      <c r="D195" s="8">
        <v>1.57</v>
      </c>
      <c r="E195" s="4">
        <v>7</v>
      </c>
      <c r="F195" s="8">
        <v>0.66</v>
      </c>
      <c r="G195" s="4">
        <v>27</v>
      </c>
      <c r="H195" s="8">
        <v>2.46</v>
      </c>
      <c r="I195" s="4">
        <v>0</v>
      </c>
    </row>
    <row r="196" spans="1:9" x14ac:dyDescent="0.2">
      <c r="A196" s="2">
        <v>18</v>
      </c>
      <c r="B196" s="1" t="s">
        <v>93</v>
      </c>
      <c r="C196" s="4">
        <v>33</v>
      </c>
      <c r="D196" s="8">
        <v>1.53</v>
      </c>
      <c r="E196" s="4">
        <v>10</v>
      </c>
      <c r="F196" s="8">
        <v>0.94</v>
      </c>
      <c r="G196" s="4">
        <v>23</v>
      </c>
      <c r="H196" s="8">
        <v>2.1</v>
      </c>
      <c r="I196" s="4">
        <v>0</v>
      </c>
    </row>
    <row r="197" spans="1:9" x14ac:dyDescent="0.2">
      <c r="A197" s="2">
        <v>19</v>
      </c>
      <c r="B197" s="1" t="s">
        <v>96</v>
      </c>
      <c r="C197" s="4">
        <v>31</v>
      </c>
      <c r="D197" s="8">
        <v>1.43</v>
      </c>
      <c r="E197" s="4">
        <v>17</v>
      </c>
      <c r="F197" s="8">
        <v>1.6</v>
      </c>
      <c r="G197" s="4">
        <v>14</v>
      </c>
      <c r="H197" s="8">
        <v>1.28</v>
      </c>
      <c r="I197" s="4">
        <v>0</v>
      </c>
    </row>
    <row r="198" spans="1:9" x14ac:dyDescent="0.2">
      <c r="A198" s="2">
        <v>19</v>
      </c>
      <c r="B198" s="1" t="s">
        <v>95</v>
      </c>
      <c r="C198" s="4">
        <v>31</v>
      </c>
      <c r="D198" s="8">
        <v>1.43</v>
      </c>
      <c r="E198" s="4">
        <v>17</v>
      </c>
      <c r="F198" s="8">
        <v>1.6</v>
      </c>
      <c r="G198" s="4">
        <v>14</v>
      </c>
      <c r="H198" s="8">
        <v>1.28</v>
      </c>
      <c r="I198" s="4">
        <v>0</v>
      </c>
    </row>
    <row r="199" spans="1:9" x14ac:dyDescent="0.2">
      <c r="A199" s="1"/>
      <c r="C199" s="4"/>
      <c r="D199" s="8"/>
      <c r="E199" s="4"/>
      <c r="F199" s="8"/>
      <c r="G199" s="4"/>
      <c r="H199" s="8"/>
      <c r="I199" s="4"/>
    </row>
    <row r="200" spans="1:9" x14ac:dyDescent="0.2">
      <c r="A200" s="1" t="s">
        <v>9</v>
      </c>
      <c r="C200" s="4"/>
      <c r="D200" s="8"/>
      <c r="E200" s="4"/>
      <c r="F200" s="8"/>
      <c r="G200" s="4"/>
      <c r="H200" s="8"/>
      <c r="I200" s="4"/>
    </row>
    <row r="201" spans="1:9" x14ac:dyDescent="0.2">
      <c r="A201" s="2">
        <v>1</v>
      </c>
      <c r="B201" s="1" t="s">
        <v>85</v>
      </c>
      <c r="C201" s="4">
        <v>205</v>
      </c>
      <c r="D201" s="8">
        <v>9.3800000000000008</v>
      </c>
      <c r="E201" s="4">
        <v>182</v>
      </c>
      <c r="F201" s="8">
        <v>20.09</v>
      </c>
      <c r="G201" s="4">
        <v>23</v>
      </c>
      <c r="H201" s="8">
        <v>1.8</v>
      </c>
      <c r="I201" s="4">
        <v>0</v>
      </c>
    </row>
    <row r="202" spans="1:9" x14ac:dyDescent="0.2">
      <c r="A202" s="2">
        <v>2</v>
      </c>
      <c r="B202" s="1" t="s">
        <v>81</v>
      </c>
      <c r="C202" s="4">
        <v>144</v>
      </c>
      <c r="D202" s="8">
        <v>6.59</v>
      </c>
      <c r="E202" s="4">
        <v>43</v>
      </c>
      <c r="F202" s="8">
        <v>4.75</v>
      </c>
      <c r="G202" s="4">
        <v>101</v>
      </c>
      <c r="H202" s="8">
        <v>7.92</v>
      </c>
      <c r="I202" s="4">
        <v>0</v>
      </c>
    </row>
    <row r="203" spans="1:9" x14ac:dyDescent="0.2">
      <c r="A203" s="2">
        <v>3</v>
      </c>
      <c r="B203" s="1" t="s">
        <v>69</v>
      </c>
      <c r="C203" s="4">
        <v>139</v>
      </c>
      <c r="D203" s="8">
        <v>6.36</v>
      </c>
      <c r="E203" s="4">
        <v>28</v>
      </c>
      <c r="F203" s="8">
        <v>3.09</v>
      </c>
      <c r="G203" s="4">
        <v>111</v>
      </c>
      <c r="H203" s="8">
        <v>8.6999999999999993</v>
      </c>
      <c r="I203" s="4">
        <v>0</v>
      </c>
    </row>
    <row r="204" spans="1:9" x14ac:dyDescent="0.2">
      <c r="A204" s="2">
        <v>4</v>
      </c>
      <c r="B204" s="1" t="s">
        <v>70</v>
      </c>
      <c r="C204" s="4">
        <v>123</v>
      </c>
      <c r="D204" s="8">
        <v>5.63</v>
      </c>
      <c r="E204" s="4">
        <v>31</v>
      </c>
      <c r="F204" s="8">
        <v>3.42</v>
      </c>
      <c r="G204" s="4">
        <v>92</v>
      </c>
      <c r="H204" s="8">
        <v>7.21</v>
      </c>
      <c r="I204" s="4">
        <v>0</v>
      </c>
    </row>
    <row r="205" spans="1:9" x14ac:dyDescent="0.2">
      <c r="A205" s="2">
        <v>5</v>
      </c>
      <c r="B205" s="1" t="s">
        <v>84</v>
      </c>
      <c r="C205" s="4">
        <v>119</v>
      </c>
      <c r="D205" s="8">
        <v>5.44</v>
      </c>
      <c r="E205" s="4">
        <v>105</v>
      </c>
      <c r="F205" s="8">
        <v>11.59</v>
      </c>
      <c r="G205" s="4">
        <v>14</v>
      </c>
      <c r="H205" s="8">
        <v>1.1000000000000001</v>
      </c>
      <c r="I205" s="4">
        <v>0</v>
      </c>
    </row>
    <row r="206" spans="1:9" x14ac:dyDescent="0.2">
      <c r="A206" s="2">
        <v>6</v>
      </c>
      <c r="B206" s="1" t="s">
        <v>71</v>
      </c>
      <c r="C206" s="4">
        <v>108</v>
      </c>
      <c r="D206" s="8">
        <v>4.9400000000000004</v>
      </c>
      <c r="E206" s="4">
        <v>22</v>
      </c>
      <c r="F206" s="8">
        <v>2.4300000000000002</v>
      </c>
      <c r="G206" s="4">
        <v>86</v>
      </c>
      <c r="H206" s="8">
        <v>6.74</v>
      </c>
      <c r="I206" s="4">
        <v>0</v>
      </c>
    </row>
    <row r="207" spans="1:9" x14ac:dyDescent="0.2">
      <c r="A207" s="2">
        <v>7</v>
      </c>
      <c r="B207" s="1" t="s">
        <v>79</v>
      </c>
      <c r="C207" s="4">
        <v>91</v>
      </c>
      <c r="D207" s="8">
        <v>4.16</v>
      </c>
      <c r="E207" s="4">
        <v>39</v>
      </c>
      <c r="F207" s="8">
        <v>4.3</v>
      </c>
      <c r="G207" s="4">
        <v>52</v>
      </c>
      <c r="H207" s="8">
        <v>4.08</v>
      </c>
      <c r="I207" s="4">
        <v>0</v>
      </c>
    </row>
    <row r="208" spans="1:9" x14ac:dyDescent="0.2">
      <c r="A208" s="2">
        <v>8</v>
      </c>
      <c r="B208" s="1" t="s">
        <v>78</v>
      </c>
      <c r="C208" s="4">
        <v>90</v>
      </c>
      <c r="D208" s="8">
        <v>4.12</v>
      </c>
      <c r="E208" s="4">
        <v>54</v>
      </c>
      <c r="F208" s="8">
        <v>5.96</v>
      </c>
      <c r="G208" s="4">
        <v>36</v>
      </c>
      <c r="H208" s="8">
        <v>2.82</v>
      </c>
      <c r="I208" s="4">
        <v>0</v>
      </c>
    </row>
    <row r="209" spans="1:9" x14ac:dyDescent="0.2">
      <c r="A209" s="2">
        <v>9</v>
      </c>
      <c r="B209" s="1" t="s">
        <v>86</v>
      </c>
      <c r="C209" s="4">
        <v>83</v>
      </c>
      <c r="D209" s="8">
        <v>3.8</v>
      </c>
      <c r="E209" s="4">
        <v>69</v>
      </c>
      <c r="F209" s="8">
        <v>7.62</v>
      </c>
      <c r="G209" s="4">
        <v>12</v>
      </c>
      <c r="H209" s="8">
        <v>0.94</v>
      </c>
      <c r="I209" s="4">
        <v>1</v>
      </c>
    </row>
    <row r="210" spans="1:9" x14ac:dyDescent="0.2">
      <c r="A210" s="2">
        <v>10</v>
      </c>
      <c r="B210" s="1" t="s">
        <v>73</v>
      </c>
      <c r="C210" s="4">
        <v>71</v>
      </c>
      <c r="D210" s="8">
        <v>3.25</v>
      </c>
      <c r="E210" s="4">
        <v>16</v>
      </c>
      <c r="F210" s="8">
        <v>1.77</v>
      </c>
      <c r="G210" s="4">
        <v>55</v>
      </c>
      <c r="H210" s="8">
        <v>4.3099999999999996</v>
      </c>
      <c r="I210" s="4">
        <v>0</v>
      </c>
    </row>
    <row r="211" spans="1:9" x14ac:dyDescent="0.2">
      <c r="A211" s="2">
        <v>11</v>
      </c>
      <c r="B211" s="1" t="s">
        <v>82</v>
      </c>
      <c r="C211" s="4">
        <v>70</v>
      </c>
      <c r="D211" s="8">
        <v>3.2</v>
      </c>
      <c r="E211" s="4">
        <v>48</v>
      </c>
      <c r="F211" s="8">
        <v>5.3</v>
      </c>
      <c r="G211" s="4">
        <v>22</v>
      </c>
      <c r="H211" s="8">
        <v>1.72</v>
      </c>
      <c r="I211" s="4">
        <v>0</v>
      </c>
    </row>
    <row r="212" spans="1:9" x14ac:dyDescent="0.2">
      <c r="A212" s="2">
        <v>12</v>
      </c>
      <c r="B212" s="1" t="s">
        <v>72</v>
      </c>
      <c r="C212" s="4">
        <v>58</v>
      </c>
      <c r="D212" s="8">
        <v>2.65</v>
      </c>
      <c r="E212" s="4">
        <v>20</v>
      </c>
      <c r="F212" s="8">
        <v>2.21</v>
      </c>
      <c r="G212" s="4">
        <v>38</v>
      </c>
      <c r="H212" s="8">
        <v>2.98</v>
      </c>
      <c r="I212" s="4">
        <v>0</v>
      </c>
    </row>
    <row r="213" spans="1:9" x14ac:dyDescent="0.2">
      <c r="A213" s="2">
        <v>13</v>
      </c>
      <c r="B213" s="1" t="s">
        <v>94</v>
      </c>
      <c r="C213" s="4">
        <v>55</v>
      </c>
      <c r="D213" s="8">
        <v>2.52</v>
      </c>
      <c r="E213" s="4">
        <v>11</v>
      </c>
      <c r="F213" s="8">
        <v>1.21</v>
      </c>
      <c r="G213" s="4">
        <v>44</v>
      </c>
      <c r="H213" s="8">
        <v>3.45</v>
      </c>
      <c r="I213" s="4">
        <v>0</v>
      </c>
    </row>
    <row r="214" spans="1:9" x14ac:dyDescent="0.2">
      <c r="A214" s="2">
        <v>14</v>
      </c>
      <c r="B214" s="1" t="s">
        <v>87</v>
      </c>
      <c r="C214" s="4">
        <v>53</v>
      </c>
      <c r="D214" s="8">
        <v>2.42</v>
      </c>
      <c r="E214" s="4">
        <v>46</v>
      </c>
      <c r="F214" s="8">
        <v>5.08</v>
      </c>
      <c r="G214" s="4">
        <v>7</v>
      </c>
      <c r="H214" s="8">
        <v>0.55000000000000004</v>
      </c>
      <c r="I214" s="4">
        <v>0</v>
      </c>
    </row>
    <row r="215" spans="1:9" x14ac:dyDescent="0.2">
      <c r="A215" s="2">
        <v>15</v>
      </c>
      <c r="B215" s="1" t="s">
        <v>83</v>
      </c>
      <c r="C215" s="4">
        <v>45</v>
      </c>
      <c r="D215" s="8">
        <v>2.06</v>
      </c>
      <c r="E215" s="4">
        <v>18</v>
      </c>
      <c r="F215" s="8">
        <v>1.99</v>
      </c>
      <c r="G215" s="4">
        <v>27</v>
      </c>
      <c r="H215" s="8">
        <v>2.12</v>
      </c>
      <c r="I215" s="4">
        <v>0</v>
      </c>
    </row>
    <row r="216" spans="1:9" x14ac:dyDescent="0.2">
      <c r="A216" s="2">
        <v>16</v>
      </c>
      <c r="B216" s="1" t="s">
        <v>75</v>
      </c>
      <c r="C216" s="4">
        <v>44</v>
      </c>
      <c r="D216" s="8">
        <v>2.0099999999999998</v>
      </c>
      <c r="E216" s="4">
        <v>5</v>
      </c>
      <c r="F216" s="8">
        <v>0.55000000000000004</v>
      </c>
      <c r="G216" s="4">
        <v>39</v>
      </c>
      <c r="H216" s="8">
        <v>3.06</v>
      </c>
      <c r="I216" s="4">
        <v>0</v>
      </c>
    </row>
    <row r="217" spans="1:9" x14ac:dyDescent="0.2">
      <c r="A217" s="2">
        <v>16</v>
      </c>
      <c r="B217" s="1" t="s">
        <v>77</v>
      </c>
      <c r="C217" s="4">
        <v>44</v>
      </c>
      <c r="D217" s="8">
        <v>2.0099999999999998</v>
      </c>
      <c r="E217" s="4">
        <v>34</v>
      </c>
      <c r="F217" s="8">
        <v>3.75</v>
      </c>
      <c r="G217" s="4">
        <v>10</v>
      </c>
      <c r="H217" s="8">
        <v>0.78</v>
      </c>
      <c r="I217" s="4">
        <v>0</v>
      </c>
    </row>
    <row r="218" spans="1:9" x14ac:dyDescent="0.2">
      <c r="A218" s="2">
        <v>18</v>
      </c>
      <c r="B218" s="1" t="s">
        <v>74</v>
      </c>
      <c r="C218" s="4">
        <v>42</v>
      </c>
      <c r="D218" s="8">
        <v>1.92</v>
      </c>
      <c r="E218" s="4">
        <v>4</v>
      </c>
      <c r="F218" s="8">
        <v>0.44</v>
      </c>
      <c r="G218" s="4">
        <v>38</v>
      </c>
      <c r="H218" s="8">
        <v>2.98</v>
      </c>
      <c r="I218" s="4">
        <v>0</v>
      </c>
    </row>
    <row r="219" spans="1:9" x14ac:dyDescent="0.2">
      <c r="A219" s="2">
        <v>19</v>
      </c>
      <c r="B219" s="1" t="s">
        <v>88</v>
      </c>
      <c r="C219" s="4">
        <v>39</v>
      </c>
      <c r="D219" s="8">
        <v>1.78</v>
      </c>
      <c r="E219" s="4">
        <v>23</v>
      </c>
      <c r="F219" s="8">
        <v>2.54</v>
      </c>
      <c r="G219" s="4">
        <v>16</v>
      </c>
      <c r="H219" s="8">
        <v>1.25</v>
      </c>
      <c r="I219" s="4">
        <v>0</v>
      </c>
    </row>
    <row r="220" spans="1:9" x14ac:dyDescent="0.2">
      <c r="A220" s="2">
        <v>20</v>
      </c>
      <c r="B220" s="1" t="s">
        <v>92</v>
      </c>
      <c r="C220" s="4">
        <v>37</v>
      </c>
      <c r="D220" s="8">
        <v>1.69</v>
      </c>
      <c r="E220" s="4">
        <v>11</v>
      </c>
      <c r="F220" s="8">
        <v>1.21</v>
      </c>
      <c r="G220" s="4">
        <v>26</v>
      </c>
      <c r="H220" s="8">
        <v>2.04</v>
      </c>
      <c r="I220" s="4">
        <v>0</v>
      </c>
    </row>
    <row r="221" spans="1:9" x14ac:dyDescent="0.2">
      <c r="A221" s="1"/>
      <c r="C221" s="4"/>
      <c r="D221" s="8"/>
      <c r="E221" s="4"/>
      <c r="F221" s="8"/>
      <c r="G221" s="4"/>
      <c r="H221" s="8"/>
      <c r="I221" s="4"/>
    </row>
    <row r="222" spans="1:9" x14ac:dyDescent="0.2">
      <c r="A222" s="1" t="s">
        <v>10</v>
      </c>
      <c r="C222" s="4"/>
      <c r="D222" s="8"/>
      <c r="E222" s="4"/>
      <c r="F222" s="8"/>
      <c r="G222" s="4"/>
      <c r="H222" s="8"/>
      <c r="I222" s="4"/>
    </row>
    <row r="223" spans="1:9" x14ac:dyDescent="0.2">
      <c r="A223" s="2">
        <v>1</v>
      </c>
      <c r="B223" s="1" t="s">
        <v>85</v>
      </c>
      <c r="C223" s="4">
        <v>223</v>
      </c>
      <c r="D223" s="8">
        <v>10.91</v>
      </c>
      <c r="E223" s="4">
        <v>203</v>
      </c>
      <c r="F223" s="8">
        <v>19.75</v>
      </c>
      <c r="G223" s="4">
        <v>20</v>
      </c>
      <c r="H223" s="8">
        <v>1.97</v>
      </c>
      <c r="I223" s="4">
        <v>0</v>
      </c>
    </row>
    <row r="224" spans="1:9" x14ac:dyDescent="0.2">
      <c r="A224" s="2">
        <v>2</v>
      </c>
      <c r="B224" s="1" t="s">
        <v>69</v>
      </c>
      <c r="C224" s="4">
        <v>155</v>
      </c>
      <c r="D224" s="8">
        <v>7.58</v>
      </c>
      <c r="E224" s="4">
        <v>48</v>
      </c>
      <c r="F224" s="8">
        <v>4.67</v>
      </c>
      <c r="G224" s="4">
        <v>107</v>
      </c>
      <c r="H224" s="8">
        <v>10.56</v>
      </c>
      <c r="I224" s="4">
        <v>0</v>
      </c>
    </row>
    <row r="225" spans="1:9" x14ac:dyDescent="0.2">
      <c r="A225" s="2">
        <v>3</v>
      </c>
      <c r="B225" s="1" t="s">
        <v>84</v>
      </c>
      <c r="C225" s="4">
        <v>142</v>
      </c>
      <c r="D225" s="8">
        <v>6.95</v>
      </c>
      <c r="E225" s="4">
        <v>118</v>
      </c>
      <c r="F225" s="8">
        <v>11.48</v>
      </c>
      <c r="G225" s="4">
        <v>24</v>
      </c>
      <c r="H225" s="8">
        <v>2.37</v>
      </c>
      <c r="I225" s="4">
        <v>0</v>
      </c>
    </row>
    <row r="226" spans="1:9" x14ac:dyDescent="0.2">
      <c r="A226" s="2">
        <v>4</v>
      </c>
      <c r="B226" s="1" t="s">
        <v>79</v>
      </c>
      <c r="C226" s="4">
        <v>133</v>
      </c>
      <c r="D226" s="8">
        <v>6.51</v>
      </c>
      <c r="E226" s="4">
        <v>68</v>
      </c>
      <c r="F226" s="8">
        <v>6.61</v>
      </c>
      <c r="G226" s="4">
        <v>65</v>
      </c>
      <c r="H226" s="8">
        <v>6.42</v>
      </c>
      <c r="I226" s="4">
        <v>0</v>
      </c>
    </row>
    <row r="227" spans="1:9" x14ac:dyDescent="0.2">
      <c r="A227" s="2">
        <v>5</v>
      </c>
      <c r="B227" s="1" t="s">
        <v>70</v>
      </c>
      <c r="C227" s="4">
        <v>131</v>
      </c>
      <c r="D227" s="8">
        <v>6.41</v>
      </c>
      <c r="E227" s="4">
        <v>51</v>
      </c>
      <c r="F227" s="8">
        <v>4.96</v>
      </c>
      <c r="G227" s="4">
        <v>80</v>
      </c>
      <c r="H227" s="8">
        <v>7.9</v>
      </c>
      <c r="I227" s="4">
        <v>0</v>
      </c>
    </row>
    <row r="228" spans="1:9" x14ac:dyDescent="0.2">
      <c r="A228" s="2">
        <v>6</v>
      </c>
      <c r="B228" s="1" t="s">
        <v>77</v>
      </c>
      <c r="C228" s="4">
        <v>97</v>
      </c>
      <c r="D228" s="8">
        <v>4.75</v>
      </c>
      <c r="E228" s="4">
        <v>56</v>
      </c>
      <c r="F228" s="8">
        <v>5.45</v>
      </c>
      <c r="G228" s="4">
        <v>41</v>
      </c>
      <c r="H228" s="8">
        <v>4.05</v>
      </c>
      <c r="I228" s="4">
        <v>0</v>
      </c>
    </row>
    <row r="229" spans="1:9" x14ac:dyDescent="0.2">
      <c r="A229" s="2">
        <v>7</v>
      </c>
      <c r="B229" s="1" t="s">
        <v>71</v>
      </c>
      <c r="C229" s="4">
        <v>96</v>
      </c>
      <c r="D229" s="8">
        <v>4.7</v>
      </c>
      <c r="E229" s="4">
        <v>27</v>
      </c>
      <c r="F229" s="8">
        <v>2.63</v>
      </c>
      <c r="G229" s="4">
        <v>69</v>
      </c>
      <c r="H229" s="8">
        <v>6.81</v>
      </c>
      <c r="I229" s="4">
        <v>0</v>
      </c>
    </row>
    <row r="230" spans="1:9" x14ac:dyDescent="0.2">
      <c r="A230" s="2">
        <v>8</v>
      </c>
      <c r="B230" s="1" t="s">
        <v>81</v>
      </c>
      <c r="C230" s="4">
        <v>95</v>
      </c>
      <c r="D230" s="8">
        <v>4.6500000000000004</v>
      </c>
      <c r="E230" s="4">
        <v>44</v>
      </c>
      <c r="F230" s="8">
        <v>4.28</v>
      </c>
      <c r="G230" s="4">
        <v>51</v>
      </c>
      <c r="H230" s="8">
        <v>5.03</v>
      </c>
      <c r="I230" s="4">
        <v>0</v>
      </c>
    </row>
    <row r="231" spans="1:9" x14ac:dyDescent="0.2">
      <c r="A231" s="2">
        <v>9</v>
      </c>
      <c r="B231" s="1" t="s">
        <v>78</v>
      </c>
      <c r="C231" s="4">
        <v>85</v>
      </c>
      <c r="D231" s="8">
        <v>4.16</v>
      </c>
      <c r="E231" s="4">
        <v>54</v>
      </c>
      <c r="F231" s="8">
        <v>5.25</v>
      </c>
      <c r="G231" s="4">
        <v>31</v>
      </c>
      <c r="H231" s="8">
        <v>3.06</v>
      </c>
      <c r="I231" s="4">
        <v>0</v>
      </c>
    </row>
    <row r="232" spans="1:9" x14ac:dyDescent="0.2">
      <c r="A232" s="2">
        <v>10</v>
      </c>
      <c r="B232" s="1" t="s">
        <v>86</v>
      </c>
      <c r="C232" s="4">
        <v>74</v>
      </c>
      <c r="D232" s="8">
        <v>3.62</v>
      </c>
      <c r="E232" s="4">
        <v>54</v>
      </c>
      <c r="F232" s="8">
        <v>5.25</v>
      </c>
      <c r="G232" s="4">
        <v>20</v>
      </c>
      <c r="H232" s="8">
        <v>1.97</v>
      </c>
      <c r="I232" s="4">
        <v>0</v>
      </c>
    </row>
    <row r="233" spans="1:9" x14ac:dyDescent="0.2">
      <c r="A233" s="2">
        <v>11</v>
      </c>
      <c r="B233" s="1" t="s">
        <v>87</v>
      </c>
      <c r="C233" s="4">
        <v>70</v>
      </c>
      <c r="D233" s="8">
        <v>3.42</v>
      </c>
      <c r="E233" s="4">
        <v>64</v>
      </c>
      <c r="F233" s="8">
        <v>6.23</v>
      </c>
      <c r="G233" s="4">
        <v>6</v>
      </c>
      <c r="H233" s="8">
        <v>0.59</v>
      </c>
      <c r="I233" s="4">
        <v>0</v>
      </c>
    </row>
    <row r="234" spans="1:9" x14ac:dyDescent="0.2">
      <c r="A234" s="2">
        <v>12</v>
      </c>
      <c r="B234" s="1" t="s">
        <v>82</v>
      </c>
      <c r="C234" s="4">
        <v>43</v>
      </c>
      <c r="D234" s="8">
        <v>2.1</v>
      </c>
      <c r="E234" s="4">
        <v>26</v>
      </c>
      <c r="F234" s="8">
        <v>2.5299999999999998</v>
      </c>
      <c r="G234" s="4">
        <v>17</v>
      </c>
      <c r="H234" s="8">
        <v>1.68</v>
      </c>
      <c r="I234" s="4">
        <v>0</v>
      </c>
    </row>
    <row r="235" spans="1:9" x14ac:dyDescent="0.2">
      <c r="A235" s="2">
        <v>13</v>
      </c>
      <c r="B235" s="1" t="s">
        <v>83</v>
      </c>
      <c r="C235" s="4">
        <v>39</v>
      </c>
      <c r="D235" s="8">
        <v>1.91</v>
      </c>
      <c r="E235" s="4">
        <v>17</v>
      </c>
      <c r="F235" s="8">
        <v>1.65</v>
      </c>
      <c r="G235" s="4">
        <v>22</v>
      </c>
      <c r="H235" s="8">
        <v>2.17</v>
      </c>
      <c r="I235" s="4">
        <v>0</v>
      </c>
    </row>
    <row r="236" spans="1:9" x14ac:dyDescent="0.2">
      <c r="A236" s="2">
        <v>14</v>
      </c>
      <c r="B236" s="1" t="s">
        <v>76</v>
      </c>
      <c r="C236" s="4">
        <v>35</v>
      </c>
      <c r="D236" s="8">
        <v>1.71</v>
      </c>
      <c r="E236" s="4">
        <v>23</v>
      </c>
      <c r="F236" s="8">
        <v>2.2400000000000002</v>
      </c>
      <c r="G236" s="4">
        <v>12</v>
      </c>
      <c r="H236" s="8">
        <v>1.18</v>
      </c>
      <c r="I236" s="4">
        <v>0</v>
      </c>
    </row>
    <row r="237" spans="1:9" x14ac:dyDescent="0.2">
      <c r="A237" s="2">
        <v>15</v>
      </c>
      <c r="B237" s="1" t="s">
        <v>73</v>
      </c>
      <c r="C237" s="4">
        <v>33</v>
      </c>
      <c r="D237" s="8">
        <v>1.61</v>
      </c>
      <c r="E237" s="4">
        <v>8</v>
      </c>
      <c r="F237" s="8">
        <v>0.78</v>
      </c>
      <c r="G237" s="4">
        <v>25</v>
      </c>
      <c r="H237" s="8">
        <v>2.4700000000000002</v>
      </c>
      <c r="I237" s="4">
        <v>0</v>
      </c>
    </row>
    <row r="238" spans="1:9" x14ac:dyDescent="0.2">
      <c r="A238" s="2">
        <v>16</v>
      </c>
      <c r="B238" s="1" t="s">
        <v>72</v>
      </c>
      <c r="C238" s="4">
        <v>31</v>
      </c>
      <c r="D238" s="8">
        <v>1.52</v>
      </c>
      <c r="E238" s="4">
        <v>15</v>
      </c>
      <c r="F238" s="8">
        <v>1.46</v>
      </c>
      <c r="G238" s="4">
        <v>16</v>
      </c>
      <c r="H238" s="8">
        <v>1.58</v>
      </c>
      <c r="I238" s="4">
        <v>0</v>
      </c>
    </row>
    <row r="239" spans="1:9" x14ac:dyDescent="0.2">
      <c r="A239" s="2">
        <v>17</v>
      </c>
      <c r="B239" s="1" t="s">
        <v>80</v>
      </c>
      <c r="C239" s="4">
        <v>30</v>
      </c>
      <c r="D239" s="8">
        <v>1.47</v>
      </c>
      <c r="E239" s="4">
        <v>4</v>
      </c>
      <c r="F239" s="8">
        <v>0.39</v>
      </c>
      <c r="G239" s="4">
        <v>26</v>
      </c>
      <c r="H239" s="8">
        <v>2.57</v>
      </c>
      <c r="I239" s="4">
        <v>0</v>
      </c>
    </row>
    <row r="240" spans="1:9" x14ac:dyDescent="0.2">
      <c r="A240" s="2">
        <v>18</v>
      </c>
      <c r="B240" s="1" t="s">
        <v>75</v>
      </c>
      <c r="C240" s="4">
        <v>29</v>
      </c>
      <c r="D240" s="8">
        <v>1.42</v>
      </c>
      <c r="E240" s="4">
        <v>1</v>
      </c>
      <c r="F240" s="8">
        <v>0.1</v>
      </c>
      <c r="G240" s="4">
        <v>28</v>
      </c>
      <c r="H240" s="8">
        <v>2.76</v>
      </c>
      <c r="I240" s="4">
        <v>0</v>
      </c>
    </row>
    <row r="241" spans="1:9" x14ac:dyDescent="0.2">
      <c r="A241" s="2">
        <v>18</v>
      </c>
      <c r="B241" s="1" t="s">
        <v>88</v>
      </c>
      <c r="C241" s="4">
        <v>29</v>
      </c>
      <c r="D241" s="8">
        <v>1.42</v>
      </c>
      <c r="E241" s="4">
        <v>19</v>
      </c>
      <c r="F241" s="8">
        <v>1.85</v>
      </c>
      <c r="G241" s="4">
        <v>10</v>
      </c>
      <c r="H241" s="8">
        <v>0.99</v>
      </c>
      <c r="I241" s="4">
        <v>0</v>
      </c>
    </row>
    <row r="242" spans="1:9" x14ac:dyDescent="0.2">
      <c r="A242" s="2">
        <v>20</v>
      </c>
      <c r="B242" s="1" t="s">
        <v>95</v>
      </c>
      <c r="C242" s="4">
        <v>28</v>
      </c>
      <c r="D242" s="8">
        <v>1.37</v>
      </c>
      <c r="E242" s="4">
        <v>16</v>
      </c>
      <c r="F242" s="8">
        <v>1.56</v>
      </c>
      <c r="G242" s="4">
        <v>12</v>
      </c>
      <c r="H242" s="8">
        <v>1.18</v>
      </c>
      <c r="I242" s="4">
        <v>0</v>
      </c>
    </row>
    <row r="243" spans="1:9" x14ac:dyDescent="0.2">
      <c r="A243" s="1"/>
      <c r="C243" s="4"/>
      <c r="D243" s="8"/>
      <c r="E243" s="4"/>
      <c r="F243" s="8"/>
      <c r="G243" s="4"/>
      <c r="H243" s="8"/>
      <c r="I243" s="4"/>
    </row>
    <row r="244" spans="1:9" x14ac:dyDescent="0.2">
      <c r="A244" s="1" t="s">
        <v>11</v>
      </c>
      <c r="C244" s="4"/>
      <c r="D244" s="8"/>
      <c r="E244" s="4"/>
      <c r="F244" s="8"/>
      <c r="G244" s="4"/>
      <c r="H244" s="8"/>
      <c r="I244" s="4"/>
    </row>
    <row r="245" spans="1:9" x14ac:dyDescent="0.2">
      <c r="A245" s="2">
        <v>1</v>
      </c>
      <c r="B245" s="1" t="s">
        <v>85</v>
      </c>
      <c r="C245" s="4">
        <v>203</v>
      </c>
      <c r="D245" s="8">
        <v>9.2100000000000009</v>
      </c>
      <c r="E245" s="4">
        <v>177</v>
      </c>
      <c r="F245" s="8">
        <v>15.54</v>
      </c>
      <c r="G245" s="4">
        <v>26</v>
      </c>
      <c r="H245" s="8">
        <v>2.4500000000000002</v>
      </c>
      <c r="I245" s="4">
        <v>0</v>
      </c>
    </row>
    <row r="246" spans="1:9" x14ac:dyDescent="0.2">
      <c r="A246" s="2">
        <v>2</v>
      </c>
      <c r="B246" s="1" t="s">
        <v>81</v>
      </c>
      <c r="C246" s="4">
        <v>185</v>
      </c>
      <c r="D246" s="8">
        <v>8.39</v>
      </c>
      <c r="E246" s="4">
        <v>105</v>
      </c>
      <c r="F246" s="8">
        <v>9.2200000000000006</v>
      </c>
      <c r="G246" s="4">
        <v>80</v>
      </c>
      <c r="H246" s="8">
        <v>7.55</v>
      </c>
      <c r="I246" s="4">
        <v>0</v>
      </c>
    </row>
    <row r="247" spans="1:9" x14ac:dyDescent="0.2">
      <c r="A247" s="2">
        <v>3</v>
      </c>
      <c r="B247" s="1" t="s">
        <v>69</v>
      </c>
      <c r="C247" s="4">
        <v>167</v>
      </c>
      <c r="D247" s="8">
        <v>7.58</v>
      </c>
      <c r="E247" s="4">
        <v>59</v>
      </c>
      <c r="F247" s="8">
        <v>5.18</v>
      </c>
      <c r="G247" s="4">
        <v>108</v>
      </c>
      <c r="H247" s="8">
        <v>10.19</v>
      </c>
      <c r="I247" s="4">
        <v>0</v>
      </c>
    </row>
    <row r="248" spans="1:9" x14ac:dyDescent="0.2">
      <c r="A248" s="2">
        <v>4</v>
      </c>
      <c r="B248" s="1" t="s">
        <v>70</v>
      </c>
      <c r="C248" s="4">
        <v>138</v>
      </c>
      <c r="D248" s="8">
        <v>6.26</v>
      </c>
      <c r="E248" s="4">
        <v>67</v>
      </c>
      <c r="F248" s="8">
        <v>5.88</v>
      </c>
      <c r="G248" s="4">
        <v>71</v>
      </c>
      <c r="H248" s="8">
        <v>6.7</v>
      </c>
      <c r="I248" s="4">
        <v>0</v>
      </c>
    </row>
    <row r="249" spans="1:9" x14ac:dyDescent="0.2">
      <c r="A249" s="2">
        <v>5</v>
      </c>
      <c r="B249" s="1" t="s">
        <v>79</v>
      </c>
      <c r="C249" s="4">
        <v>132</v>
      </c>
      <c r="D249" s="8">
        <v>5.99</v>
      </c>
      <c r="E249" s="4">
        <v>62</v>
      </c>
      <c r="F249" s="8">
        <v>5.44</v>
      </c>
      <c r="G249" s="4">
        <v>70</v>
      </c>
      <c r="H249" s="8">
        <v>6.6</v>
      </c>
      <c r="I249" s="4">
        <v>0</v>
      </c>
    </row>
    <row r="250" spans="1:9" x14ac:dyDescent="0.2">
      <c r="A250" s="2">
        <v>6</v>
      </c>
      <c r="B250" s="1" t="s">
        <v>84</v>
      </c>
      <c r="C250" s="4">
        <v>127</v>
      </c>
      <c r="D250" s="8">
        <v>5.76</v>
      </c>
      <c r="E250" s="4">
        <v>104</v>
      </c>
      <c r="F250" s="8">
        <v>9.1300000000000008</v>
      </c>
      <c r="G250" s="4">
        <v>23</v>
      </c>
      <c r="H250" s="8">
        <v>2.17</v>
      </c>
      <c r="I250" s="4">
        <v>0</v>
      </c>
    </row>
    <row r="251" spans="1:9" x14ac:dyDescent="0.2">
      <c r="A251" s="2">
        <v>7</v>
      </c>
      <c r="B251" s="1" t="s">
        <v>86</v>
      </c>
      <c r="C251" s="4">
        <v>103</v>
      </c>
      <c r="D251" s="8">
        <v>4.67</v>
      </c>
      <c r="E251" s="4">
        <v>82</v>
      </c>
      <c r="F251" s="8">
        <v>7.2</v>
      </c>
      <c r="G251" s="4">
        <v>20</v>
      </c>
      <c r="H251" s="8">
        <v>1.89</v>
      </c>
      <c r="I251" s="4">
        <v>1</v>
      </c>
    </row>
    <row r="252" spans="1:9" x14ac:dyDescent="0.2">
      <c r="A252" s="2">
        <v>8</v>
      </c>
      <c r="B252" s="1" t="s">
        <v>71</v>
      </c>
      <c r="C252" s="4">
        <v>90</v>
      </c>
      <c r="D252" s="8">
        <v>4.08</v>
      </c>
      <c r="E252" s="4">
        <v>22</v>
      </c>
      <c r="F252" s="8">
        <v>1.93</v>
      </c>
      <c r="G252" s="4">
        <v>67</v>
      </c>
      <c r="H252" s="8">
        <v>6.32</v>
      </c>
      <c r="I252" s="4">
        <v>1</v>
      </c>
    </row>
    <row r="253" spans="1:9" x14ac:dyDescent="0.2">
      <c r="A253" s="2">
        <v>9</v>
      </c>
      <c r="B253" s="1" t="s">
        <v>78</v>
      </c>
      <c r="C253" s="4">
        <v>85</v>
      </c>
      <c r="D253" s="8">
        <v>3.86</v>
      </c>
      <c r="E253" s="4">
        <v>49</v>
      </c>
      <c r="F253" s="8">
        <v>4.3</v>
      </c>
      <c r="G253" s="4">
        <v>36</v>
      </c>
      <c r="H253" s="8">
        <v>3.4</v>
      </c>
      <c r="I253" s="4">
        <v>0</v>
      </c>
    </row>
    <row r="254" spans="1:9" x14ac:dyDescent="0.2">
      <c r="A254" s="2">
        <v>10</v>
      </c>
      <c r="B254" s="1" t="s">
        <v>77</v>
      </c>
      <c r="C254" s="4">
        <v>76</v>
      </c>
      <c r="D254" s="8">
        <v>3.45</v>
      </c>
      <c r="E254" s="4">
        <v>51</v>
      </c>
      <c r="F254" s="8">
        <v>4.4800000000000004</v>
      </c>
      <c r="G254" s="4">
        <v>24</v>
      </c>
      <c r="H254" s="8">
        <v>2.2599999999999998</v>
      </c>
      <c r="I254" s="4">
        <v>1</v>
      </c>
    </row>
    <row r="255" spans="1:9" x14ac:dyDescent="0.2">
      <c r="A255" s="2">
        <v>11</v>
      </c>
      <c r="B255" s="1" t="s">
        <v>87</v>
      </c>
      <c r="C255" s="4">
        <v>74</v>
      </c>
      <c r="D255" s="8">
        <v>3.36</v>
      </c>
      <c r="E255" s="4">
        <v>63</v>
      </c>
      <c r="F255" s="8">
        <v>5.53</v>
      </c>
      <c r="G255" s="4">
        <v>11</v>
      </c>
      <c r="H255" s="8">
        <v>1.04</v>
      </c>
      <c r="I255" s="4">
        <v>0</v>
      </c>
    </row>
    <row r="256" spans="1:9" x14ac:dyDescent="0.2">
      <c r="A256" s="2">
        <v>12</v>
      </c>
      <c r="B256" s="1" t="s">
        <v>76</v>
      </c>
      <c r="C256" s="4">
        <v>57</v>
      </c>
      <c r="D256" s="8">
        <v>2.59</v>
      </c>
      <c r="E256" s="4">
        <v>26</v>
      </c>
      <c r="F256" s="8">
        <v>2.2799999999999998</v>
      </c>
      <c r="G256" s="4">
        <v>31</v>
      </c>
      <c r="H256" s="8">
        <v>2.92</v>
      </c>
      <c r="I256" s="4">
        <v>0</v>
      </c>
    </row>
    <row r="257" spans="1:9" x14ac:dyDescent="0.2">
      <c r="A257" s="2">
        <v>13</v>
      </c>
      <c r="B257" s="1" t="s">
        <v>94</v>
      </c>
      <c r="C257" s="4">
        <v>51</v>
      </c>
      <c r="D257" s="8">
        <v>2.31</v>
      </c>
      <c r="E257" s="4">
        <v>18</v>
      </c>
      <c r="F257" s="8">
        <v>1.58</v>
      </c>
      <c r="G257" s="4">
        <v>33</v>
      </c>
      <c r="H257" s="8">
        <v>3.11</v>
      </c>
      <c r="I257" s="4">
        <v>0</v>
      </c>
    </row>
    <row r="258" spans="1:9" x14ac:dyDescent="0.2">
      <c r="A258" s="2">
        <v>14</v>
      </c>
      <c r="B258" s="1" t="s">
        <v>82</v>
      </c>
      <c r="C258" s="4">
        <v>48</v>
      </c>
      <c r="D258" s="8">
        <v>2.1800000000000002</v>
      </c>
      <c r="E258" s="4">
        <v>34</v>
      </c>
      <c r="F258" s="8">
        <v>2.99</v>
      </c>
      <c r="G258" s="4">
        <v>14</v>
      </c>
      <c r="H258" s="8">
        <v>1.32</v>
      </c>
      <c r="I258" s="4">
        <v>0</v>
      </c>
    </row>
    <row r="259" spans="1:9" x14ac:dyDescent="0.2">
      <c r="A259" s="2">
        <v>15</v>
      </c>
      <c r="B259" s="1" t="s">
        <v>73</v>
      </c>
      <c r="C259" s="4">
        <v>44</v>
      </c>
      <c r="D259" s="8">
        <v>2</v>
      </c>
      <c r="E259" s="4">
        <v>14</v>
      </c>
      <c r="F259" s="8">
        <v>1.23</v>
      </c>
      <c r="G259" s="4">
        <v>30</v>
      </c>
      <c r="H259" s="8">
        <v>2.83</v>
      </c>
      <c r="I259" s="4">
        <v>0</v>
      </c>
    </row>
    <row r="260" spans="1:9" x14ac:dyDescent="0.2">
      <c r="A260" s="2">
        <v>16</v>
      </c>
      <c r="B260" s="1" t="s">
        <v>72</v>
      </c>
      <c r="C260" s="4">
        <v>43</v>
      </c>
      <c r="D260" s="8">
        <v>1.95</v>
      </c>
      <c r="E260" s="4">
        <v>16</v>
      </c>
      <c r="F260" s="8">
        <v>1.4</v>
      </c>
      <c r="G260" s="4">
        <v>27</v>
      </c>
      <c r="H260" s="8">
        <v>2.5499999999999998</v>
      </c>
      <c r="I260" s="4">
        <v>0</v>
      </c>
    </row>
    <row r="261" spans="1:9" x14ac:dyDescent="0.2">
      <c r="A261" s="2">
        <v>17</v>
      </c>
      <c r="B261" s="1" t="s">
        <v>83</v>
      </c>
      <c r="C261" s="4">
        <v>42</v>
      </c>
      <c r="D261" s="8">
        <v>1.91</v>
      </c>
      <c r="E261" s="4">
        <v>24</v>
      </c>
      <c r="F261" s="8">
        <v>2.11</v>
      </c>
      <c r="G261" s="4">
        <v>18</v>
      </c>
      <c r="H261" s="8">
        <v>1.7</v>
      </c>
      <c r="I261" s="4">
        <v>0</v>
      </c>
    </row>
    <row r="262" spans="1:9" x14ac:dyDescent="0.2">
      <c r="A262" s="2">
        <v>18</v>
      </c>
      <c r="B262" s="1" t="s">
        <v>96</v>
      </c>
      <c r="C262" s="4">
        <v>39</v>
      </c>
      <c r="D262" s="8">
        <v>1.77</v>
      </c>
      <c r="E262" s="4">
        <v>21</v>
      </c>
      <c r="F262" s="8">
        <v>1.84</v>
      </c>
      <c r="G262" s="4">
        <v>18</v>
      </c>
      <c r="H262" s="8">
        <v>1.7</v>
      </c>
      <c r="I262" s="4">
        <v>0</v>
      </c>
    </row>
    <row r="263" spans="1:9" x14ac:dyDescent="0.2">
      <c r="A263" s="2">
        <v>19</v>
      </c>
      <c r="B263" s="1" t="s">
        <v>89</v>
      </c>
      <c r="C263" s="4">
        <v>33</v>
      </c>
      <c r="D263" s="8">
        <v>1.5</v>
      </c>
      <c r="E263" s="4">
        <v>6</v>
      </c>
      <c r="F263" s="8">
        <v>0.53</v>
      </c>
      <c r="G263" s="4">
        <v>26</v>
      </c>
      <c r="H263" s="8">
        <v>2.4500000000000002</v>
      </c>
      <c r="I263" s="4">
        <v>1</v>
      </c>
    </row>
    <row r="264" spans="1:9" x14ac:dyDescent="0.2">
      <c r="A264" s="2">
        <v>20</v>
      </c>
      <c r="B264" s="1" t="s">
        <v>90</v>
      </c>
      <c r="C264" s="4">
        <v>32</v>
      </c>
      <c r="D264" s="8">
        <v>1.45</v>
      </c>
      <c r="E264" s="4">
        <v>0</v>
      </c>
      <c r="F264" s="8">
        <v>0</v>
      </c>
      <c r="G264" s="4">
        <v>32</v>
      </c>
      <c r="H264" s="8">
        <v>3.02</v>
      </c>
      <c r="I264" s="4">
        <v>0</v>
      </c>
    </row>
    <row r="265" spans="1:9" x14ac:dyDescent="0.2">
      <c r="A265" s="2">
        <v>20</v>
      </c>
      <c r="B265" s="1" t="s">
        <v>88</v>
      </c>
      <c r="C265" s="4">
        <v>32</v>
      </c>
      <c r="D265" s="8">
        <v>1.45</v>
      </c>
      <c r="E265" s="4">
        <v>17</v>
      </c>
      <c r="F265" s="8">
        <v>1.49</v>
      </c>
      <c r="G265" s="4">
        <v>15</v>
      </c>
      <c r="H265" s="8">
        <v>1.42</v>
      </c>
      <c r="I265" s="4">
        <v>0</v>
      </c>
    </row>
    <row r="266" spans="1:9" x14ac:dyDescent="0.2">
      <c r="A266" s="1"/>
      <c r="C266" s="4"/>
      <c r="D266" s="8"/>
      <c r="E266" s="4"/>
      <c r="F266" s="8"/>
      <c r="G266" s="4"/>
      <c r="H266" s="8"/>
      <c r="I266" s="4"/>
    </row>
    <row r="267" spans="1:9" x14ac:dyDescent="0.2">
      <c r="A267" s="1" t="s">
        <v>12</v>
      </c>
      <c r="C267" s="4"/>
      <c r="D267" s="8"/>
      <c r="E267" s="4"/>
      <c r="F267" s="8"/>
      <c r="G267" s="4"/>
      <c r="H267" s="8"/>
      <c r="I267" s="4"/>
    </row>
    <row r="268" spans="1:9" x14ac:dyDescent="0.2">
      <c r="A268" s="2">
        <v>1</v>
      </c>
      <c r="B268" s="1" t="s">
        <v>85</v>
      </c>
      <c r="C268" s="4">
        <v>85</v>
      </c>
      <c r="D268" s="8">
        <v>10.29</v>
      </c>
      <c r="E268" s="4">
        <v>82</v>
      </c>
      <c r="F268" s="8">
        <v>16.87</v>
      </c>
      <c r="G268" s="4">
        <v>3</v>
      </c>
      <c r="H268" s="8">
        <v>0.99</v>
      </c>
      <c r="I268" s="4">
        <v>0</v>
      </c>
    </row>
    <row r="269" spans="1:9" x14ac:dyDescent="0.2">
      <c r="A269" s="2">
        <v>2</v>
      </c>
      <c r="B269" s="1" t="s">
        <v>69</v>
      </c>
      <c r="C269" s="4">
        <v>73</v>
      </c>
      <c r="D269" s="8">
        <v>8.84</v>
      </c>
      <c r="E269" s="4">
        <v>29</v>
      </c>
      <c r="F269" s="8">
        <v>5.97</v>
      </c>
      <c r="G269" s="4">
        <v>44</v>
      </c>
      <c r="H269" s="8">
        <v>14.57</v>
      </c>
      <c r="I269" s="4">
        <v>0</v>
      </c>
    </row>
    <row r="270" spans="1:9" x14ac:dyDescent="0.2">
      <c r="A270" s="2">
        <v>3</v>
      </c>
      <c r="B270" s="1" t="s">
        <v>79</v>
      </c>
      <c r="C270" s="4">
        <v>72</v>
      </c>
      <c r="D270" s="8">
        <v>8.7200000000000006</v>
      </c>
      <c r="E270" s="4">
        <v>44</v>
      </c>
      <c r="F270" s="8">
        <v>9.0500000000000007</v>
      </c>
      <c r="G270" s="4">
        <v>28</v>
      </c>
      <c r="H270" s="8">
        <v>9.27</v>
      </c>
      <c r="I270" s="4">
        <v>0</v>
      </c>
    </row>
    <row r="271" spans="1:9" x14ac:dyDescent="0.2">
      <c r="A271" s="2">
        <v>4</v>
      </c>
      <c r="B271" s="1" t="s">
        <v>77</v>
      </c>
      <c r="C271" s="4">
        <v>58</v>
      </c>
      <c r="D271" s="8">
        <v>7.02</v>
      </c>
      <c r="E271" s="4">
        <v>39</v>
      </c>
      <c r="F271" s="8">
        <v>8.02</v>
      </c>
      <c r="G271" s="4">
        <v>18</v>
      </c>
      <c r="H271" s="8">
        <v>5.96</v>
      </c>
      <c r="I271" s="4">
        <v>1</v>
      </c>
    </row>
    <row r="272" spans="1:9" x14ac:dyDescent="0.2">
      <c r="A272" s="2">
        <v>5</v>
      </c>
      <c r="B272" s="1" t="s">
        <v>84</v>
      </c>
      <c r="C272" s="4">
        <v>56</v>
      </c>
      <c r="D272" s="8">
        <v>6.78</v>
      </c>
      <c r="E272" s="4">
        <v>51</v>
      </c>
      <c r="F272" s="8">
        <v>10.49</v>
      </c>
      <c r="G272" s="4">
        <v>4</v>
      </c>
      <c r="H272" s="8">
        <v>1.32</v>
      </c>
      <c r="I272" s="4">
        <v>1</v>
      </c>
    </row>
    <row r="273" spans="1:9" x14ac:dyDescent="0.2">
      <c r="A273" s="2">
        <v>6</v>
      </c>
      <c r="B273" s="1" t="s">
        <v>70</v>
      </c>
      <c r="C273" s="4">
        <v>38</v>
      </c>
      <c r="D273" s="8">
        <v>4.5999999999999996</v>
      </c>
      <c r="E273" s="4">
        <v>27</v>
      </c>
      <c r="F273" s="8">
        <v>5.56</v>
      </c>
      <c r="G273" s="4">
        <v>11</v>
      </c>
      <c r="H273" s="8">
        <v>3.64</v>
      </c>
      <c r="I273" s="4">
        <v>0</v>
      </c>
    </row>
    <row r="274" spans="1:9" x14ac:dyDescent="0.2">
      <c r="A274" s="2">
        <v>7</v>
      </c>
      <c r="B274" s="1" t="s">
        <v>98</v>
      </c>
      <c r="C274" s="4">
        <v>35</v>
      </c>
      <c r="D274" s="8">
        <v>4.24</v>
      </c>
      <c r="E274" s="4">
        <v>16</v>
      </c>
      <c r="F274" s="8">
        <v>3.29</v>
      </c>
      <c r="G274" s="4">
        <v>19</v>
      </c>
      <c r="H274" s="8">
        <v>6.29</v>
      </c>
      <c r="I274" s="4">
        <v>0</v>
      </c>
    </row>
    <row r="275" spans="1:9" x14ac:dyDescent="0.2">
      <c r="A275" s="2">
        <v>7</v>
      </c>
      <c r="B275" s="1" t="s">
        <v>81</v>
      </c>
      <c r="C275" s="4">
        <v>35</v>
      </c>
      <c r="D275" s="8">
        <v>4.24</v>
      </c>
      <c r="E275" s="4">
        <v>20</v>
      </c>
      <c r="F275" s="8">
        <v>4.12</v>
      </c>
      <c r="G275" s="4">
        <v>15</v>
      </c>
      <c r="H275" s="8">
        <v>4.97</v>
      </c>
      <c r="I275" s="4">
        <v>0</v>
      </c>
    </row>
    <row r="276" spans="1:9" x14ac:dyDescent="0.2">
      <c r="A276" s="2">
        <v>9</v>
      </c>
      <c r="B276" s="1" t="s">
        <v>71</v>
      </c>
      <c r="C276" s="4">
        <v>31</v>
      </c>
      <c r="D276" s="8">
        <v>3.75</v>
      </c>
      <c r="E276" s="4">
        <v>14</v>
      </c>
      <c r="F276" s="8">
        <v>2.88</v>
      </c>
      <c r="G276" s="4">
        <v>17</v>
      </c>
      <c r="H276" s="8">
        <v>5.63</v>
      </c>
      <c r="I276" s="4">
        <v>0</v>
      </c>
    </row>
    <row r="277" spans="1:9" x14ac:dyDescent="0.2">
      <c r="A277" s="2">
        <v>10</v>
      </c>
      <c r="B277" s="1" t="s">
        <v>78</v>
      </c>
      <c r="C277" s="4">
        <v>29</v>
      </c>
      <c r="D277" s="8">
        <v>3.51</v>
      </c>
      <c r="E277" s="4">
        <v>16</v>
      </c>
      <c r="F277" s="8">
        <v>3.29</v>
      </c>
      <c r="G277" s="4">
        <v>13</v>
      </c>
      <c r="H277" s="8">
        <v>4.3</v>
      </c>
      <c r="I277" s="4">
        <v>0</v>
      </c>
    </row>
    <row r="278" spans="1:9" x14ac:dyDescent="0.2">
      <c r="A278" s="2">
        <v>11</v>
      </c>
      <c r="B278" s="1" t="s">
        <v>86</v>
      </c>
      <c r="C278" s="4">
        <v>25</v>
      </c>
      <c r="D278" s="8">
        <v>3.03</v>
      </c>
      <c r="E278" s="4">
        <v>14</v>
      </c>
      <c r="F278" s="8">
        <v>2.88</v>
      </c>
      <c r="G278" s="4">
        <v>1</v>
      </c>
      <c r="H278" s="8">
        <v>0.33</v>
      </c>
      <c r="I278" s="4">
        <v>0</v>
      </c>
    </row>
    <row r="279" spans="1:9" x14ac:dyDescent="0.2">
      <c r="A279" s="2">
        <v>12</v>
      </c>
      <c r="B279" s="1" t="s">
        <v>76</v>
      </c>
      <c r="C279" s="4">
        <v>24</v>
      </c>
      <c r="D279" s="8">
        <v>2.91</v>
      </c>
      <c r="E279" s="4">
        <v>17</v>
      </c>
      <c r="F279" s="8">
        <v>3.5</v>
      </c>
      <c r="G279" s="4">
        <v>7</v>
      </c>
      <c r="H279" s="8">
        <v>2.3199999999999998</v>
      </c>
      <c r="I279" s="4">
        <v>0</v>
      </c>
    </row>
    <row r="280" spans="1:9" x14ac:dyDescent="0.2">
      <c r="A280" s="2">
        <v>13</v>
      </c>
      <c r="B280" s="1" t="s">
        <v>87</v>
      </c>
      <c r="C280" s="4">
        <v>20</v>
      </c>
      <c r="D280" s="8">
        <v>2.42</v>
      </c>
      <c r="E280" s="4">
        <v>17</v>
      </c>
      <c r="F280" s="8">
        <v>3.5</v>
      </c>
      <c r="G280" s="4">
        <v>2</v>
      </c>
      <c r="H280" s="8">
        <v>0.66</v>
      </c>
      <c r="I280" s="4">
        <v>0</v>
      </c>
    </row>
    <row r="281" spans="1:9" x14ac:dyDescent="0.2">
      <c r="A281" s="2">
        <v>14</v>
      </c>
      <c r="B281" s="1" t="s">
        <v>90</v>
      </c>
      <c r="C281" s="4">
        <v>18</v>
      </c>
      <c r="D281" s="8">
        <v>2.1800000000000002</v>
      </c>
      <c r="E281" s="4">
        <v>1</v>
      </c>
      <c r="F281" s="8">
        <v>0.21</v>
      </c>
      <c r="G281" s="4">
        <v>16</v>
      </c>
      <c r="H281" s="8">
        <v>5.3</v>
      </c>
      <c r="I281" s="4">
        <v>0</v>
      </c>
    </row>
    <row r="282" spans="1:9" x14ac:dyDescent="0.2">
      <c r="A282" s="2">
        <v>15</v>
      </c>
      <c r="B282" s="1" t="s">
        <v>97</v>
      </c>
      <c r="C282" s="4">
        <v>17</v>
      </c>
      <c r="D282" s="8">
        <v>2.06</v>
      </c>
      <c r="E282" s="4">
        <v>7</v>
      </c>
      <c r="F282" s="8">
        <v>1.44</v>
      </c>
      <c r="G282" s="4">
        <v>3</v>
      </c>
      <c r="H282" s="8">
        <v>0.99</v>
      </c>
      <c r="I282" s="4">
        <v>7</v>
      </c>
    </row>
    <row r="283" spans="1:9" x14ac:dyDescent="0.2">
      <c r="A283" s="2">
        <v>15</v>
      </c>
      <c r="B283" s="1" t="s">
        <v>83</v>
      </c>
      <c r="C283" s="4">
        <v>17</v>
      </c>
      <c r="D283" s="8">
        <v>2.06</v>
      </c>
      <c r="E283" s="4">
        <v>7</v>
      </c>
      <c r="F283" s="8">
        <v>1.44</v>
      </c>
      <c r="G283" s="4">
        <v>8</v>
      </c>
      <c r="H283" s="8">
        <v>2.65</v>
      </c>
      <c r="I283" s="4">
        <v>0</v>
      </c>
    </row>
    <row r="284" spans="1:9" x14ac:dyDescent="0.2">
      <c r="A284" s="2">
        <v>17</v>
      </c>
      <c r="B284" s="1" t="s">
        <v>99</v>
      </c>
      <c r="C284" s="4">
        <v>15</v>
      </c>
      <c r="D284" s="8">
        <v>1.82</v>
      </c>
      <c r="E284" s="4">
        <v>12</v>
      </c>
      <c r="F284" s="8">
        <v>2.4700000000000002</v>
      </c>
      <c r="G284" s="4">
        <v>3</v>
      </c>
      <c r="H284" s="8">
        <v>0.99</v>
      </c>
      <c r="I284" s="4">
        <v>0</v>
      </c>
    </row>
    <row r="285" spans="1:9" x14ac:dyDescent="0.2">
      <c r="A285" s="2">
        <v>18</v>
      </c>
      <c r="B285" s="1" t="s">
        <v>82</v>
      </c>
      <c r="C285" s="4">
        <v>13</v>
      </c>
      <c r="D285" s="8">
        <v>1.57</v>
      </c>
      <c r="E285" s="4">
        <v>10</v>
      </c>
      <c r="F285" s="8">
        <v>2.06</v>
      </c>
      <c r="G285" s="4">
        <v>3</v>
      </c>
      <c r="H285" s="8">
        <v>0.99</v>
      </c>
      <c r="I285" s="4">
        <v>0</v>
      </c>
    </row>
    <row r="286" spans="1:9" x14ac:dyDescent="0.2">
      <c r="A286" s="2">
        <v>19</v>
      </c>
      <c r="B286" s="1" t="s">
        <v>91</v>
      </c>
      <c r="C286" s="4">
        <v>9</v>
      </c>
      <c r="D286" s="8">
        <v>1.0900000000000001</v>
      </c>
      <c r="E286" s="4">
        <v>7</v>
      </c>
      <c r="F286" s="8">
        <v>1.44</v>
      </c>
      <c r="G286" s="4">
        <v>2</v>
      </c>
      <c r="H286" s="8">
        <v>0.66</v>
      </c>
      <c r="I286" s="4">
        <v>0</v>
      </c>
    </row>
    <row r="287" spans="1:9" x14ac:dyDescent="0.2">
      <c r="A287" s="2">
        <v>19</v>
      </c>
      <c r="B287" s="1" t="s">
        <v>94</v>
      </c>
      <c r="C287" s="4">
        <v>9</v>
      </c>
      <c r="D287" s="8">
        <v>1.0900000000000001</v>
      </c>
      <c r="E287" s="4">
        <v>5</v>
      </c>
      <c r="F287" s="8">
        <v>1.03</v>
      </c>
      <c r="G287" s="4">
        <v>4</v>
      </c>
      <c r="H287" s="8">
        <v>1.32</v>
      </c>
      <c r="I287" s="4">
        <v>0</v>
      </c>
    </row>
    <row r="288" spans="1:9" x14ac:dyDescent="0.2">
      <c r="A288" s="2">
        <v>19</v>
      </c>
      <c r="B288" s="1" t="s">
        <v>74</v>
      </c>
      <c r="C288" s="4">
        <v>9</v>
      </c>
      <c r="D288" s="8">
        <v>1.0900000000000001</v>
      </c>
      <c r="E288" s="4">
        <v>5</v>
      </c>
      <c r="F288" s="8">
        <v>1.03</v>
      </c>
      <c r="G288" s="4">
        <v>4</v>
      </c>
      <c r="H288" s="8">
        <v>1.32</v>
      </c>
      <c r="I288" s="4">
        <v>0</v>
      </c>
    </row>
    <row r="289" spans="1:9" x14ac:dyDescent="0.2">
      <c r="A289" s="2">
        <v>19</v>
      </c>
      <c r="B289" s="1" t="s">
        <v>95</v>
      </c>
      <c r="C289" s="4">
        <v>9</v>
      </c>
      <c r="D289" s="8">
        <v>1.0900000000000001</v>
      </c>
      <c r="E289" s="4">
        <v>1</v>
      </c>
      <c r="F289" s="8">
        <v>0.21</v>
      </c>
      <c r="G289" s="4">
        <v>5</v>
      </c>
      <c r="H289" s="8">
        <v>1.66</v>
      </c>
      <c r="I289" s="4">
        <v>0</v>
      </c>
    </row>
    <row r="290" spans="1:9" x14ac:dyDescent="0.2">
      <c r="A290" s="1"/>
      <c r="C290" s="4"/>
      <c r="D290" s="8"/>
      <c r="E290" s="4"/>
      <c r="F290" s="8"/>
      <c r="G290" s="4"/>
      <c r="H290" s="8"/>
      <c r="I290" s="4"/>
    </row>
    <row r="291" spans="1:9" x14ac:dyDescent="0.2">
      <c r="A291" s="1" t="s">
        <v>13</v>
      </c>
      <c r="C291" s="4"/>
      <c r="D291" s="8"/>
      <c r="E291" s="4"/>
      <c r="F291" s="8"/>
      <c r="G291" s="4"/>
      <c r="H291" s="8"/>
      <c r="I291" s="4"/>
    </row>
    <row r="292" spans="1:9" x14ac:dyDescent="0.2">
      <c r="A292" s="2">
        <v>1</v>
      </c>
      <c r="B292" s="1" t="s">
        <v>84</v>
      </c>
      <c r="C292" s="4">
        <v>625</v>
      </c>
      <c r="D292" s="8">
        <v>11.48</v>
      </c>
      <c r="E292" s="4">
        <v>543</v>
      </c>
      <c r="F292" s="8">
        <v>21.52</v>
      </c>
      <c r="G292" s="4">
        <v>82</v>
      </c>
      <c r="H292" s="8">
        <v>2.84</v>
      </c>
      <c r="I292" s="4">
        <v>0</v>
      </c>
    </row>
    <row r="293" spans="1:9" x14ac:dyDescent="0.2">
      <c r="A293" s="2">
        <v>2</v>
      </c>
      <c r="B293" s="1" t="s">
        <v>85</v>
      </c>
      <c r="C293" s="4">
        <v>524</v>
      </c>
      <c r="D293" s="8">
        <v>9.6199999999999992</v>
      </c>
      <c r="E293" s="4">
        <v>437</v>
      </c>
      <c r="F293" s="8">
        <v>17.32</v>
      </c>
      <c r="G293" s="4">
        <v>87</v>
      </c>
      <c r="H293" s="8">
        <v>3.01</v>
      </c>
      <c r="I293" s="4">
        <v>0</v>
      </c>
    </row>
    <row r="294" spans="1:9" x14ac:dyDescent="0.2">
      <c r="A294" s="2">
        <v>3</v>
      </c>
      <c r="B294" s="1" t="s">
        <v>81</v>
      </c>
      <c r="C294" s="4">
        <v>406</v>
      </c>
      <c r="D294" s="8">
        <v>7.46</v>
      </c>
      <c r="E294" s="4">
        <v>151</v>
      </c>
      <c r="F294" s="8">
        <v>5.98</v>
      </c>
      <c r="G294" s="4">
        <v>255</v>
      </c>
      <c r="H294" s="8">
        <v>8.82</v>
      </c>
      <c r="I294" s="4">
        <v>0</v>
      </c>
    </row>
    <row r="295" spans="1:9" x14ac:dyDescent="0.2">
      <c r="A295" s="2">
        <v>4</v>
      </c>
      <c r="B295" s="1" t="s">
        <v>79</v>
      </c>
      <c r="C295" s="4">
        <v>331</v>
      </c>
      <c r="D295" s="8">
        <v>6.08</v>
      </c>
      <c r="E295" s="4">
        <v>147</v>
      </c>
      <c r="F295" s="8">
        <v>5.83</v>
      </c>
      <c r="G295" s="4">
        <v>184</v>
      </c>
      <c r="H295" s="8">
        <v>6.36</v>
      </c>
      <c r="I295" s="4">
        <v>0</v>
      </c>
    </row>
    <row r="296" spans="1:9" x14ac:dyDescent="0.2">
      <c r="A296" s="2">
        <v>5</v>
      </c>
      <c r="B296" s="1" t="s">
        <v>77</v>
      </c>
      <c r="C296" s="4">
        <v>273</v>
      </c>
      <c r="D296" s="8">
        <v>5.01</v>
      </c>
      <c r="E296" s="4">
        <v>161</v>
      </c>
      <c r="F296" s="8">
        <v>6.38</v>
      </c>
      <c r="G296" s="4">
        <v>112</v>
      </c>
      <c r="H296" s="8">
        <v>3.87</v>
      </c>
      <c r="I296" s="4">
        <v>0</v>
      </c>
    </row>
    <row r="297" spans="1:9" x14ac:dyDescent="0.2">
      <c r="A297" s="2">
        <v>6</v>
      </c>
      <c r="B297" s="1" t="s">
        <v>69</v>
      </c>
      <c r="C297" s="4">
        <v>259</v>
      </c>
      <c r="D297" s="8">
        <v>4.76</v>
      </c>
      <c r="E297" s="4">
        <v>40</v>
      </c>
      <c r="F297" s="8">
        <v>1.59</v>
      </c>
      <c r="G297" s="4">
        <v>219</v>
      </c>
      <c r="H297" s="8">
        <v>7.58</v>
      </c>
      <c r="I297" s="4">
        <v>0</v>
      </c>
    </row>
    <row r="298" spans="1:9" x14ac:dyDescent="0.2">
      <c r="A298" s="2">
        <v>7</v>
      </c>
      <c r="B298" s="1" t="s">
        <v>70</v>
      </c>
      <c r="C298" s="4">
        <v>238</v>
      </c>
      <c r="D298" s="8">
        <v>4.37</v>
      </c>
      <c r="E298" s="4">
        <v>79</v>
      </c>
      <c r="F298" s="8">
        <v>3.13</v>
      </c>
      <c r="G298" s="4">
        <v>159</v>
      </c>
      <c r="H298" s="8">
        <v>5.5</v>
      </c>
      <c r="I298" s="4">
        <v>0</v>
      </c>
    </row>
    <row r="299" spans="1:9" x14ac:dyDescent="0.2">
      <c r="A299" s="2">
        <v>8</v>
      </c>
      <c r="B299" s="1" t="s">
        <v>71</v>
      </c>
      <c r="C299" s="4">
        <v>197</v>
      </c>
      <c r="D299" s="8">
        <v>3.62</v>
      </c>
      <c r="E299" s="4">
        <v>29</v>
      </c>
      <c r="F299" s="8">
        <v>1.1499999999999999</v>
      </c>
      <c r="G299" s="4">
        <v>168</v>
      </c>
      <c r="H299" s="8">
        <v>5.81</v>
      </c>
      <c r="I299" s="4">
        <v>0</v>
      </c>
    </row>
    <row r="300" spans="1:9" x14ac:dyDescent="0.2">
      <c r="A300" s="2">
        <v>9</v>
      </c>
      <c r="B300" s="1" t="s">
        <v>78</v>
      </c>
      <c r="C300" s="4">
        <v>185</v>
      </c>
      <c r="D300" s="8">
        <v>3.4</v>
      </c>
      <c r="E300" s="4">
        <v>80</v>
      </c>
      <c r="F300" s="8">
        <v>3.17</v>
      </c>
      <c r="G300" s="4">
        <v>105</v>
      </c>
      <c r="H300" s="8">
        <v>3.63</v>
      </c>
      <c r="I300" s="4">
        <v>0</v>
      </c>
    </row>
    <row r="301" spans="1:9" x14ac:dyDescent="0.2">
      <c r="A301" s="2">
        <v>10</v>
      </c>
      <c r="B301" s="1" t="s">
        <v>87</v>
      </c>
      <c r="C301" s="4">
        <v>175</v>
      </c>
      <c r="D301" s="8">
        <v>3.21</v>
      </c>
      <c r="E301" s="4">
        <v>158</v>
      </c>
      <c r="F301" s="8">
        <v>6.26</v>
      </c>
      <c r="G301" s="4">
        <v>16</v>
      </c>
      <c r="H301" s="8">
        <v>0.55000000000000004</v>
      </c>
      <c r="I301" s="4">
        <v>1</v>
      </c>
    </row>
    <row r="302" spans="1:9" x14ac:dyDescent="0.2">
      <c r="A302" s="2">
        <v>11</v>
      </c>
      <c r="B302" s="1" t="s">
        <v>82</v>
      </c>
      <c r="C302" s="4">
        <v>168</v>
      </c>
      <c r="D302" s="8">
        <v>3.09</v>
      </c>
      <c r="E302" s="4">
        <v>112</v>
      </c>
      <c r="F302" s="8">
        <v>4.4400000000000004</v>
      </c>
      <c r="G302" s="4">
        <v>55</v>
      </c>
      <c r="H302" s="8">
        <v>1.9</v>
      </c>
      <c r="I302" s="4">
        <v>1</v>
      </c>
    </row>
    <row r="303" spans="1:9" x14ac:dyDescent="0.2">
      <c r="A303" s="2">
        <v>12</v>
      </c>
      <c r="B303" s="1" t="s">
        <v>86</v>
      </c>
      <c r="C303" s="4">
        <v>157</v>
      </c>
      <c r="D303" s="8">
        <v>2.88</v>
      </c>
      <c r="E303" s="4">
        <v>105</v>
      </c>
      <c r="F303" s="8">
        <v>4.16</v>
      </c>
      <c r="G303" s="4">
        <v>48</v>
      </c>
      <c r="H303" s="8">
        <v>1.66</v>
      </c>
      <c r="I303" s="4">
        <v>0</v>
      </c>
    </row>
    <row r="304" spans="1:9" x14ac:dyDescent="0.2">
      <c r="A304" s="2">
        <v>13</v>
      </c>
      <c r="B304" s="1" t="s">
        <v>76</v>
      </c>
      <c r="C304" s="4">
        <v>126</v>
      </c>
      <c r="D304" s="8">
        <v>2.31</v>
      </c>
      <c r="E304" s="4">
        <v>42</v>
      </c>
      <c r="F304" s="8">
        <v>1.66</v>
      </c>
      <c r="G304" s="4">
        <v>84</v>
      </c>
      <c r="H304" s="8">
        <v>2.91</v>
      </c>
      <c r="I304" s="4">
        <v>0</v>
      </c>
    </row>
    <row r="305" spans="1:9" x14ac:dyDescent="0.2">
      <c r="A305" s="2">
        <v>14</v>
      </c>
      <c r="B305" s="1" t="s">
        <v>83</v>
      </c>
      <c r="C305" s="4">
        <v>112</v>
      </c>
      <c r="D305" s="8">
        <v>2.06</v>
      </c>
      <c r="E305" s="4">
        <v>41</v>
      </c>
      <c r="F305" s="8">
        <v>1.63</v>
      </c>
      <c r="G305" s="4">
        <v>70</v>
      </c>
      <c r="H305" s="8">
        <v>2.42</v>
      </c>
      <c r="I305" s="4">
        <v>0</v>
      </c>
    </row>
    <row r="306" spans="1:9" x14ac:dyDescent="0.2">
      <c r="A306" s="2">
        <v>15</v>
      </c>
      <c r="B306" s="1" t="s">
        <v>80</v>
      </c>
      <c r="C306" s="4">
        <v>92</v>
      </c>
      <c r="D306" s="8">
        <v>1.69</v>
      </c>
      <c r="E306" s="4">
        <v>14</v>
      </c>
      <c r="F306" s="8">
        <v>0.55000000000000004</v>
      </c>
      <c r="G306" s="4">
        <v>78</v>
      </c>
      <c r="H306" s="8">
        <v>2.7</v>
      </c>
      <c r="I306" s="4">
        <v>0</v>
      </c>
    </row>
    <row r="307" spans="1:9" x14ac:dyDescent="0.2">
      <c r="A307" s="2">
        <v>16</v>
      </c>
      <c r="B307" s="1" t="s">
        <v>74</v>
      </c>
      <c r="C307" s="4">
        <v>90</v>
      </c>
      <c r="D307" s="8">
        <v>1.65</v>
      </c>
      <c r="E307" s="4">
        <v>7</v>
      </c>
      <c r="F307" s="8">
        <v>0.28000000000000003</v>
      </c>
      <c r="G307" s="4">
        <v>83</v>
      </c>
      <c r="H307" s="8">
        <v>2.87</v>
      </c>
      <c r="I307" s="4">
        <v>0</v>
      </c>
    </row>
    <row r="308" spans="1:9" x14ac:dyDescent="0.2">
      <c r="A308" s="2">
        <v>17</v>
      </c>
      <c r="B308" s="1" t="s">
        <v>72</v>
      </c>
      <c r="C308" s="4">
        <v>89</v>
      </c>
      <c r="D308" s="8">
        <v>1.63</v>
      </c>
      <c r="E308" s="4">
        <v>23</v>
      </c>
      <c r="F308" s="8">
        <v>0.91</v>
      </c>
      <c r="G308" s="4">
        <v>66</v>
      </c>
      <c r="H308" s="8">
        <v>2.2799999999999998</v>
      </c>
      <c r="I308" s="4">
        <v>0</v>
      </c>
    </row>
    <row r="309" spans="1:9" x14ac:dyDescent="0.2">
      <c r="A309" s="2">
        <v>18</v>
      </c>
      <c r="B309" s="1" t="s">
        <v>100</v>
      </c>
      <c r="C309" s="4">
        <v>87</v>
      </c>
      <c r="D309" s="8">
        <v>1.6</v>
      </c>
      <c r="E309" s="4">
        <v>28</v>
      </c>
      <c r="F309" s="8">
        <v>1.1100000000000001</v>
      </c>
      <c r="G309" s="4">
        <v>59</v>
      </c>
      <c r="H309" s="8">
        <v>2.04</v>
      </c>
      <c r="I309" s="4">
        <v>0</v>
      </c>
    </row>
    <row r="310" spans="1:9" x14ac:dyDescent="0.2">
      <c r="A310" s="2">
        <v>19</v>
      </c>
      <c r="B310" s="1" t="s">
        <v>75</v>
      </c>
      <c r="C310" s="4">
        <v>82</v>
      </c>
      <c r="D310" s="8">
        <v>1.51</v>
      </c>
      <c r="E310" s="4">
        <v>10</v>
      </c>
      <c r="F310" s="8">
        <v>0.4</v>
      </c>
      <c r="G310" s="4">
        <v>72</v>
      </c>
      <c r="H310" s="8">
        <v>2.4900000000000002</v>
      </c>
      <c r="I310" s="4">
        <v>0</v>
      </c>
    </row>
    <row r="311" spans="1:9" x14ac:dyDescent="0.2">
      <c r="A311" s="2">
        <v>20</v>
      </c>
      <c r="B311" s="1" t="s">
        <v>73</v>
      </c>
      <c r="C311" s="4">
        <v>78</v>
      </c>
      <c r="D311" s="8">
        <v>1.43</v>
      </c>
      <c r="E311" s="4">
        <v>20</v>
      </c>
      <c r="F311" s="8">
        <v>0.79</v>
      </c>
      <c r="G311" s="4">
        <v>58</v>
      </c>
      <c r="H311" s="8">
        <v>2.0099999999999998</v>
      </c>
      <c r="I311" s="4">
        <v>0</v>
      </c>
    </row>
    <row r="312" spans="1:9" x14ac:dyDescent="0.2">
      <c r="A312" s="2">
        <v>20</v>
      </c>
      <c r="B312" s="1" t="s">
        <v>93</v>
      </c>
      <c r="C312" s="4">
        <v>78</v>
      </c>
      <c r="D312" s="8">
        <v>1.43</v>
      </c>
      <c r="E312" s="4">
        <v>14</v>
      </c>
      <c r="F312" s="8">
        <v>0.55000000000000004</v>
      </c>
      <c r="G312" s="4">
        <v>64</v>
      </c>
      <c r="H312" s="8">
        <v>2.21</v>
      </c>
      <c r="I312" s="4">
        <v>0</v>
      </c>
    </row>
    <row r="313" spans="1:9" x14ac:dyDescent="0.2">
      <c r="A313" s="1"/>
      <c r="C313" s="4"/>
      <c r="D313" s="8"/>
      <c r="E313" s="4"/>
      <c r="F313" s="8"/>
      <c r="G313" s="4"/>
      <c r="H313" s="8"/>
      <c r="I313" s="4"/>
    </row>
    <row r="314" spans="1:9" x14ac:dyDescent="0.2">
      <c r="A314" s="1" t="s">
        <v>14</v>
      </c>
      <c r="C314" s="4"/>
      <c r="D314" s="8"/>
      <c r="E314" s="4"/>
      <c r="F314" s="8"/>
      <c r="G314" s="4"/>
      <c r="H314" s="8"/>
      <c r="I314" s="4"/>
    </row>
    <row r="315" spans="1:9" x14ac:dyDescent="0.2">
      <c r="A315" s="2">
        <v>1</v>
      </c>
      <c r="B315" s="1" t="s">
        <v>84</v>
      </c>
      <c r="C315" s="4">
        <v>286</v>
      </c>
      <c r="D315" s="8">
        <v>18.78</v>
      </c>
      <c r="E315" s="4">
        <v>231</v>
      </c>
      <c r="F315" s="8">
        <v>29.39</v>
      </c>
      <c r="G315" s="4">
        <v>55</v>
      </c>
      <c r="H315" s="8">
        <v>7.58</v>
      </c>
      <c r="I315" s="4">
        <v>0</v>
      </c>
    </row>
    <row r="316" spans="1:9" x14ac:dyDescent="0.2">
      <c r="A316" s="2">
        <v>2</v>
      </c>
      <c r="B316" s="1" t="s">
        <v>81</v>
      </c>
      <c r="C316" s="4">
        <v>186</v>
      </c>
      <c r="D316" s="8">
        <v>12.21</v>
      </c>
      <c r="E316" s="4">
        <v>103</v>
      </c>
      <c r="F316" s="8">
        <v>13.1</v>
      </c>
      <c r="G316" s="4">
        <v>82</v>
      </c>
      <c r="H316" s="8">
        <v>11.29</v>
      </c>
      <c r="I316" s="4">
        <v>1</v>
      </c>
    </row>
    <row r="317" spans="1:9" x14ac:dyDescent="0.2">
      <c r="A317" s="2">
        <v>3</v>
      </c>
      <c r="B317" s="1" t="s">
        <v>85</v>
      </c>
      <c r="C317" s="4">
        <v>131</v>
      </c>
      <c r="D317" s="8">
        <v>8.6</v>
      </c>
      <c r="E317" s="4">
        <v>103</v>
      </c>
      <c r="F317" s="8">
        <v>13.1</v>
      </c>
      <c r="G317" s="4">
        <v>28</v>
      </c>
      <c r="H317" s="8">
        <v>3.86</v>
      </c>
      <c r="I317" s="4">
        <v>0</v>
      </c>
    </row>
    <row r="318" spans="1:9" x14ac:dyDescent="0.2">
      <c r="A318" s="2">
        <v>4</v>
      </c>
      <c r="B318" s="1" t="s">
        <v>77</v>
      </c>
      <c r="C318" s="4">
        <v>129</v>
      </c>
      <c r="D318" s="8">
        <v>8.4700000000000006</v>
      </c>
      <c r="E318" s="4">
        <v>70</v>
      </c>
      <c r="F318" s="8">
        <v>8.91</v>
      </c>
      <c r="G318" s="4">
        <v>59</v>
      </c>
      <c r="H318" s="8">
        <v>8.1300000000000008</v>
      </c>
      <c r="I318" s="4">
        <v>0</v>
      </c>
    </row>
    <row r="319" spans="1:9" x14ac:dyDescent="0.2">
      <c r="A319" s="2">
        <v>5</v>
      </c>
      <c r="B319" s="1" t="s">
        <v>69</v>
      </c>
      <c r="C319" s="4">
        <v>76</v>
      </c>
      <c r="D319" s="8">
        <v>4.99</v>
      </c>
      <c r="E319" s="4">
        <v>18</v>
      </c>
      <c r="F319" s="8">
        <v>2.29</v>
      </c>
      <c r="G319" s="4">
        <v>58</v>
      </c>
      <c r="H319" s="8">
        <v>7.99</v>
      </c>
      <c r="I319" s="4">
        <v>0</v>
      </c>
    </row>
    <row r="320" spans="1:9" x14ac:dyDescent="0.2">
      <c r="A320" s="2">
        <v>6</v>
      </c>
      <c r="B320" s="1" t="s">
        <v>79</v>
      </c>
      <c r="C320" s="4">
        <v>74</v>
      </c>
      <c r="D320" s="8">
        <v>4.8600000000000003</v>
      </c>
      <c r="E320" s="4">
        <v>32</v>
      </c>
      <c r="F320" s="8">
        <v>4.07</v>
      </c>
      <c r="G320" s="4">
        <v>42</v>
      </c>
      <c r="H320" s="8">
        <v>5.79</v>
      </c>
      <c r="I320" s="4">
        <v>0</v>
      </c>
    </row>
    <row r="321" spans="1:9" x14ac:dyDescent="0.2">
      <c r="A321" s="2">
        <v>7</v>
      </c>
      <c r="B321" s="1" t="s">
        <v>70</v>
      </c>
      <c r="C321" s="4">
        <v>67</v>
      </c>
      <c r="D321" s="8">
        <v>4.4000000000000004</v>
      </c>
      <c r="E321" s="4">
        <v>31</v>
      </c>
      <c r="F321" s="8">
        <v>3.94</v>
      </c>
      <c r="G321" s="4">
        <v>36</v>
      </c>
      <c r="H321" s="8">
        <v>4.96</v>
      </c>
      <c r="I321" s="4">
        <v>0</v>
      </c>
    </row>
    <row r="322" spans="1:9" x14ac:dyDescent="0.2">
      <c r="A322" s="2">
        <v>8</v>
      </c>
      <c r="B322" s="1" t="s">
        <v>71</v>
      </c>
      <c r="C322" s="4">
        <v>56</v>
      </c>
      <c r="D322" s="8">
        <v>3.68</v>
      </c>
      <c r="E322" s="4">
        <v>11</v>
      </c>
      <c r="F322" s="8">
        <v>1.4</v>
      </c>
      <c r="G322" s="4">
        <v>45</v>
      </c>
      <c r="H322" s="8">
        <v>6.2</v>
      </c>
      <c r="I322" s="4">
        <v>0</v>
      </c>
    </row>
    <row r="323" spans="1:9" x14ac:dyDescent="0.2">
      <c r="A323" s="2">
        <v>9</v>
      </c>
      <c r="B323" s="1" t="s">
        <v>99</v>
      </c>
      <c r="C323" s="4">
        <v>54</v>
      </c>
      <c r="D323" s="8">
        <v>3.55</v>
      </c>
      <c r="E323" s="4">
        <v>18</v>
      </c>
      <c r="F323" s="8">
        <v>2.29</v>
      </c>
      <c r="G323" s="4">
        <v>36</v>
      </c>
      <c r="H323" s="8">
        <v>4.96</v>
      </c>
      <c r="I323" s="4">
        <v>0</v>
      </c>
    </row>
    <row r="324" spans="1:9" x14ac:dyDescent="0.2">
      <c r="A324" s="2">
        <v>10</v>
      </c>
      <c r="B324" s="1" t="s">
        <v>76</v>
      </c>
      <c r="C324" s="4">
        <v>43</v>
      </c>
      <c r="D324" s="8">
        <v>2.82</v>
      </c>
      <c r="E324" s="4">
        <v>23</v>
      </c>
      <c r="F324" s="8">
        <v>2.93</v>
      </c>
      <c r="G324" s="4">
        <v>20</v>
      </c>
      <c r="H324" s="8">
        <v>2.75</v>
      </c>
      <c r="I324" s="4">
        <v>0</v>
      </c>
    </row>
    <row r="325" spans="1:9" x14ac:dyDescent="0.2">
      <c r="A325" s="2">
        <v>11</v>
      </c>
      <c r="B325" s="1" t="s">
        <v>87</v>
      </c>
      <c r="C325" s="4">
        <v>39</v>
      </c>
      <c r="D325" s="8">
        <v>2.56</v>
      </c>
      <c r="E325" s="4">
        <v>30</v>
      </c>
      <c r="F325" s="8">
        <v>3.82</v>
      </c>
      <c r="G325" s="4">
        <v>9</v>
      </c>
      <c r="H325" s="8">
        <v>1.24</v>
      </c>
      <c r="I325" s="4">
        <v>0</v>
      </c>
    </row>
    <row r="326" spans="1:9" x14ac:dyDescent="0.2">
      <c r="A326" s="2">
        <v>12</v>
      </c>
      <c r="B326" s="1" t="s">
        <v>93</v>
      </c>
      <c r="C326" s="4">
        <v>33</v>
      </c>
      <c r="D326" s="8">
        <v>2.17</v>
      </c>
      <c r="E326" s="4">
        <v>11</v>
      </c>
      <c r="F326" s="8">
        <v>1.4</v>
      </c>
      <c r="G326" s="4">
        <v>22</v>
      </c>
      <c r="H326" s="8">
        <v>3.03</v>
      </c>
      <c r="I326" s="4">
        <v>0</v>
      </c>
    </row>
    <row r="327" spans="1:9" x14ac:dyDescent="0.2">
      <c r="A327" s="2">
        <v>13</v>
      </c>
      <c r="B327" s="1" t="s">
        <v>100</v>
      </c>
      <c r="C327" s="4">
        <v>29</v>
      </c>
      <c r="D327" s="8">
        <v>1.9</v>
      </c>
      <c r="E327" s="4">
        <v>9</v>
      </c>
      <c r="F327" s="8">
        <v>1.1499999999999999</v>
      </c>
      <c r="G327" s="4">
        <v>20</v>
      </c>
      <c r="H327" s="8">
        <v>2.75</v>
      </c>
      <c r="I327" s="4">
        <v>0</v>
      </c>
    </row>
    <row r="328" spans="1:9" x14ac:dyDescent="0.2">
      <c r="A328" s="2">
        <v>14</v>
      </c>
      <c r="B328" s="1" t="s">
        <v>78</v>
      </c>
      <c r="C328" s="4">
        <v>28</v>
      </c>
      <c r="D328" s="8">
        <v>1.84</v>
      </c>
      <c r="E328" s="4">
        <v>14</v>
      </c>
      <c r="F328" s="8">
        <v>1.78</v>
      </c>
      <c r="G328" s="4">
        <v>14</v>
      </c>
      <c r="H328" s="8">
        <v>1.93</v>
      </c>
      <c r="I328" s="4">
        <v>0</v>
      </c>
    </row>
    <row r="329" spans="1:9" x14ac:dyDescent="0.2">
      <c r="A329" s="2">
        <v>14</v>
      </c>
      <c r="B329" s="1" t="s">
        <v>83</v>
      </c>
      <c r="C329" s="4">
        <v>28</v>
      </c>
      <c r="D329" s="8">
        <v>1.84</v>
      </c>
      <c r="E329" s="4">
        <v>12</v>
      </c>
      <c r="F329" s="8">
        <v>1.53</v>
      </c>
      <c r="G329" s="4">
        <v>16</v>
      </c>
      <c r="H329" s="8">
        <v>2.2000000000000002</v>
      </c>
      <c r="I329" s="4">
        <v>0</v>
      </c>
    </row>
    <row r="330" spans="1:9" x14ac:dyDescent="0.2">
      <c r="A330" s="2">
        <v>16</v>
      </c>
      <c r="B330" s="1" t="s">
        <v>82</v>
      </c>
      <c r="C330" s="4">
        <v>26</v>
      </c>
      <c r="D330" s="8">
        <v>1.71</v>
      </c>
      <c r="E330" s="4">
        <v>14</v>
      </c>
      <c r="F330" s="8">
        <v>1.78</v>
      </c>
      <c r="G330" s="4">
        <v>12</v>
      </c>
      <c r="H330" s="8">
        <v>1.65</v>
      </c>
      <c r="I330" s="4">
        <v>0</v>
      </c>
    </row>
    <row r="331" spans="1:9" x14ac:dyDescent="0.2">
      <c r="A331" s="2">
        <v>17</v>
      </c>
      <c r="B331" s="1" t="s">
        <v>86</v>
      </c>
      <c r="C331" s="4">
        <v>25</v>
      </c>
      <c r="D331" s="8">
        <v>1.64</v>
      </c>
      <c r="E331" s="4">
        <v>13</v>
      </c>
      <c r="F331" s="8">
        <v>1.65</v>
      </c>
      <c r="G331" s="4">
        <v>9</v>
      </c>
      <c r="H331" s="8">
        <v>1.24</v>
      </c>
      <c r="I331" s="4">
        <v>0</v>
      </c>
    </row>
    <row r="332" spans="1:9" x14ac:dyDescent="0.2">
      <c r="A332" s="2">
        <v>18</v>
      </c>
      <c r="B332" s="1" t="s">
        <v>101</v>
      </c>
      <c r="C332" s="4">
        <v>21</v>
      </c>
      <c r="D332" s="8">
        <v>1.38</v>
      </c>
      <c r="E332" s="4">
        <v>13</v>
      </c>
      <c r="F332" s="8">
        <v>1.65</v>
      </c>
      <c r="G332" s="4">
        <v>7</v>
      </c>
      <c r="H332" s="8">
        <v>0.96</v>
      </c>
      <c r="I332" s="4">
        <v>1</v>
      </c>
    </row>
    <row r="333" spans="1:9" x14ac:dyDescent="0.2">
      <c r="A333" s="2">
        <v>19</v>
      </c>
      <c r="B333" s="1" t="s">
        <v>80</v>
      </c>
      <c r="C333" s="4">
        <v>19</v>
      </c>
      <c r="D333" s="8">
        <v>1.25</v>
      </c>
      <c r="E333" s="4">
        <v>1</v>
      </c>
      <c r="F333" s="8">
        <v>0.13</v>
      </c>
      <c r="G333" s="4">
        <v>18</v>
      </c>
      <c r="H333" s="8">
        <v>2.48</v>
      </c>
      <c r="I333" s="4">
        <v>0</v>
      </c>
    </row>
    <row r="334" spans="1:9" x14ac:dyDescent="0.2">
      <c r="A334" s="2">
        <v>19</v>
      </c>
      <c r="B334" s="1" t="s">
        <v>102</v>
      </c>
      <c r="C334" s="4">
        <v>19</v>
      </c>
      <c r="D334" s="8">
        <v>1.25</v>
      </c>
      <c r="E334" s="4">
        <v>1</v>
      </c>
      <c r="F334" s="8">
        <v>0.13</v>
      </c>
      <c r="G334" s="4">
        <v>17</v>
      </c>
      <c r="H334" s="8">
        <v>2.34</v>
      </c>
      <c r="I334" s="4">
        <v>1</v>
      </c>
    </row>
    <row r="335" spans="1:9" x14ac:dyDescent="0.2">
      <c r="A335" s="1"/>
      <c r="C335" s="4"/>
      <c r="D335" s="8"/>
      <c r="E335" s="4"/>
      <c r="F335" s="8"/>
      <c r="G335" s="4"/>
      <c r="H335" s="8"/>
      <c r="I335" s="4"/>
    </row>
    <row r="336" spans="1:9" x14ac:dyDescent="0.2">
      <c r="A336" s="1" t="s">
        <v>15</v>
      </c>
      <c r="C336" s="4"/>
      <c r="D336" s="8"/>
      <c r="E336" s="4"/>
      <c r="F336" s="8"/>
      <c r="G336" s="4"/>
      <c r="H336" s="8"/>
      <c r="I336" s="4"/>
    </row>
    <row r="337" spans="1:9" x14ac:dyDescent="0.2">
      <c r="A337" s="2">
        <v>1</v>
      </c>
      <c r="B337" s="1" t="s">
        <v>84</v>
      </c>
      <c r="C337" s="4">
        <v>439</v>
      </c>
      <c r="D337" s="8">
        <v>13.89</v>
      </c>
      <c r="E337" s="4">
        <v>390</v>
      </c>
      <c r="F337" s="8">
        <v>22.6</v>
      </c>
      <c r="G337" s="4">
        <v>49</v>
      </c>
      <c r="H337" s="8">
        <v>3.51</v>
      </c>
      <c r="I337" s="4">
        <v>0</v>
      </c>
    </row>
    <row r="338" spans="1:9" x14ac:dyDescent="0.2">
      <c r="A338" s="2">
        <v>2</v>
      </c>
      <c r="B338" s="1" t="s">
        <v>81</v>
      </c>
      <c r="C338" s="4">
        <v>418</v>
      </c>
      <c r="D338" s="8">
        <v>13.22</v>
      </c>
      <c r="E338" s="4">
        <v>234</v>
      </c>
      <c r="F338" s="8">
        <v>13.56</v>
      </c>
      <c r="G338" s="4">
        <v>184</v>
      </c>
      <c r="H338" s="8">
        <v>13.18</v>
      </c>
      <c r="I338" s="4">
        <v>0</v>
      </c>
    </row>
    <row r="339" spans="1:9" x14ac:dyDescent="0.2">
      <c r="A339" s="2">
        <v>3</v>
      </c>
      <c r="B339" s="1" t="s">
        <v>85</v>
      </c>
      <c r="C339" s="4">
        <v>302</v>
      </c>
      <c r="D339" s="8">
        <v>9.5500000000000007</v>
      </c>
      <c r="E339" s="4">
        <v>254</v>
      </c>
      <c r="F339" s="8">
        <v>14.72</v>
      </c>
      <c r="G339" s="4">
        <v>48</v>
      </c>
      <c r="H339" s="8">
        <v>3.44</v>
      </c>
      <c r="I339" s="4">
        <v>0</v>
      </c>
    </row>
    <row r="340" spans="1:9" x14ac:dyDescent="0.2">
      <c r="A340" s="2">
        <v>4</v>
      </c>
      <c r="B340" s="1" t="s">
        <v>79</v>
      </c>
      <c r="C340" s="4">
        <v>171</v>
      </c>
      <c r="D340" s="8">
        <v>5.41</v>
      </c>
      <c r="E340" s="4">
        <v>81</v>
      </c>
      <c r="F340" s="8">
        <v>4.6900000000000004</v>
      </c>
      <c r="G340" s="4">
        <v>90</v>
      </c>
      <c r="H340" s="8">
        <v>6.45</v>
      </c>
      <c r="I340" s="4">
        <v>0</v>
      </c>
    </row>
    <row r="341" spans="1:9" x14ac:dyDescent="0.2">
      <c r="A341" s="2">
        <v>5</v>
      </c>
      <c r="B341" s="1" t="s">
        <v>86</v>
      </c>
      <c r="C341" s="4">
        <v>145</v>
      </c>
      <c r="D341" s="8">
        <v>4.59</v>
      </c>
      <c r="E341" s="4">
        <v>119</v>
      </c>
      <c r="F341" s="8">
        <v>6.89</v>
      </c>
      <c r="G341" s="4">
        <v>23</v>
      </c>
      <c r="H341" s="8">
        <v>1.65</v>
      </c>
      <c r="I341" s="4">
        <v>1</v>
      </c>
    </row>
    <row r="342" spans="1:9" x14ac:dyDescent="0.2">
      <c r="A342" s="2">
        <v>6</v>
      </c>
      <c r="B342" s="1" t="s">
        <v>69</v>
      </c>
      <c r="C342" s="4">
        <v>140</v>
      </c>
      <c r="D342" s="8">
        <v>4.43</v>
      </c>
      <c r="E342" s="4">
        <v>29</v>
      </c>
      <c r="F342" s="8">
        <v>1.68</v>
      </c>
      <c r="G342" s="4">
        <v>111</v>
      </c>
      <c r="H342" s="8">
        <v>7.95</v>
      </c>
      <c r="I342" s="4">
        <v>0</v>
      </c>
    </row>
    <row r="343" spans="1:9" x14ac:dyDescent="0.2">
      <c r="A343" s="2">
        <v>7</v>
      </c>
      <c r="B343" s="1" t="s">
        <v>77</v>
      </c>
      <c r="C343" s="4">
        <v>126</v>
      </c>
      <c r="D343" s="8">
        <v>3.99</v>
      </c>
      <c r="E343" s="4">
        <v>82</v>
      </c>
      <c r="F343" s="8">
        <v>4.75</v>
      </c>
      <c r="G343" s="4">
        <v>44</v>
      </c>
      <c r="H343" s="8">
        <v>3.15</v>
      </c>
      <c r="I343" s="4">
        <v>0</v>
      </c>
    </row>
    <row r="344" spans="1:9" x14ac:dyDescent="0.2">
      <c r="A344" s="2">
        <v>8</v>
      </c>
      <c r="B344" s="1" t="s">
        <v>70</v>
      </c>
      <c r="C344" s="4">
        <v>118</v>
      </c>
      <c r="D344" s="8">
        <v>3.73</v>
      </c>
      <c r="E344" s="4">
        <v>36</v>
      </c>
      <c r="F344" s="8">
        <v>2.09</v>
      </c>
      <c r="G344" s="4">
        <v>82</v>
      </c>
      <c r="H344" s="8">
        <v>5.87</v>
      </c>
      <c r="I344" s="4">
        <v>0</v>
      </c>
    </row>
    <row r="345" spans="1:9" x14ac:dyDescent="0.2">
      <c r="A345" s="2">
        <v>9</v>
      </c>
      <c r="B345" s="1" t="s">
        <v>87</v>
      </c>
      <c r="C345" s="4">
        <v>112</v>
      </c>
      <c r="D345" s="8">
        <v>3.54</v>
      </c>
      <c r="E345" s="4">
        <v>102</v>
      </c>
      <c r="F345" s="8">
        <v>5.91</v>
      </c>
      <c r="G345" s="4">
        <v>10</v>
      </c>
      <c r="H345" s="8">
        <v>0.72</v>
      </c>
      <c r="I345" s="4">
        <v>0</v>
      </c>
    </row>
    <row r="346" spans="1:9" x14ac:dyDescent="0.2">
      <c r="A346" s="2">
        <v>10</v>
      </c>
      <c r="B346" s="1" t="s">
        <v>71</v>
      </c>
      <c r="C346" s="4">
        <v>109</v>
      </c>
      <c r="D346" s="8">
        <v>3.45</v>
      </c>
      <c r="E346" s="4">
        <v>21</v>
      </c>
      <c r="F346" s="8">
        <v>1.22</v>
      </c>
      <c r="G346" s="4">
        <v>88</v>
      </c>
      <c r="H346" s="8">
        <v>6.3</v>
      </c>
      <c r="I346" s="4">
        <v>0</v>
      </c>
    </row>
    <row r="347" spans="1:9" x14ac:dyDescent="0.2">
      <c r="A347" s="2">
        <v>11</v>
      </c>
      <c r="B347" s="1" t="s">
        <v>82</v>
      </c>
      <c r="C347" s="4">
        <v>102</v>
      </c>
      <c r="D347" s="8">
        <v>3.23</v>
      </c>
      <c r="E347" s="4">
        <v>69</v>
      </c>
      <c r="F347" s="8">
        <v>4</v>
      </c>
      <c r="G347" s="4">
        <v>33</v>
      </c>
      <c r="H347" s="8">
        <v>2.36</v>
      </c>
      <c r="I347" s="4">
        <v>0</v>
      </c>
    </row>
    <row r="348" spans="1:9" x14ac:dyDescent="0.2">
      <c r="A348" s="2">
        <v>12</v>
      </c>
      <c r="B348" s="1" t="s">
        <v>76</v>
      </c>
      <c r="C348" s="4">
        <v>83</v>
      </c>
      <c r="D348" s="8">
        <v>2.63</v>
      </c>
      <c r="E348" s="4">
        <v>45</v>
      </c>
      <c r="F348" s="8">
        <v>2.61</v>
      </c>
      <c r="G348" s="4">
        <v>38</v>
      </c>
      <c r="H348" s="8">
        <v>2.72</v>
      </c>
      <c r="I348" s="4">
        <v>0</v>
      </c>
    </row>
    <row r="349" spans="1:9" x14ac:dyDescent="0.2">
      <c r="A349" s="2">
        <v>13</v>
      </c>
      <c r="B349" s="1" t="s">
        <v>78</v>
      </c>
      <c r="C349" s="4">
        <v>80</v>
      </c>
      <c r="D349" s="8">
        <v>2.5299999999999998</v>
      </c>
      <c r="E349" s="4">
        <v>35</v>
      </c>
      <c r="F349" s="8">
        <v>2.0299999999999998</v>
      </c>
      <c r="G349" s="4">
        <v>45</v>
      </c>
      <c r="H349" s="8">
        <v>3.22</v>
      </c>
      <c r="I349" s="4">
        <v>0</v>
      </c>
    </row>
    <row r="350" spans="1:9" x14ac:dyDescent="0.2">
      <c r="A350" s="2">
        <v>14</v>
      </c>
      <c r="B350" s="1" t="s">
        <v>83</v>
      </c>
      <c r="C350" s="4">
        <v>71</v>
      </c>
      <c r="D350" s="8">
        <v>2.25</v>
      </c>
      <c r="E350" s="4">
        <v>32</v>
      </c>
      <c r="F350" s="8">
        <v>1.85</v>
      </c>
      <c r="G350" s="4">
        <v>39</v>
      </c>
      <c r="H350" s="8">
        <v>2.79</v>
      </c>
      <c r="I350" s="4">
        <v>0</v>
      </c>
    </row>
    <row r="351" spans="1:9" x14ac:dyDescent="0.2">
      <c r="A351" s="2">
        <v>15</v>
      </c>
      <c r="B351" s="1" t="s">
        <v>90</v>
      </c>
      <c r="C351" s="4">
        <v>66</v>
      </c>
      <c r="D351" s="8">
        <v>2.09</v>
      </c>
      <c r="E351" s="4">
        <v>1</v>
      </c>
      <c r="F351" s="8">
        <v>0.06</v>
      </c>
      <c r="G351" s="4">
        <v>41</v>
      </c>
      <c r="H351" s="8">
        <v>2.94</v>
      </c>
      <c r="I351" s="4">
        <v>0</v>
      </c>
    </row>
    <row r="352" spans="1:9" x14ac:dyDescent="0.2">
      <c r="A352" s="2">
        <v>16</v>
      </c>
      <c r="B352" s="1" t="s">
        <v>80</v>
      </c>
      <c r="C352" s="4">
        <v>48</v>
      </c>
      <c r="D352" s="8">
        <v>1.52</v>
      </c>
      <c r="E352" s="4">
        <v>10</v>
      </c>
      <c r="F352" s="8">
        <v>0.57999999999999996</v>
      </c>
      <c r="G352" s="4">
        <v>38</v>
      </c>
      <c r="H352" s="8">
        <v>2.72</v>
      </c>
      <c r="I352" s="4">
        <v>0</v>
      </c>
    </row>
    <row r="353" spans="1:9" x14ac:dyDescent="0.2">
      <c r="A353" s="2">
        <v>17</v>
      </c>
      <c r="B353" s="1" t="s">
        <v>89</v>
      </c>
      <c r="C353" s="4">
        <v>47</v>
      </c>
      <c r="D353" s="8">
        <v>1.49</v>
      </c>
      <c r="E353" s="4">
        <v>17</v>
      </c>
      <c r="F353" s="8">
        <v>0.98</v>
      </c>
      <c r="G353" s="4">
        <v>30</v>
      </c>
      <c r="H353" s="8">
        <v>2.15</v>
      </c>
      <c r="I353" s="4">
        <v>0</v>
      </c>
    </row>
    <row r="354" spans="1:9" x14ac:dyDescent="0.2">
      <c r="A354" s="2">
        <v>18</v>
      </c>
      <c r="B354" s="1" t="s">
        <v>74</v>
      </c>
      <c r="C354" s="4">
        <v>41</v>
      </c>
      <c r="D354" s="8">
        <v>1.3</v>
      </c>
      <c r="E354" s="4">
        <v>8</v>
      </c>
      <c r="F354" s="8">
        <v>0.46</v>
      </c>
      <c r="G354" s="4">
        <v>27</v>
      </c>
      <c r="H354" s="8">
        <v>1.93</v>
      </c>
      <c r="I354" s="4">
        <v>6</v>
      </c>
    </row>
    <row r="355" spans="1:9" x14ac:dyDescent="0.2">
      <c r="A355" s="2">
        <v>19</v>
      </c>
      <c r="B355" s="1" t="s">
        <v>75</v>
      </c>
      <c r="C355" s="4">
        <v>40</v>
      </c>
      <c r="D355" s="8">
        <v>1.27</v>
      </c>
      <c r="E355" s="4">
        <v>6</v>
      </c>
      <c r="F355" s="8">
        <v>0.35</v>
      </c>
      <c r="G355" s="4">
        <v>34</v>
      </c>
      <c r="H355" s="8">
        <v>2.44</v>
      </c>
      <c r="I355" s="4">
        <v>0</v>
      </c>
    </row>
    <row r="356" spans="1:9" x14ac:dyDescent="0.2">
      <c r="A356" s="2">
        <v>20</v>
      </c>
      <c r="B356" s="1" t="s">
        <v>72</v>
      </c>
      <c r="C356" s="4">
        <v>38</v>
      </c>
      <c r="D356" s="8">
        <v>1.2</v>
      </c>
      <c r="E356" s="4">
        <v>15</v>
      </c>
      <c r="F356" s="8">
        <v>0.87</v>
      </c>
      <c r="G356" s="4">
        <v>23</v>
      </c>
      <c r="H356" s="8">
        <v>1.65</v>
      </c>
      <c r="I356" s="4">
        <v>0</v>
      </c>
    </row>
    <row r="357" spans="1:9" x14ac:dyDescent="0.2">
      <c r="A357" s="2">
        <v>20</v>
      </c>
      <c r="B357" s="1" t="s">
        <v>73</v>
      </c>
      <c r="C357" s="4">
        <v>38</v>
      </c>
      <c r="D357" s="8">
        <v>1.2</v>
      </c>
      <c r="E357" s="4">
        <v>13</v>
      </c>
      <c r="F357" s="8">
        <v>0.75</v>
      </c>
      <c r="G357" s="4">
        <v>25</v>
      </c>
      <c r="H357" s="8">
        <v>1.79</v>
      </c>
      <c r="I357" s="4">
        <v>0</v>
      </c>
    </row>
    <row r="358" spans="1:9" x14ac:dyDescent="0.2">
      <c r="A358" s="1"/>
      <c r="C358" s="4"/>
      <c r="D358" s="8"/>
      <c r="E358" s="4"/>
      <c r="F358" s="8"/>
      <c r="G358" s="4"/>
      <c r="H358" s="8"/>
      <c r="I358" s="4"/>
    </row>
    <row r="359" spans="1:9" x14ac:dyDescent="0.2">
      <c r="A359" s="1" t="s">
        <v>16</v>
      </c>
      <c r="C359" s="4"/>
      <c r="D359" s="8"/>
      <c r="E359" s="4"/>
      <c r="F359" s="8"/>
      <c r="G359" s="4"/>
      <c r="H359" s="8"/>
      <c r="I359" s="4"/>
    </row>
    <row r="360" spans="1:9" x14ac:dyDescent="0.2">
      <c r="A360" s="2">
        <v>1</v>
      </c>
      <c r="B360" s="1" t="s">
        <v>84</v>
      </c>
      <c r="C360" s="4">
        <v>396</v>
      </c>
      <c r="D360" s="8">
        <v>12.39</v>
      </c>
      <c r="E360" s="4">
        <v>364</v>
      </c>
      <c r="F360" s="8">
        <v>19.13</v>
      </c>
      <c r="G360" s="4">
        <v>32</v>
      </c>
      <c r="H360" s="8">
        <v>2.5</v>
      </c>
      <c r="I360" s="4">
        <v>0</v>
      </c>
    </row>
    <row r="361" spans="1:9" x14ac:dyDescent="0.2">
      <c r="A361" s="2">
        <v>2</v>
      </c>
      <c r="B361" s="1" t="s">
        <v>85</v>
      </c>
      <c r="C361" s="4">
        <v>320</v>
      </c>
      <c r="D361" s="8">
        <v>10.01</v>
      </c>
      <c r="E361" s="4">
        <v>285</v>
      </c>
      <c r="F361" s="8">
        <v>14.98</v>
      </c>
      <c r="G361" s="4">
        <v>35</v>
      </c>
      <c r="H361" s="8">
        <v>2.73</v>
      </c>
      <c r="I361" s="4">
        <v>0</v>
      </c>
    </row>
    <row r="362" spans="1:9" x14ac:dyDescent="0.2">
      <c r="A362" s="2">
        <v>3</v>
      </c>
      <c r="B362" s="1" t="s">
        <v>79</v>
      </c>
      <c r="C362" s="4">
        <v>249</v>
      </c>
      <c r="D362" s="8">
        <v>7.79</v>
      </c>
      <c r="E362" s="4">
        <v>139</v>
      </c>
      <c r="F362" s="8">
        <v>7.3</v>
      </c>
      <c r="G362" s="4">
        <v>110</v>
      </c>
      <c r="H362" s="8">
        <v>8.58</v>
      </c>
      <c r="I362" s="4">
        <v>0</v>
      </c>
    </row>
    <row r="363" spans="1:9" x14ac:dyDescent="0.2">
      <c r="A363" s="2">
        <v>4</v>
      </c>
      <c r="B363" s="1" t="s">
        <v>69</v>
      </c>
      <c r="C363" s="4">
        <v>233</v>
      </c>
      <c r="D363" s="8">
        <v>7.29</v>
      </c>
      <c r="E363" s="4">
        <v>108</v>
      </c>
      <c r="F363" s="8">
        <v>5.68</v>
      </c>
      <c r="G363" s="4">
        <v>125</v>
      </c>
      <c r="H363" s="8">
        <v>9.75</v>
      </c>
      <c r="I363" s="4">
        <v>0</v>
      </c>
    </row>
    <row r="364" spans="1:9" x14ac:dyDescent="0.2">
      <c r="A364" s="2">
        <v>5</v>
      </c>
      <c r="B364" s="1" t="s">
        <v>70</v>
      </c>
      <c r="C364" s="4">
        <v>177</v>
      </c>
      <c r="D364" s="8">
        <v>5.54</v>
      </c>
      <c r="E364" s="4">
        <v>92</v>
      </c>
      <c r="F364" s="8">
        <v>4.83</v>
      </c>
      <c r="G364" s="4">
        <v>85</v>
      </c>
      <c r="H364" s="8">
        <v>6.63</v>
      </c>
      <c r="I364" s="4">
        <v>0</v>
      </c>
    </row>
    <row r="365" spans="1:9" x14ac:dyDescent="0.2">
      <c r="A365" s="2">
        <v>6</v>
      </c>
      <c r="B365" s="1" t="s">
        <v>77</v>
      </c>
      <c r="C365" s="4">
        <v>157</v>
      </c>
      <c r="D365" s="8">
        <v>4.91</v>
      </c>
      <c r="E365" s="4">
        <v>125</v>
      </c>
      <c r="F365" s="8">
        <v>6.57</v>
      </c>
      <c r="G365" s="4">
        <v>32</v>
      </c>
      <c r="H365" s="8">
        <v>2.5</v>
      </c>
      <c r="I365" s="4">
        <v>0</v>
      </c>
    </row>
    <row r="366" spans="1:9" x14ac:dyDescent="0.2">
      <c r="A366" s="2">
        <v>7</v>
      </c>
      <c r="B366" s="1" t="s">
        <v>71</v>
      </c>
      <c r="C366" s="4">
        <v>142</v>
      </c>
      <c r="D366" s="8">
        <v>4.4400000000000004</v>
      </c>
      <c r="E366" s="4">
        <v>45</v>
      </c>
      <c r="F366" s="8">
        <v>2.36</v>
      </c>
      <c r="G366" s="4">
        <v>97</v>
      </c>
      <c r="H366" s="8">
        <v>7.57</v>
      </c>
      <c r="I366" s="4">
        <v>0</v>
      </c>
    </row>
    <row r="367" spans="1:9" x14ac:dyDescent="0.2">
      <c r="A367" s="2">
        <v>8</v>
      </c>
      <c r="B367" s="1" t="s">
        <v>81</v>
      </c>
      <c r="C367" s="4">
        <v>123</v>
      </c>
      <c r="D367" s="8">
        <v>3.85</v>
      </c>
      <c r="E367" s="4">
        <v>46</v>
      </c>
      <c r="F367" s="8">
        <v>2.42</v>
      </c>
      <c r="G367" s="4">
        <v>76</v>
      </c>
      <c r="H367" s="8">
        <v>5.93</v>
      </c>
      <c r="I367" s="4">
        <v>0</v>
      </c>
    </row>
    <row r="368" spans="1:9" x14ac:dyDescent="0.2">
      <c r="A368" s="2">
        <v>9</v>
      </c>
      <c r="B368" s="1" t="s">
        <v>86</v>
      </c>
      <c r="C368" s="4">
        <v>114</v>
      </c>
      <c r="D368" s="8">
        <v>3.57</v>
      </c>
      <c r="E368" s="4">
        <v>85</v>
      </c>
      <c r="F368" s="8">
        <v>4.47</v>
      </c>
      <c r="G368" s="4">
        <v>24</v>
      </c>
      <c r="H368" s="8">
        <v>1.87</v>
      </c>
      <c r="I368" s="4">
        <v>1</v>
      </c>
    </row>
    <row r="369" spans="1:9" x14ac:dyDescent="0.2">
      <c r="A369" s="2">
        <v>10</v>
      </c>
      <c r="B369" s="1" t="s">
        <v>87</v>
      </c>
      <c r="C369" s="4">
        <v>97</v>
      </c>
      <c r="D369" s="8">
        <v>3.04</v>
      </c>
      <c r="E369" s="4">
        <v>88</v>
      </c>
      <c r="F369" s="8">
        <v>4.62</v>
      </c>
      <c r="G369" s="4">
        <v>9</v>
      </c>
      <c r="H369" s="8">
        <v>0.7</v>
      </c>
      <c r="I369" s="4">
        <v>0</v>
      </c>
    </row>
    <row r="370" spans="1:9" x14ac:dyDescent="0.2">
      <c r="A370" s="2">
        <v>11</v>
      </c>
      <c r="B370" s="1" t="s">
        <v>78</v>
      </c>
      <c r="C370" s="4">
        <v>89</v>
      </c>
      <c r="D370" s="8">
        <v>2.78</v>
      </c>
      <c r="E370" s="4">
        <v>58</v>
      </c>
      <c r="F370" s="8">
        <v>3.05</v>
      </c>
      <c r="G370" s="4">
        <v>31</v>
      </c>
      <c r="H370" s="8">
        <v>2.42</v>
      </c>
      <c r="I370" s="4">
        <v>0</v>
      </c>
    </row>
    <row r="371" spans="1:9" x14ac:dyDescent="0.2">
      <c r="A371" s="2">
        <v>12</v>
      </c>
      <c r="B371" s="1" t="s">
        <v>76</v>
      </c>
      <c r="C371" s="4">
        <v>83</v>
      </c>
      <c r="D371" s="8">
        <v>2.6</v>
      </c>
      <c r="E371" s="4">
        <v>55</v>
      </c>
      <c r="F371" s="8">
        <v>2.89</v>
      </c>
      <c r="G371" s="4">
        <v>28</v>
      </c>
      <c r="H371" s="8">
        <v>2.1800000000000002</v>
      </c>
      <c r="I371" s="4">
        <v>0</v>
      </c>
    </row>
    <row r="372" spans="1:9" x14ac:dyDescent="0.2">
      <c r="A372" s="2">
        <v>13</v>
      </c>
      <c r="B372" s="1" t="s">
        <v>83</v>
      </c>
      <c r="C372" s="4">
        <v>70</v>
      </c>
      <c r="D372" s="8">
        <v>2.19</v>
      </c>
      <c r="E372" s="4">
        <v>46</v>
      </c>
      <c r="F372" s="8">
        <v>2.42</v>
      </c>
      <c r="G372" s="4">
        <v>23</v>
      </c>
      <c r="H372" s="8">
        <v>1.79</v>
      </c>
      <c r="I372" s="4">
        <v>0</v>
      </c>
    </row>
    <row r="373" spans="1:9" x14ac:dyDescent="0.2">
      <c r="A373" s="2">
        <v>14</v>
      </c>
      <c r="B373" s="1" t="s">
        <v>72</v>
      </c>
      <c r="C373" s="4">
        <v>60</v>
      </c>
      <c r="D373" s="8">
        <v>1.88</v>
      </c>
      <c r="E373" s="4">
        <v>22</v>
      </c>
      <c r="F373" s="8">
        <v>1.1599999999999999</v>
      </c>
      <c r="G373" s="4">
        <v>38</v>
      </c>
      <c r="H373" s="8">
        <v>2.96</v>
      </c>
      <c r="I373" s="4">
        <v>0</v>
      </c>
    </row>
    <row r="374" spans="1:9" x14ac:dyDescent="0.2">
      <c r="A374" s="2">
        <v>15</v>
      </c>
      <c r="B374" s="1" t="s">
        <v>88</v>
      </c>
      <c r="C374" s="4">
        <v>59</v>
      </c>
      <c r="D374" s="8">
        <v>1.85</v>
      </c>
      <c r="E374" s="4">
        <v>56</v>
      </c>
      <c r="F374" s="8">
        <v>2.94</v>
      </c>
      <c r="G374" s="4">
        <v>3</v>
      </c>
      <c r="H374" s="8">
        <v>0.23</v>
      </c>
      <c r="I374" s="4">
        <v>0</v>
      </c>
    </row>
    <row r="375" spans="1:9" x14ac:dyDescent="0.2">
      <c r="A375" s="2">
        <v>16</v>
      </c>
      <c r="B375" s="1" t="s">
        <v>82</v>
      </c>
      <c r="C375" s="4">
        <v>56</v>
      </c>
      <c r="D375" s="8">
        <v>1.75</v>
      </c>
      <c r="E375" s="4">
        <v>43</v>
      </c>
      <c r="F375" s="8">
        <v>2.2599999999999998</v>
      </c>
      <c r="G375" s="4">
        <v>13</v>
      </c>
      <c r="H375" s="8">
        <v>1.01</v>
      </c>
      <c r="I375" s="4">
        <v>0</v>
      </c>
    </row>
    <row r="376" spans="1:9" x14ac:dyDescent="0.2">
      <c r="A376" s="2">
        <v>17</v>
      </c>
      <c r="B376" s="1" t="s">
        <v>90</v>
      </c>
      <c r="C376" s="4">
        <v>50</v>
      </c>
      <c r="D376" s="8">
        <v>1.56</v>
      </c>
      <c r="E376" s="4">
        <v>1</v>
      </c>
      <c r="F376" s="8">
        <v>0.05</v>
      </c>
      <c r="G376" s="4">
        <v>49</v>
      </c>
      <c r="H376" s="8">
        <v>3.82</v>
      </c>
      <c r="I376" s="4">
        <v>0</v>
      </c>
    </row>
    <row r="377" spans="1:9" x14ac:dyDescent="0.2">
      <c r="A377" s="2">
        <v>18</v>
      </c>
      <c r="B377" s="1" t="s">
        <v>73</v>
      </c>
      <c r="C377" s="4">
        <v>43</v>
      </c>
      <c r="D377" s="8">
        <v>1.35</v>
      </c>
      <c r="E377" s="4">
        <v>14</v>
      </c>
      <c r="F377" s="8">
        <v>0.74</v>
      </c>
      <c r="G377" s="4">
        <v>29</v>
      </c>
      <c r="H377" s="8">
        <v>2.2599999999999998</v>
      </c>
      <c r="I377" s="4">
        <v>0</v>
      </c>
    </row>
    <row r="378" spans="1:9" x14ac:dyDescent="0.2">
      <c r="A378" s="2">
        <v>19</v>
      </c>
      <c r="B378" s="1" t="s">
        <v>74</v>
      </c>
      <c r="C378" s="4">
        <v>37</v>
      </c>
      <c r="D378" s="8">
        <v>1.1599999999999999</v>
      </c>
      <c r="E378" s="4">
        <v>10</v>
      </c>
      <c r="F378" s="8">
        <v>0.53</v>
      </c>
      <c r="G378" s="4">
        <v>27</v>
      </c>
      <c r="H378" s="8">
        <v>2.11</v>
      </c>
      <c r="I378" s="4">
        <v>0</v>
      </c>
    </row>
    <row r="379" spans="1:9" x14ac:dyDescent="0.2">
      <c r="A379" s="2">
        <v>20</v>
      </c>
      <c r="B379" s="1" t="s">
        <v>95</v>
      </c>
      <c r="C379" s="4">
        <v>36</v>
      </c>
      <c r="D379" s="8">
        <v>1.1299999999999999</v>
      </c>
      <c r="E379" s="4">
        <v>18</v>
      </c>
      <c r="F379" s="8">
        <v>0.95</v>
      </c>
      <c r="G379" s="4">
        <v>18</v>
      </c>
      <c r="H379" s="8">
        <v>1.4</v>
      </c>
      <c r="I379" s="4">
        <v>0</v>
      </c>
    </row>
    <row r="380" spans="1:9" x14ac:dyDescent="0.2">
      <c r="A380" s="1"/>
      <c r="C380" s="4"/>
      <c r="D380" s="8"/>
      <c r="E380" s="4"/>
      <c r="F380" s="8"/>
      <c r="G380" s="4"/>
      <c r="H380" s="8"/>
      <c r="I380" s="4"/>
    </row>
    <row r="381" spans="1:9" x14ac:dyDescent="0.2">
      <c r="A381" s="1" t="s">
        <v>17</v>
      </c>
      <c r="C381" s="4"/>
      <c r="D381" s="8"/>
      <c r="E381" s="4"/>
      <c r="F381" s="8"/>
      <c r="G381" s="4"/>
      <c r="H381" s="8"/>
      <c r="I381" s="4"/>
    </row>
    <row r="382" spans="1:9" x14ac:dyDescent="0.2">
      <c r="A382" s="2">
        <v>1</v>
      </c>
      <c r="B382" s="1" t="s">
        <v>84</v>
      </c>
      <c r="C382" s="4">
        <v>382</v>
      </c>
      <c r="D382" s="8">
        <v>14.76</v>
      </c>
      <c r="E382" s="4">
        <v>307</v>
      </c>
      <c r="F382" s="8">
        <v>21.45</v>
      </c>
      <c r="G382" s="4">
        <v>75</v>
      </c>
      <c r="H382" s="8">
        <v>6.57</v>
      </c>
      <c r="I382" s="4">
        <v>0</v>
      </c>
    </row>
    <row r="383" spans="1:9" x14ac:dyDescent="0.2">
      <c r="A383" s="2">
        <v>2</v>
      </c>
      <c r="B383" s="1" t="s">
        <v>85</v>
      </c>
      <c r="C383" s="4">
        <v>228</v>
      </c>
      <c r="D383" s="8">
        <v>8.81</v>
      </c>
      <c r="E383" s="4">
        <v>199</v>
      </c>
      <c r="F383" s="8">
        <v>13.91</v>
      </c>
      <c r="G383" s="4">
        <v>28</v>
      </c>
      <c r="H383" s="8">
        <v>2.4500000000000002</v>
      </c>
      <c r="I383" s="4">
        <v>1</v>
      </c>
    </row>
    <row r="384" spans="1:9" x14ac:dyDescent="0.2">
      <c r="A384" s="2">
        <v>3</v>
      </c>
      <c r="B384" s="1" t="s">
        <v>81</v>
      </c>
      <c r="C384" s="4">
        <v>194</v>
      </c>
      <c r="D384" s="8">
        <v>7.5</v>
      </c>
      <c r="E384" s="4">
        <v>109</v>
      </c>
      <c r="F384" s="8">
        <v>7.62</v>
      </c>
      <c r="G384" s="4">
        <v>85</v>
      </c>
      <c r="H384" s="8">
        <v>7.45</v>
      </c>
      <c r="I384" s="4">
        <v>0</v>
      </c>
    </row>
    <row r="385" spans="1:9" x14ac:dyDescent="0.2">
      <c r="A385" s="2">
        <v>4</v>
      </c>
      <c r="B385" s="1" t="s">
        <v>77</v>
      </c>
      <c r="C385" s="4">
        <v>181</v>
      </c>
      <c r="D385" s="8">
        <v>6.99</v>
      </c>
      <c r="E385" s="4">
        <v>98</v>
      </c>
      <c r="F385" s="8">
        <v>6.85</v>
      </c>
      <c r="G385" s="4">
        <v>83</v>
      </c>
      <c r="H385" s="8">
        <v>7.27</v>
      </c>
      <c r="I385" s="4">
        <v>0</v>
      </c>
    </row>
    <row r="386" spans="1:9" x14ac:dyDescent="0.2">
      <c r="A386" s="2">
        <v>5</v>
      </c>
      <c r="B386" s="1" t="s">
        <v>99</v>
      </c>
      <c r="C386" s="4">
        <v>174</v>
      </c>
      <c r="D386" s="8">
        <v>6.72</v>
      </c>
      <c r="E386" s="4">
        <v>97</v>
      </c>
      <c r="F386" s="8">
        <v>6.78</v>
      </c>
      <c r="G386" s="4">
        <v>77</v>
      </c>
      <c r="H386" s="8">
        <v>6.75</v>
      </c>
      <c r="I386" s="4">
        <v>0</v>
      </c>
    </row>
    <row r="387" spans="1:9" x14ac:dyDescent="0.2">
      <c r="A387" s="2">
        <v>6</v>
      </c>
      <c r="B387" s="1" t="s">
        <v>79</v>
      </c>
      <c r="C387" s="4">
        <v>173</v>
      </c>
      <c r="D387" s="8">
        <v>6.68</v>
      </c>
      <c r="E387" s="4">
        <v>91</v>
      </c>
      <c r="F387" s="8">
        <v>6.36</v>
      </c>
      <c r="G387" s="4">
        <v>82</v>
      </c>
      <c r="H387" s="8">
        <v>7.19</v>
      </c>
      <c r="I387" s="4">
        <v>0</v>
      </c>
    </row>
    <row r="388" spans="1:9" x14ac:dyDescent="0.2">
      <c r="A388" s="2">
        <v>7</v>
      </c>
      <c r="B388" s="1" t="s">
        <v>69</v>
      </c>
      <c r="C388" s="4">
        <v>151</v>
      </c>
      <c r="D388" s="8">
        <v>5.83</v>
      </c>
      <c r="E388" s="4">
        <v>47</v>
      </c>
      <c r="F388" s="8">
        <v>3.28</v>
      </c>
      <c r="G388" s="4">
        <v>104</v>
      </c>
      <c r="H388" s="8">
        <v>9.11</v>
      </c>
      <c r="I388" s="4">
        <v>0</v>
      </c>
    </row>
    <row r="389" spans="1:9" x14ac:dyDescent="0.2">
      <c r="A389" s="2">
        <v>8</v>
      </c>
      <c r="B389" s="1" t="s">
        <v>70</v>
      </c>
      <c r="C389" s="4">
        <v>111</v>
      </c>
      <c r="D389" s="8">
        <v>4.29</v>
      </c>
      <c r="E389" s="4">
        <v>44</v>
      </c>
      <c r="F389" s="8">
        <v>3.07</v>
      </c>
      <c r="G389" s="4">
        <v>67</v>
      </c>
      <c r="H389" s="8">
        <v>5.87</v>
      </c>
      <c r="I389" s="4">
        <v>0</v>
      </c>
    </row>
    <row r="390" spans="1:9" x14ac:dyDescent="0.2">
      <c r="A390" s="2">
        <v>9</v>
      </c>
      <c r="B390" s="1" t="s">
        <v>71</v>
      </c>
      <c r="C390" s="4">
        <v>84</v>
      </c>
      <c r="D390" s="8">
        <v>3.25</v>
      </c>
      <c r="E390" s="4">
        <v>28</v>
      </c>
      <c r="F390" s="8">
        <v>1.96</v>
      </c>
      <c r="G390" s="4">
        <v>56</v>
      </c>
      <c r="H390" s="8">
        <v>4.91</v>
      </c>
      <c r="I390" s="4">
        <v>0</v>
      </c>
    </row>
    <row r="391" spans="1:9" x14ac:dyDescent="0.2">
      <c r="A391" s="2">
        <v>9</v>
      </c>
      <c r="B391" s="1" t="s">
        <v>86</v>
      </c>
      <c r="C391" s="4">
        <v>84</v>
      </c>
      <c r="D391" s="8">
        <v>3.25</v>
      </c>
      <c r="E391" s="4">
        <v>57</v>
      </c>
      <c r="F391" s="8">
        <v>3.98</v>
      </c>
      <c r="G391" s="4">
        <v>22</v>
      </c>
      <c r="H391" s="8">
        <v>1.93</v>
      </c>
      <c r="I391" s="4">
        <v>4</v>
      </c>
    </row>
    <row r="392" spans="1:9" x14ac:dyDescent="0.2">
      <c r="A392" s="2">
        <v>9</v>
      </c>
      <c r="B392" s="1" t="s">
        <v>87</v>
      </c>
      <c r="C392" s="4">
        <v>84</v>
      </c>
      <c r="D392" s="8">
        <v>3.25</v>
      </c>
      <c r="E392" s="4">
        <v>77</v>
      </c>
      <c r="F392" s="8">
        <v>5.38</v>
      </c>
      <c r="G392" s="4">
        <v>7</v>
      </c>
      <c r="H392" s="8">
        <v>0.61</v>
      </c>
      <c r="I392" s="4">
        <v>0</v>
      </c>
    </row>
    <row r="393" spans="1:9" x14ac:dyDescent="0.2">
      <c r="A393" s="2">
        <v>12</v>
      </c>
      <c r="B393" s="1" t="s">
        <v>76</v>
      </c>
      <c r="C393" s="4">
        <v>68</v>
      </c>
      <c r="D393" s="8">
        <v>2.63</v>
      </c>
      <c r="E393" s="4">
        <v>36</v>
      </c>
      <c r="F393" s="8">
        <v>2.52</v>
      </c>
      <c r="G393" s="4">
        <v>32</v>
      </c>
      <c r="H393" s="8">
        <v>2.8</v>
      </c>
      <c r="I393" s="4">
        <v>0</v>
      </c>
    </row>
    <row r="394" spans="1:9" x14ac:dyDescent="0.2">
      <c r="A394" s="2">
        <v>13</v>
      </c>
      <c r="B394" s="1" t="s">
        <v>80</v>
      </c>
      <c r="C394" s="4">
        <v>64</v>
      </c>
      <c r="D394" s="8">
        <v>2.4700000000000002</v>
      </c>
      <c r="E394" s="4">
        <v>2</v>
      </c>
      <c r="F394" s="8">
        <v>0.14000000000000001</v>
      </c>
      <c r="G394" s="4">
        <v>62</v>
      </c>
      <c r="H394" s="8">
        <v>5.43</v>
      </c>
      <c r="I394" s="4">
        <v>0</v>
      </c>
    </row>
    <row r="395" spans="1:9" x14ac:dyDescent="0.2">
      <c r="A395" s="2">
        <v>14</v>
      </c>
      <c r="B395" s="1" t="s">
        <v>78</v>
      </c>
      <c r="C395" s="4">
        <v>52</v>
      </c>
      <c r="D395" s="8">
        <v>2.0099999999999998</v>
      </c>
      <c r="E395" s="4">
        <v>31</v>
      </c>
      <c r="F395" s="8">
        <v>2.17</v>
      </c>
      <c r="G395" s="4">
        <v>21</v>
      </c>
      <c r="H395" s="8">
        <v>1.84</v>
      </c>
      <c r="I395" s="4">
        <v>0</v>
      </c>
    </row>
    <row r="396" spans="1:9" x14ac:dyDescent="0.2">
      <c r="A396" s="2">
        <v>15</v>
      </c>
      <c r="B396" s="1" t="s">
        <v>83</v>
      </c>
      <c r="C396" s="4">
        <v>46</v>
      </c>
      <c r="D396" s="8">
        <v>1.78</v>
      </c>
      <c r="E396" s="4">
        <v>15</v>
      </c>
      <c r="F396" s="8">
        <v>1.05</v>
      </c>
      <c r="G396" s="4">
        <v>31</v>
      </c>
      <c r="H396" s="8">
        <v>2.72</v>
      </c>
      <c r="I396" s="4">
        <v>0</v>
      </c>
    </row>
    <row r="397" spans="1:9" x14ac:dyDescent="0.2">
      <c r="A397" s="2">
        <v>16</v>
      </c>
      <c r="B397" s="1" t="s">
        <v>100</v>
      </c>
      <c r="C397" s="4">
        <v>45</v>
      </c>
      <c r="D397" s="8">
        <v>1.74</v>
      </c>
      <c r="E397" s="4">
        <v>13</v>
      </c>
      <c r="F397" s="8">
        <v>0.91</v>
      </c>
      <c r="G397" s="4">
        <v>32</v>
      </c>
      <c r="H397" s="8">
        <v>2.8</v>
      </c>
      <c r="I397" s="4">
        <v>0</v>
      </c>
    </row>
    <row r="398" spans="1:9" x14ac:dyDescent="0.2">
      <c r="A398" s="2">
        <v>16</v>
      </c>
      <c r="B398" s="1" t="s">
        <v>82</v>
      </c>
      <c r="C398" s="4">
        <v>45</v>
      </c>
      <c r="D398" s="8">
        <v>1.74</v>
      </c>
      <c r="E398" s="4">
        <v>32</v>
      </c>
      <c r="F398" s="8">
        <v>2.2400000000000002</v>
      </c>
      <c r="G398" s="4">
        <v>13</v>
      </c>
      <c r="H398" s="8">
        <v>1.1399999999999999</v>
      </c>
      <c r="I398" s="4">
        <v>0</v>
      </c>
    </row>
    <row r="399" spans="1:9" x14ac:dyDescent="0.2">
      <c r="A399" s="2">
        <v>18</v>
      </c>
      <c r="B399" s="1" t="s">
        <v>101</v>
      </c>
      <c r="C399" s="4">
        <v>42</v>
      </c>
      <c r="D399" s="8">
        <v>1.62</v>
      </c>
      <c r="E399" s="4">
        <v>25</v>
      </c>
      <c r="F399" s="8">
        <v>1.75</v>
      </c>
      <c r="G399" s="4">
        <v>17</v>
      </c>
      <c r="H399" s="8">
        <v>1.49</v>
      </c>
      <c r="I399" s="4">
        <v>0</v>
      </c>
    </row>
    <row r="400" spans="1:9" x14ac:dyDescent="0.2">
      <c r="A400" s="2">
        <v>19</v>
      </c>
      <c r="B400" s="1" t="s">
        <v>93</v>
      </c>
      <c r="C400" s="4">
        <v>36</v>
      </c>
      <c r="D400" s="8">
        <v>1.39</v>
      </c>
      <c r="E400" s="4">
        <v>11</v>
      </c>
      <c r="F400" s="8">
        <v>0.77</v>
      </c>
      <c r="G400" s="4">
        <v>25</v>
      </c>
      <c r="H400" s="8">
        <v>2.19</v>
      </c>
      <c r="I400" s="4">
        <v>0</v>
      </c>
    </row>
    <row r="401" spans="1:9" x14ac:dyDescent="0.2">
      <c r="A401" s="2">
        <v>19</v>
      </c>
      <c r="B401" s="1" t="s">
        <v>90</v>
      </c>
      <c r="C401" s="4">
        <v>36</v>
      </c>
      <c r="D401" s="8">
        <v>1.39</v>
      </c>
      <c r="E401" s="4">
        <v>1</v>
      </c>
      <c r="F401" s="8">
        <v>7.0000000000000007E-2</v>
      </c>
      <c r="G401" s="4">
        <v>30</v>
      </c>
      <c r="H401" s="8">
        <v>2.63</v>
      </c>
      <c r="I401" s="4">
        <v>1</v>
      </c>
    </row>
    <row r="402" spans="1:9" x14ac:dyDescent="0.2">
      <c r="A402" s="1"/>
      <c r="C402" s="4"/>
      <c r="D402" s="8"/>
      <c r="E402" s="4"/>
      <c r="F402" s="8"/>
      <c r="G402" s="4"/>
      <c r="H402" s="8"/>
      <c r="I402" s="4"/>
    </row>
    <row r="403" spans="1:9" x14ac:dyDescent="0.2">
      <c r="A403" s="1" t="s">
        <v>18</v>
      </c>
      <c r="C403" s="4"/>
      <c r="D403" s="8"/>
      <c r="E403" s="4"/>
      <c r="F403" s="8"/>
      <c r="G403" s="4"/>
      <c r="H403" s="8"/>
      <c r="I403" s="4"/>
    </row>
    <row r="404" spans="1:9" x14ac:dyDescent="0.2">
      <c r="A404" s="2">
        <v>1</v>
      </c>
      <c r="B404" s="1" t="s">
        <v>85</v>
      </c>
      <c r="C404" s="4">
        <v>278</v>
      </c>
      <c r="D404" s="8">
        <v>10.86</v>
      </c>
      <c r="E404" s="4">
        <v>241</v>
      </c>
      <c r="F404" s="8">
        <v>15.08</v>
      </c>
      <c r="G404" s="4">
        <v>37</v>
      </c>
      <c r="H404" s="8">
        <v>3.94</v>
      </c>
      <c r="I404" s="4">
        <v>0</v>
      </c>
    </row>
    <row r="405" spans="1:9" x14ac:dyDescent="0.2">
      <c r="A405" s="2">
        <v>2</v>
      </c>
      <c r="B405" s="1" t="s">
        <v>84</v>
      </c>
      <c r="C405" s="4">
        <v>233</v>
      </c>
      <c r="D405" s="8">
        <v>9.11</v>
      </c>
      <c r="E405" s="4">
        <v>211</v>
      </c>
      <c r="F405" s="8">
        <v>13.2</v>
      </c>
      <c r="G405" s="4">
        <v>22</v>
      </c>
      <c r="H405" s="8">
        <v>2.34</v>
      </c>
      <c r="I405" s="4">
        <v>0</v>
      </c>
    </row>
    <row r="406" spans="1:9" x14ac:dyDescent="0.2">
      <c r="A406" s="2">
        <v>3</v>
      </c>
      <c r="B406" s="1" t="s">
        <v>79</v>
      </c>
      <c r="C406" s="4">
        <v>172</v>
      </c>
      <c r="D406" s="8">
        <v>6.72</v>
      </c>
      <c r="E406" s="4">
        <v>106</v>
      </c>
      <c r="F406" s="8">
        <v>6.63</v>
      </c>
      <c r="G406" s="4">
        <v>66</v>
      </c>
      <c r="H406" s="8">
        <v>7.03</v>
      </c>
      <c r="I406" s="4">
        <v>0</v>
      </c>
    </row>
    <row r="407" spans="1:9" x14ac:dyDescent="0.2">
      <c r="A407" s="2">
        <v>4</v>
      </c>
      <c r="B407" s="1" t="s">
        <v>81</v>
      </c>
      <c r="C407" s="4">
        <v>170</v>
      </c>
      <c r="D407" s="8">
        <v>6.64</v>
      </c>
      <c r="E407" s="4">
        <v>137</v>
      </c>
      <c r="F407" s="8">
        <v>8.57</v>
      </c>
      <c r="G407" s="4">
        <v>33</v>
      </c>
      <c r="H407" s="8">
        <v>3.51</v>
      </c>
      <c r="I407" s="4">
        <v>0</v>
      </c>
    </row>
    <row r="408" spans="1:9" x14ac:dyDescent="0.2">
      <c r="A408" s="2">
        <v>5</v>
      </c>
      <c r="B408" s="1" t="s">
        <v>77</v>
      </c>
      <c r="C408" s="4">
        <v>161</v>
      </c>
      <c r="D408" s="8">
        <v>6.29</v>
      </c>
      <c r="E408" s="4">
        <v>124</v>
      </c>
      <c r="F408" s="8">
        <v>7.76</v>
      </c>
      <c r="G408" s="4">
        <v>37</v>
      </c>
      <c r="H408" s="8">
        <v>3.94</v>
      </c>
      <c r="I408" s="4">
        <v>0</v>
      </c>
    </row>
    <row r="409" spans="1:9" x14ac:dyDescent="0.2">
      <c r="A409" s="2">
        <v>6</v>
      </c>
      <c r="B409" s="1" t="s">
        <v>69</v>
      </c>
      <c r="C409" s="4">
        <v>156</v>
      </c>
      <c r="D409" s="8">
        <v>6.1</v>
      </c>
      <c r="E409" s="4">
        <v>62</v>
      </c>
      <c r="F409" s="8">
        <v>3.88</v>
      </c>
      <c r="G409" s="4">
        <v>94</v>
      </c>
      <c r="H409" s="8">
        <v>10.01</v>
      </c>
      <c r="I409" s="4">
        <v>0</v>
      </c>
    </row>
    <row r="410" spans="1:9" x14ac:dyDescent="0.2">
      <c r="A410" s="2">
        <v>6</v>
      </c>
      <c r="B410" s="1" t="s">
        <v>70</v>
      </c>
      <c r="C410" s="4">
        <v>156</v>
      </c>
      <c r="D410" s="8">
        <v>6.1</v>
      </c>
      <c r="E410" s="4">
        <v>103</v>
      </c>
      <c r="F410" s="8">
        <v>6.45</v>
      </c>
      <c r="G410" s="4">
        <v>53</v>
      </c>
      <c r="H410" s="8">
        <v>5.64</v>
      </c>
      <c r="I410" s="4">
        <v>0</v>
      </c>
    </row>
    <row r="411" spans="1:9" x14ac:dyDescent="0.2">
      <c r="A411" s="2">
        <v>8</v>
      </c>
      <c r="B411" s="1" t="s">
        <v>86</v>
      </c>
      <c r="C411" s="4">
        <v>87</v>
      </c>
      <c r="D411" s="8">
        <v>3.4</v>
      </c>
      <c r="E411" s="4">
        <v>67</v>
      </c>
      <c r="F411" s="8">
        <v>4.1900000000000004</v>
      </c>
      <c r="G411" s="4">
        <v>16</v>
      </c>
      <c r="H411" s="8">
        <v>1.7</v>
      </c>
      <c r="I411" s="4">
        <v>0</v>
      </c>
    </row>
    <row r="412" spans="1:9" x14ac:dyDescent="0.2">
      <c r="A412" s="2">
        <v>9</v>
      </c>
      <c r="B412" s="1" t="s">
        <v>71</v>
      </c>
      <c r="C412" s="4">
        <v>85</v>
      </c>
      <c r="D412" s="8">
        <v>3.32</v>
      </c>
      <c r="E412" s="4">
        <v>42</v>
      </c>
      <c r="F412" s="8">
        <v>2.63</v>
      </c>
      <c r="G412" s="4">
        <v>43</v>
      </c>
      <c r="H412" s="8">
        <v>4.58</v>
      </c>
      <c r="I412" s="4">
        <v>0</v>
      </c>
    </row>
    <row r="413" spans="1:9" x14ac:dyDescent="0.2">
      <c r="A413" s="2">
        <v>10</v>
      </c>
      <c r="B413" s="1" t="s">
        <v>78</v>
      </c>
      <c r="C413" s="4">
        <v>76</v>
      </c>
      <c r="D413" s="8">
        <v>2.97</v>
      </c>
      <c r="E413" s="4">
        <v>48</v>
      </c>
      <c r="F413" s="8">
        <v>3</v>
      </c>
      <c r="G413" s="4">
        <v>28</v>
      </c>
      <c r="H413" s="8">
        <v>2.98</v>
      </c>
      <c r="I413" s="4">
        <v>0</v>
      </c>
    </row>
    <row r="414" spans="1:9" x14ac:dyDescent="0.2">
      <c r="A414" s="2">
        <v>11</v>
      </c>
      <c r="B414" s="1" t="s">
        <v>76</v>
      </c>
      <c r="C414" s="4">
        <v>67</v>
      </c>
      <c r="D414" s="8">
        <v>2.62</v>
      </c>
      <c r="E414" s="4">
        <v>47</v>
      </c>
      <c r="F414" s="8">
        <v>2.94</v>
      </c>
      <c r="G414" s="4">
        <v>20</v>
      </c>
      <c r="H414" s="8">
        <v>2.13</v>
      </c>
      <c r="I414" s="4">
        <v>0</v>
      </c>
    </row>
    <row r="415" spans="1:9" x14ac:dyDescent="0.2">
      <c r="A415" s="2">
        <v>11</v>
      </c>
      <c r="B415" s="1" t="s">
        <v>87</v>
      </c>
      <c r="C415" s="4">
        <v>67</v>
      </c>
      <c r="D415" s="8">
        <v>2.62</v>
      </c>
      <c r="E415" s="4">
        <v>61</v>
      </c>
      <c r="F415" s="8">
        <v>3.82</v>
      </c>
      <c r="G415" s="4">
        <v>6</v>
      </c>
      <c r="H415" s="8">
        <v>0.64</v>
      </c>
      <c r="I415" s="4">
        <v>0</v>
      </c>
    </row>
    <row r="416" spans="1:9" x14ac:dyDescent="0.2">
      <c r="A416" s="2">
        <v>13</v>
      </c>
      <c r="B416" s="1" t="s">
        <v>83</v>
      </c>
      <c r="C416" s="4">
        <v>65</v>
      </c>
      <c r="D416" s="8">
        <v>2.54</v>
      </c>
      <c r="E416" s="4">
        <v>42</v>
      </c>
      <c r="F416" s="8">
        <v>2.63</v>
      </c>
      <c r="G416" s="4">
        <v>22</v>
      </c>
      <c r="H416" s="8">
        <v>2.34</v>
      </c>
      <c r="I416" s="4">
        <v>0</v>
      </c>
    </row>
    <row r="417" spans="1:9" x14ac:dyDescent="0.2">
      <c r="A417" s="2">
        <v>14</v>
      </c>
      <c r="B417" s="1" t="s">
        <v>73</v>
      </c>
      <c r="C417" s="4">
        <v>56</v>
      </c>
      <c r="D417" s="8">
        <v>2.19</v>
      </c>
      <c r="E417" s="4">
        <v>17</v>
      </c>
      <c r="F417" s="8">
        <v>1.06</v>
      </c>
      <c r="G417" s="4">
        <v>39</v>
      </c>
      <c r="H417" s="8">
        <v>4.1500000000000004</v>
      </c>
      <c r="I417" s="4">
        <v>0</v>
      </c>
    </row>
    <row r="418" spans="1:9" x14ac:dyDescent="0.2">
      <c r="A418" s="2">
        <v>15</v>
      </c>
      <c r="B418" s="1" t="s">
        <v>82</v>
      </c>
      <c r="C418" s="4">
        <v>54</v>
      </c>
      <c r="D418" s="8">
        <v>2.11</v>
      </c>
      <c r="E418" s="4">
        <v>42</v>
      </c>
      <c r="F418" s="8">
        <v>2.63</v>
      </c>
      <c r="G418" s="4">
        <v>12</v>
      </c>
      <c r="H418" s="8">
        <v>1.28</v>
      </c>
      <c r="I418" s="4">
        <v>0</v>
      </c>
    </row>
    <row r="419" spans="1:9" x14ac:dyDescent="0.2">
      <c r="A419" s="2">
        <v>16</v>
      </c>
      <c r="B419" s="1" t="s">
        <v>97</v>
      </c>
      <c r="C419" s="4">
        <v>44</v>
      </c>
      <c r="D419" s="8">
        <v>1.72</v>
      </c>
      <c r="E419" s="4">
        <v>17</v>
      </c>
      <c r="F419" s="8">
        <v>1.06</v>
      </c>
      <c r="G419" s="4">
        <v>25</v>
      </c>
      <c r="H419" s="8">
        <v>2.66</v>
      </c>
      <c r="I419" s="4">
        <v>2</v>
      </c>
    </row>
    <row r="420" spans="1:9" x14ac:dyDescent="0.2">
      <c r="A420" s="2">
        <v>17</v>
      </c>
      <c r="B420" s="1" t="s">
        <v>72</v>
      </c>
      <c r="C420" s="4">
        <v>37</v>
      </c>
      <c r="D420" s="8">
        <v>1.45</v>
      </c>
      <c r="E420" s="4">
        <v>17</v>
      </c>
      <c r="F420" s="8">
        <v>1.06</v>
      </c>
      <c r="G420" s="4">
        <v>20</v>
      </c>
      <c r="H420" s="8">
        <v>2.13</v>
      </c>
      <c r="I420" s="4">
        <v>0</v>
      </c>
    </row>
    <row r="421" spans="1:9" x14ac:dyDescent="0.2">
      <c r="A421" s="2">
        <v>18</v>
      </c>
      <c r="B421" s="1" t="s">
        <v>90</v>
      </c>
      <c r="C421" s="4">
        <v>36</v>
      </c>
      <c r="D421" s="8">
        <v>1.41</v>
      </c>
      <c r="E421" s="4">
        <v>1</v>
      </c>
      <c r="F421" s="8">
        <v>0.06</v>
      </c>
      <c r="G421" s="4">
        <v>30</v>
      </c>
      <c r="H421" s="8">
        <v>3.19</v>
      </c>
      <c r="I421" s="4">
        <v>0</v>
      </c>
    </row>
    <row r="422" spans="1:9" x14ac:dyDescent="0.2">
      <c r="A422" s="2">
        <v>19</v>
      </c>
      <c r="B422" s="1" t="s">
        <v>103</v>
      </c>
      <c r="C422" s="4">
        <v>34</v>
      </c>
      <c r="D422" s="8">
        <v>1.33</v>
      </c>
      <c r="E422" s="4">
        <v>5</v>
      </c>
      <c r="F422" s="8">
        <v>0.31</v>
      </c>
      <c r="G422" s="4">
        <v>27</v>
      </c>
      <c r="H422" s="8">
        <v>2.88</v>
      </c>
      <c r="I422" s="4">
        <v>1</v>
      </c>
    </row>
    <row r="423" spans="1:9" x14ac:dyDescent="0.2">
      <c r="A423" s="2">
        <v>20</v>
      </c>
      <c r="B423" s="1" t="s">
        <v>74</v>
      </c>
      <c r="C423" s="4">
        <v>33</v>
      </c>
      <c r="D423" s="8">
        <v>1.29</v>
      </c>
      <c r="E423" s="4">
        <v>8</v>
      </c>
      <c r="F423" s="8">
        <v>0.5</v>
      </c>
      <c r="G423" s="4">
        <v>25</v>
      </c>
      <c r="H423" s="8">
        <v>2.66</v>
      </c>
      <c r="I423" s="4">
        <v>0</v>
      </c>
    </row>
    <row r="424" spans="1:9" x14ac:dyDescent="0.2">
      <c r="A424" s="1"/>
      <c r="C424" s="4"/>
      <c r="D424" s="8"/>
      <c r="E424" s="4"/>
      <c r="F424" s="8"/>
      <c r="G424" s="4"/>
      <c r="H424" s="8"/>
      <c r="I424" s="4"/>
    </row>
    <row r="425" spans="1:9" x14ac:dyDescent="0.2">
      <c r="A425" s="1" t="s">
        <v>19</v>
      </c>
      <c r="C425" s="4"/>
      <c r="D425" s="8"/>
      <c r="E425" s="4"/>
      <c r="F425" s="8"/>
      <c r="G425" s="4"/>
      <c r="H425" s="8"/>
      <c r="I425" s="4"/>
    </row>
    <row r="426" spans="1:9" x14ac:dyDescent="0.2">
      <c r="A426" s="2">
        <v>1</v>
      </c>
      <c r="B426" s="1" t="s">
        <v>84</v>
      </c>
      <c r="C426" s="4">
        <v>664</v>
      </c>
      <c r="D426" s="8">
        <v>9.7799999999999994</v>
      </c>
      <c r="E426" s="4">
        <v>583</v>
      </c>
      <c r="F426" s="8">
        <v>15.94</v>
      </c>
      <c r="G426" s="4">
        <v>81</v>
      </c>
      <c r="H426" s="8">
        <v>2.61</v>
      </c>
      <c r="I426" s="4">
        <v>0</v>
      </c>
    </row>
    <row r="427" spans="1:9" x14ac:dyDescent="0.2">
      <c r="A427" s="2">
        <v>2</v>
      </c>
      <c r="B427" s="1" t="s">
        <v>85</v>
      </c>
      <c r="C427" s="4">
        <v>645</v>
      </c>
      <c r="D427" s="8">
        <v>9.5</v>
      </c>
      <c r="E427" s="4">
        <v>544</v>
      </c>
      <c r="F427" s="8">
        <v>14.87</v>
      </c>
      <c r="G427" s="4">
        <v>101</v>
      </c>
      <c r="H427" s="8">
        <v>3.26</v>
      </c>
      <c r="I427" s="4">
        <v>0</v>
      </c>
    </row>
    <row r="428" spans="1:9" x14ac:dyDescent="0.2">
      <c r="A428" s="2">
        <v>3</v>
      </c>
      <c r="B428" s="1" t="s">
        <v>81</v>
      </c>
      <c r="C428" s="4">
        <v>623</v>
      </c>
      <c r="D428" s="8">
        <v>9.18</v>
      </c>
      <c r="E428" s="4">
        <v>362</v>
      </c>
      <c r="F428" s="8">
        <v>9.9</v>
      </c>
      <c r="G428" s="4">
        <v>261</v>
      </c>
      <c r="H428" s="8">
        <v>8.42</v>
      </c>
      <c r="I428" s="4">
        <v>0</v>
      </c>
    </row>
    <row r="429" spans="1:9" x14ac:dyDescent="0.2">
      <c r="A429" s="2">
        <v>4</v>
      </c>
      <c r="B429" s="1" t="s">
        <v>69</v>
      </c>
      <c r="C429" s="4">
        <v>434</v>
      </c>
      <c r="D429" s="8">
        <v>6.39</v>
      </c>
      <c r="E429" s="4">
        <v>127</v>
      </c>
      <c r="F429" s="8">
        <v>3.47</v>
      </c>
      <c r="G429" s="4">
        <v>307</v>
      </c>
      <c r="H429" s="8">
        <v>9.9</v>
      </c>
      <c r="I429" s="4">
        <v>0</v>
      </c>
    </row>
    <row r="430" spans="1:9" x14ac:dyDescent="0.2">
      <c r="A430" s="2">
        <v>5</v>
      </c>
      <c r="B430" s="1" t="s">
        <v>79</v>
      </c>
      <c r="C430" s="4">
        <v>373</v>
      </c>
      <c r="D430" s="8">
        <v>5.49</v>
      </c>
      <c r="E430" s="4">
        <v>200</v>
      </c>
      <c r="F430" s="8">
        <v>5.47</v>
      </c>
      <c r="G430" s="4">
        <v>173</v>
      </c>
      <c r="H430" s="8">
        <v>5.58</v>
      </c>
      <c r="I430" s="4">
        <v>0</v>
      </c>
    </row>
    <row r="431" spans="1:9" x14ac:dyDescent="0.2">
      <c r="A431" s="2">
        <v>6</v>
      </c>
      <c r="B431" s="1" t="s">
        <v>70</v>
      </c>
      <c r="C431" s="4">
        <v>299</v>
      </c>
      <c r="D431" s="8">
        <v>4.4000000000000004</v>
      </c>
      <c r="E431" s="4">
        <v>128</v>
      </c>
      <c r="F431" s="8">
        <v>3.5</v>
      </c>
      <c r="G431" s="4">
        <v>171</v>
      </c>
      <c r="H431" s="8">
        <v>5.52</v>
      </c>
      <c r="I431" s="4">
        <v>0</v>
      </c>
    </row>
    <row r="432" spans="1:9" x14ac:dyDescent="0.2">
      <c r="A432" s="2">
        <v>7</v>
      </c>
      <c r="B432" s="1" t="s">
        <v>71</v>
      </c>
      <c r="C432" s="4">
        <v>295</v>
      </c>
      <c r="D432" s="8">
        <v>4.3499999999999996</v>
      </c>
      <c r="E432" s="4">
        <v>79</v>
      </c>
      <c r="F432" s="8">
        <v>2.16</v>
      </c>
      <c r="G432" s="4">
        <v>216</v>
      </c>
      <c r="H432" s="8">
        <v>6.97</v>
      </c>
      <c r="I432" s="4">
        <v>0</v>
      </c>
    </row>
    <row r="433" spans="1:9" x14ac:dyDescent="0.2">
      <c r="A433" s="2">
        <v>8</v>
      </c>
      <c r="B433" s="1" t="s">
        <v>86</v>
      </c>
      <c r="C433" s="4">
        <v>282</v>
      </c>
      <c r="D433" s="8">
        <v>4.1500000000000004</v>
      </c>
      <c r="E433" s="4">
        <v>223</v>
      </c>
      <c r="F433" s="8">
        <v>6.1</v>
      </c>
      <c r="G433" s="4">
        <v>57</v>
      </c>
      <c r="H433" s="8">
        <v>1.84</v>
      </c>
      <c r="I433" s="4">
        <v>0</v>
      </c>
    </row>
    <row r="434" spans="1:9" x14ac:dyDescent="0.2">
      <c r="A434" s="2">
        <v>9</v>
      </c>
      <c r="B434" s="1" t="s">
        <v>77</v>
      </c>
      <c r="C434" s="4">
        <v>266</v>
      </c>
      <c r="D434" s="8">
        <v>3.92</v>
      </c>
      <c r="E434" s="4">
        <v>195</v>
      </c>
      <c r="F434" s="8">
        <v>5.33</v>
      </c>
      <c r="G434" s="4">
        <v>67</v>
      </c>
      <c r="H434" s="8">
        <v>2.16</v>
      </c>
      <c r="I434" s="4">
        <v>4</v>
      </c>
    </row>
    <row r="435" spans="1:9" x14ac:dyDescent="0.2">
      <c r="A435" s="2">
        <v>10</v>
      </c>
      <c r="B435" s="1" t="s">
        <v>78</v>
      </c>
      <c r="C435" s="4">
        <v>223</v>
      </c>
      <c r="D435" s="8">
        <v>3.28</v>
      </c>
      <c r="E435" s="4">
        <v>142</v>
      </c>
      <c r="F435" s="8">
        <v>3.88</v>
      </c>
      <c r="G435" s="4">
        <v>81</v>
      </c>
      <c r="H435" s="8">
        <v>2.61</v>
      </c>
      <c r="I435" s="4">
        <v>0</v>
      </c>
    </row>
    <row r="436" spans="1:9" x14ac:dyDescent="0.2">
      <c r="A436" s="2">
        <v>11</v>
      </c>
      <c r="B436" s="1" t="s">
        <v>87</v>
      </c>
      <c r="C436" s="4">
        <v>209</v>
      </c>
      <c r="D436" s="8">
        <v>3.08</v>
      </c>
      <c r="E436" s="4">
        <v>189</v>
      </c>
      <c r="F436" s="8">
        <v>5.17</v>
      </c>
      <c r="G436" s="4">
        <v>19</v>
      </c>
      <c r="H436" s="8">
        <v>0.61</v>
      </c>
      <c r="I436" s="4">
        <v>0</v>
      </c>
    </row>
    <row r="437" spans="1:9" x14ac:dyDescent="0.2">
      <c r="A437" s="2">
        <v>12</v>
      </c>
      <c r="B437" s="1" t="s">
        <v>82</v>
      </c>
      <c r="C437" s="4">
        <v>167</v>
      </c>
      <c r="D437" s="8">
        <v>2.46</v>
      </c>
      <c r="E437" s="4">
        <v>132</v>
      </c>
      <c r="F437" s="8">
        <v>3.61</v>
      </c>
      <c r="G437" s="4">
        <v>35</v>
      </c>
      <c r="H437" s="8">
        <v>1.1299999999999999</v>
      </c>
      <c r="I437" s="4">
        <v>0</v>
      </c>
    </row>
    <row r="438" spans="1:9" x14ac:dyDescent="0.2">
      <c r="A438" s="2">
        <v>13</v>
      </c>
      <c r="B438" s="1" t="s">
        <v>83</v>
      </c>
      <c r="C438" s="4">
        <v>154</v>
      </c>
      <c r="D438" s="8">
        <v>2.27</v>
      </c>
      <c r="E438" s="4">
        <v>73</v>
      </c>
      <c r="F438" s="8">
        <v>2</v>
      </c>
      <c r="G438" s="4">
        <v>78</v>
      </c>
      <c r="H438" s="8">
        <v>2.52</v>
      </c>
      <c r="I438" s="4">
        <v>0</v>
      </c>
    </row>
    <row r="439" spans="1:9" x14ac:dyDescent="0.2">
      <c r="A439" s="2">
        <v>14</v>
      </c>
      <c r="B439" s="1" t="s">
        <v>76</v>
      </c>
      <c r="C439" s="4">
        <v>142</v>
      </c>
      <c r="D439" s="8">
        <v>2.09</v>
      </c>
      <c r="E439" s="4">
        <v>73</v>
      </c>
      <c r="F439" s="8">
        <v>2</v>
      </c>
      <c r="G439" s="4">
        <v>69</v>
      </c>
      <c r="H439" s="8">
        <v>2.23</v>
      </c>
      <c r="I439" s="4">
        <v>0</v>
      </c>
    </row>
    <row r="440" spans="1:9" x14ac:dyDescent="0.2">
      <c r="A440" s="2">
        <v>15</v>
      </c>
      <c r="B440" s="1" t="s">
        <v>74</v>
      </c>
      <c r="C440" s="4">
        <v>136</v>
      </c>
      <c r="D440" s="8">
        <v>2</v>
      </c>
      <c r="E440" s="4">
        <v>25</v>
      </c>
      <c r="F440" s="8">
        <v>0.68</v>
      </c>
      <c r="G440" s="4">
        <v>106</v>
      </c>
      <c r="H440" s="8">
        <v>3.42</v>
      </c>
      <c r="I440" s="4">
        <v>5</v>
      </c>
    </row>
    <row r="441" spans="1:9" x14ac:dyDescent="0.2">
      <c r="A441" s="2">
        <v>16</v>
      </c>
      <c r="B441" s="1" t="s">
        <v>88</v>
      </c>
      <c r="C441" s="4">
        <v>133</v>
      </c>
      <c r="D441" s="8">
        <v>1.96</v>
      </c>
      <c r="E441" s="4">
        <v>105</v>
      </c>
      <c r="F441" s="8">
        <v>2.87</v>
      </c>
      <c r="G441" s="4">
        <v>28</v>
      </c>
      <c r="H441" s="8">
        <v>0.9</v>
      </c>
      <c r="I441" s="4">
        <v>0</v>
      </c>
    </row>
    <row r="442" spans="1:9" x14ac:dyDescent="0.2">
      <c r="A442" s="2">
        <v>17</v>
      </c>
      <c r="B442" s="1" t="s">
        <v>73</v>
      </c>
      <c r="C442" s="4">
        <v>132</v>
      </c>
      <c r="D442" s="8">
        <v>1.94</v>
      </c>
      <c r="E442" s="4">
        <v>35</v>
      </c>
      <c r="F442" s="8">
        <v>0.96</v>
      </c>
      <c r="G442" s="4">
        <v>97</v>
      </c>
      <c r="H442" s="8">
        <v>3.13</v>
      </c>
      <c r="I442" s="4">
        <v>0</v>
      </c>
    </row>
    <row r="443" spans="1:9" x14ac:dyDescent="0.2">
      <c r="A443" s="2">
        <v>18</v>
      </c>
      <c r="B443" s="1" t="s">
        <v>80</v>
      </c>
      <c r="C443" s="4">
        <v>115</v>
      </c>
      <c r="D443" s="8">
        <v>1.69</v>
      </c>
      <c r="E443" s="4">
        <v>31</v>
      </c>
      <c r="F443" s="8">
        <v>0.85</v>
      </c>
      <c r="G443" s="4">
        <v>84</v>
      </c>
      <c r="H443" s="8">
        <v>2.71</v>
      </c>
      <c r="I443" s="4">
        <v>0</v>
      </c>
    </row>
    <row r="444" spans="1:9" x14ac:dyDescent="0.2">
      <c r="A444" s="2">
        <v>19</v>
      </c>
      <c r="B444" s="1" t="s">
        <v>72</v>
      </c>
      <c r="C444" s="4">
        <v>110</v>
      </c>
      <c r="D444" s="8">
        <v>1.62</v>
      </c>
      <c r="E444" s="4">
        <v>41</v>
      </c>
      <c r="F444" s="8">
        <v>1.1200000000000001</v>
      </c>
      <c r="G444" s="4">
        <v>69</v>
      </c>
      <c r="H444" s="8">
        <v>2.23</v>
      </c>
      <c r="I444" s="4">
        <v>0</v>
      </c>
    </row>
    <row r="445" spans="1:9" x14ac:dyDescent="0.2">
      <c r="A445" s="2">
        <v>20</v>
      </c>
      <c r="B445" s="1" t="s">
        <v>75</v>
      </c>
      <c r="C445" s="4">
        <v>97</v>
      </c>
      <c r="D445" s="8">
        <v>1.43</v>
      </c>
      <c r="E445" s="4">
        <v>9</v>
      </c>
      <c r="F445" s="8">
        <v>0.25</v>
      </c>
      <c r="G445" s="4">
        <v>88</v>
      </c>
      <c r="H445" s="8">
        <v>2.84</v>
      </c>
      <c r="I445" s="4">
        <v>0</v>
      </c>
    </row>
    <row r="446" spans="1:9" x14ac:dyDescent="0.2">
      <c r="A446" s="1"/>
      <c r="C446" s="4"/>
      <c r="D446" s="8"/>
      <c r="E446" s="4"/>
      <c r="F446" s="8"/>
      <c r="G446" s="4"/>
      <c r="H446" s="8"/>
      <c r="I446" s="4"/>
    </row>
    <row r="447" spans="1:9" x14ac:dyDescent="0.2">
      <c r="A447" s="1" t="s">
        <v>20</v>
      </c>
      <c r="C447" s="4"/>
      <c r="D447" s="8"/>
      <c r="E447" s="4"/>
      <c r="F447" s="8"/>
      <c r="G447" s="4"/>
      <c r="H447" s="8"/>
      <c r="I447" s="4"/>
    </row>
    <row r="448" spans="1:9" x14ac:dyDescent="0.2">
      <c r="A448" s="2">
        <v>1</v>
      </c>
      <c r="B448" s="1" t="s">
        <v>85</v>
      </c>
      <c r="C448" s="4">
        <v>370</v>
      </c>
      <c r="D448" s="8">
        <v>10.49</v>
      </c>
      <c r="E448" s="4">
        <v>313</v>
      </c>
      <c r="F448" s="8">
        <v>17.12</v>
      </c>
      <c r="G448" s="4">
        <v>57</v>
      </c>
      <c r="H448" s="8">
        <v>3.54</v>
      </c>
      <c r="I448" s="4">
        <v>0</v>
      </c>
    </row>
    <row r="449" spans="1:9" x14ac:dyDescent="0.2">
      <c r="A449" s="2">
        <v>2</v>
      </c>
      <c r="B449" s="1" t="s">
        <v>84</v>
      </c>
      <c r="C449" s="4">
        <v>272</v>
      </c>
      <c r="D449" s="8">
        <v>7.71</v>
      </c>
      <c r="E449" s="4">
        <v>242</v>
      </c>
      <c r="F449" s="8">
        <v>13.24</v>
      </c>
      <c r="G449" s="4">
        <v>30</v>
      </c>
      <c r="H449" s="8">
        <v>1.86</v>
      </c>
      <c r="I449" s="4">
        <v>0</v>
      </c>
    </row>
    <row r="450" spans="1:9" x14ac:dyDescent="0.2">
      <c r="A450" s="2">
        <v>3</v>
      </c>
      <c r="B450" s="1" t="s">
        <v>81</v>
      </c>
      <c r="C450" s="4">
        <v>259</v>
      </c>
      <c r="D450" s="8">
        <v>7.34</v>
      </c>
      <c r="E450" s="4">
        <v>141</v>
      </c>
      <c r="F450" s="8">
        <v>7.71</v>
      </c>
      <c r="G450" s="4">
        <v>118</v>
      </c>
      <c r="H450" s="8">
        <v>7.33</v>
      </c>
      <c r="I450" s="4">
        <v>0</v>
      </c>
    </row>
    <row r="451" spans="1:9" x14ac:dyDescent="0.2">
      <c r="A451" s="2">
        <v>4</v>
      </c>
      <c r="B451" s="1" t="s">
        <v>69</v>
      </c>
      <c r="C451" s="4">
        <v>210</v>
      </c>
      <c r="D451" s="8">
        <v>5.95</v>
      </c>
      <c r="E451" s="4">
        <v>76</v>
      </c>
      <c r="F451" s="8">
        <v>4.16</v>
      </c>
      <c r="G451" s="4">
        <v>134</v>
      </c>
      <c r="H451" s="8">
        <v>8.32</v>
      </c>
      <c r="I451" s="4">
        <v>0</v>
      </c>
    </row>
    <row r="452" spans="1:9" x14ac:dyDescent="0.2">
      <c r="A452" s="2">
        <v>5</v>
      </c>
      <c r="B452" s="1" t="s">
        <v>79</v>
      </c>
      <c r="C452" s="4">
        <v>170</v>
      </c>
      <c r="D452" s="8">
        <v>4.82</v>
      </c>
      <c r="E452" s="4">
        <v>77</v>
      </c>
      <c r="F452" s="8">
        <v>4.21</v>
      </c>
      <c r="G452" s="4">
        <v>93</v>
      </c>
      <c r="H452" s="8">
        <v>5.78</v>
      </c>
      <c r="I452" s="4">
        <v>0</v>
      </c>
    </row>
    <row r="453" spans="1:9" x14ac:dyDescent="0.2">
      <c r="A453" s="2">
        <v>6</v>
      </c>
      <c r="B453" s="1" t="s">
        <v>70</v>
      </c>
      <c r="C453" s="4">
        <v>159</v>
      </c>
      <c r="D453" s="8">
        <v>4.51</v>
      </c>
      <c r="E453" s="4">
        <v>77</v>
      </c>
      <c r="F453" s="8">
        <v>4.21</v>
      </c>
      <c r="G453" s="4">
        <v>82</v>
      </c>
      <c r="H453" s="8">
        <v>5.09</v>
      </c>
      <c r="I453" s="4">
        <v>0</v>
      </c>
    </row>
    <row r="454" spans="1:9" x14ac:dyDescent="0.2">
      <c r="A454" s="2">
        <v>7</v>
      </c>
      <c r="B454" s="1" t="s">
        <v>77</v>
      </c>
      <c r="C454" s="4">
        <v>153</v>
      </c>
      <c r="D454" s="8">
        <v>4.34</v>
      </c>
      <c r="E454" s="4">
        <v>111</v>
      </c>
      <c r="F454" s="8">
        <v>6.07</v>
      </c>
      <c r="G454" s="4">
        <v>42</v>
      </c>
      <c r="H454" s="8">
        <v>2.61</v>
      </c>
      <c r="I454" s="4">
        <v>0</v>
      </c>
    </row>
    <row r="455" spans="1:9" x14ac:dyDescent="0.2">
      <c r="A455" s="2">
        <v>8</v>
      </c>
      <c r="B455" s="1" t="s">
        <v>78</v>
      </c>
      <c r="C455" s="4">
        <v>148</v>
      </c>
      <c r="D455" s="8">
        <v>4.2</v>
      </c>
      <c r="E455" s="4">
        <v>77</v>
      </c>
      <c r="F455" s="8">
        <v>4.21</v>
      </c>
      <c r="G455" s="4">
        <v>71</v>
      </c>
      <c r="H455" s="8">
        <v>4.41</v>
      </c>
      <c r="I455" s="4">
        <v>0</v>
      </c>
    </row>
    <row r="456" spans="1:9" x14ac:dyDescent="0.2">
      <c r="A456" s="2">
        <v>9</v>
      </c>
      <c r="B456" s="1" t="s">
        <v>86</v>
      </c>
      <c r="C456" s="4">
        <v>136</v>
      </c>
      <c r="D456" s="8">
        <v>3.85</v>
      </c>
      <c r="E456" s="4">
        <v>104</v>
      </c>
      <c r="F456" s="8">
        <v>5.69</v>
      </c>
      <c r="G456" s="4">
        <v>29</v>
      </c>
      <c r="H456" s="8">
        <v>1.8</v>
      </c>
      <c r="I456" s="4">
        <v>0</v>
      </c>
    </row>
    <row r="457" spans="1:9" x14ac:dyDescent="0.2">
      <c r="A457" s="2">
        <v>10</v>
      </c>
      <c r="B457" s="1" t="s">
        <v>87</v>
      </c>
      <c r="C457" s="4">
        <v>122</v>
      </c>
      <c r="D457" s="8">
        <v>3.46</v>
      </c>
      <c r="E457" s="4">
        <v>107</v>
      </c>
      <c r="F457" s="8">
        <v>5.85</v>
      </c>
      <c r="G457" s="4">
        <v>15</v>
      </c>
      <c r="H457" s="8">
        <v>0.93</v>
      </c>
      <c r="I457" s="4">
        <v>0</v>
      </c>
    </row>
    <row r="458" spans="1:9" x14ac:dyDescent="0.2">
      <c r="A458" s="2">
        <v>11</v>
      </c>
      <c r="B458" s="1" t="s">
        <v>71</v>
      </c>
      <c r="C458" s="4">
        <v>113</v>
      </c>
      <c r="D458" s="8">
        <v>3.2</v>
      </c>
      <c r="E458" s="4">
        <v>31</v>
      </c>
      <c r="F458" s="8">
        <v>1.7</v>
      </c>
      <c r="G458" s="4">
        <v>82</v>
      </c>
      <c r="H458" s="8">
        <v>5.09</v>
      </c>
      <c r="I458" s="4">
        <v>0</v>
      </c>
    </row>
    <row r="459" spans="1:9" x14ac:dyDescent="0.2">
      <c r="A459" s="2">
        <v>12</v>
      </c>
      <c r="B459" s="1" t="s">
        <v>76</v>
      </c>
      <c r="C459" s="4">
        <v>100</v>
      </c>
      <c r="D459" s="8">
        <v>2.83</v>
      </c>
      <c r="E459" s="4">
        <v>38</v>
      </c>
      <c r="F459" s="8">
        <v>2.08</v>
      </c>
      <c r="G459" s="4">
        <v>62</v>
      </c>
      <c r="H459" s="8">
        <v>3.85</v>
      </c>
      <c r="I459" s="4">
        <v>0</v>
      </c>
    </row>
    <row r="460" spans="1:9" x14ac:dyDescent="0.2">
      <c r="A460" s="2">
        <v>13</v>
      </c>
      <c r="B460" s="1" t="s">
        <v>90</v>
      </c>
      <c r="C460" s="4">
        <v>91</v>
      </c>
      <c r="D460" s="8">
        <v>2.58</v>
      </c>
      <c r="E460" s="4">
        <v>0</v>
      </c>
      <c r="F460" s="8">
        <v>0</v>
      </c>
      <c r="G460" s="4">
        <v>35</v>
      </c>
      <c r="H460" s="8">
        <v>2.17</v>
      </c>
      <c r="I460" s="4">
        <v>0</v>
      </c>
    </row>
    <row r="461" spans="1:9" x14ac:dyDescent="0.2">
      <c r="A461" s="2">
        <v>14</v>
      </c>
      <c r="B461" s="1" t="s">
        <v>82</v>
      </c>
      <c r="C461" s="4">
        <v>79</v>
      </c>
      <c r="D461" s="8">
        <v>2.2400000000000002</v>
      </c>
      <c r="E461" s="4">
        <v>55</v>
      </c>
      <c r="F461" s="8">
        <v>3.01</v>
      </c>
      <c r="G461" s="4">
        <v>24</v>
      </c>
      <c r="H461" s="8">
        <v>1.49</v>
      </c>
      <c r="I461" s="4">
        <v>0</v>
      </c>
    </row>
    <row r="462" spans="1:9" x14ac:dyDescent="0.2">
      <c r="A462" s="2">
        <v>15</v>
      </c>
      <c r="B462" s="1" t="s">
        <v>72</v>
      </c>
      <c r="C462" s="4">
        <v>76</v>
      </c>
      <c r="D462" s="8">
        <v>2.15</v>
      </c>
      <c r="E462" s="4">
        <v>23</v>
      </c>
      <c r="F462" s="8">
        <v>1.26</v>
      </c>
      <c r="G462" s="4">
        <v>53</v>
      </c>
      <c r="H462" s="8">
        <v>3.29</v>
      </c>
      <c r="I462" s="4">
        <v>0</v>
      </c>
    </row>
    <row r="463" spans="1:9" x14ac:dyDescent="0.2">
      <c r="A463" s="2">
        <v>16</v>
      </c>
      <c r="B463" s="1" t="s">
        <v>96</v>
      </c>
      <c r="C463" s="4">
        <v>74</v>
      </c>
      <c r="D463" s="8">
        <v>2.1</v>
      </c>
      <c r="E463" s="4">
        <v>49</v>
      </c>
      <c r="F463" s="8">
        <v>2.68</v>
      </c>
      <c r="G463" s="4">
        <v>25</v>
      </c>
      <c r="H463" s="8">
        <v>1.55</v>
      </c>
      <c r="I463" s="4">
        <v>0</v>
      </c>
    </row>
    <row r="464" spans="1:9" x14ac:dyDescent="0.2">
      <c r="A464" s="2">
        <v>16</v>
      </c>
      <c r="B464" s="1" t="s">
        <v>73</v>
      </c>
      <c r="C464" s="4">
        <v>74</v>
      </c>
      <c r="D464" s="8">
        <v>2.1</v>
      </c>
      <c r="E464" s="4">
        <v>13</v>
      </c>
      <c r="F464" s="8">
        <v>0.71</v>
      </c>
      <c r="G464" s="4">
        <v>61</v>
      </c>
      <c r="H464" s="8">
        <v>3.79</v>
      </c>
      <c r="I464" s="4">
        <v>0</v>
      </c>
    </row>
    <row r="465" spans="1:9" x14ac:dyDescent="0.2">
      <c r="A465" s="2">
        <v>18</v>
      </c>
      <c r="B465" s="1" t="s">
        <v>83</v>
      </c>
      <c r="C465" s="4">
        <v>66</v>
      </c>
      <c r="D465" s="8">
        <v>1.87</v>
      </c>
      <c r="E465" s="4">
        <v>25</v>
      </c>
      <c r="F465" s="8">
        <v>1.37</v>
      </c>
      <c r="G465" s="4">
        <v>41</v>
      </c>
      <c r="H465" s="8">
        <v>2.5499999999999998</v>
      </c>
      <c r="I465" s="4">
        <v>0</v>
      </c>
    </row>
    <row r="466" spans="1:9" x14ac:dyDescent="0.2">
      <c r="A466" s="2">
        <v>19</v>
      </c>
      <c r="B466" s="1" t="s">
        <v>94</v>
      </c>
      <c r="C466" s="4">
        <v>62</v>
      </c>
      <c r="D466" s="8">
        <v>1.76</v>
      </c>
      <c r="E466" s="4">
        <v>23</v>
      </c>
      <c r="F466" s="8">
        <v>1.26</v>
      </c>
      <c r="G466" s="4">
        <v>39</v>
      </c>
      <c r="H466" s="8">
        <v>2.42</v>
      </c>
      <c r="I466" s="4">
        <v>0</v>
      </c>
    </row>
    <row r="467" spans="1:9" x14ac:dyDescent="0.2">
      <c r="A467" s="2">
        <v>20</v>
      </c>
      <c r="B467" s="1" t="s">
        <v>88</v>
      </c>
      <c r="C467" s="4">
        <v>54</v>
      </c>
      <c r="D467" s="8">
        <v>1.53</v>
      </c>
      <c r="E467" s="4">
        <v>36</v>
      </c>
      <c r="F467" s="8">
        <v>1.97</v>
      </c>
      <c r="G467" s="4">
        <v>18</v>
      </c>
      <c r="H467" s="8">
        <v>1.1200000000000001</v>
      </c>
      <c r="I467" s="4">
        <v>0</v>
      </c>
    </row>
    <row r="468" spans="1:9" x14ac:dyDescent="0.2">
      <c r="A468" s="1"/>
      <c r="C468" s="4"/>
      <c r="D468" s="8"/>
      <c r="E468" s="4"/>
      <c r="F468" s="8"/>
      <c r="G468" s="4"/>
      <c r="H468" s="8"/>
      <c r="I468" s="4"/>
    </row>
    <row r="469" spans="1:9" x14ac:dyDescent="0.2">
      <c r="A469" s="1" t="s">
        <v>21</v>
      </c>
      <c r="C469" s="4"/>
      <c r="D469" s="8"/>
      <c r="E469" s="4"/>
      <c r="F469" s="8"/>
      <c r="G469" s="4"/>
      <c r="H469" s="8"/>
      <c r="I469" s="4"/>
    </row>
    <row r="470" spans="1:9" x14ac:dyDescent="0.2">
      <c r="A470" s="2">
        <v>1</v>
      </c>
      <c r="B470" s="1" t="s">
        <v>85</v>
      </c>
      <c r="C470" s="4">
        <v>384</v>
      </c>
      <c r="D470" s="8">
        <v>10.58</v>
      </c>
      <c r="E470" s="4">
        <v>325</v>
      </c>
      <c r="F470" s="8">
        <v>15.92</v>
      </c>
      <c r="G470" s="4">
        <v>59</v>
      </c>
      <c r="H470" s="8">
        <v>3.73</v>
      </c>
      <c r="I470" s="4">
        <v>0</v>
      </c>
    </row>
    <row r="471" spans="1:9" x14ac:dyDescent="0.2">
      <c r="A471" s="2">
        <v>2</v>
      </c>
      <c r="B471" s="1" t="s">
        <v>84</v>
      </c>
      <c r="C471" s="4">
        <v>340</v>
      </c>
      <c r="D471" s="8">
        <v>9.36</v>
      </c>
      <c r="E471" s="4">
        <v>306</v>
      </c>
      <c r="F471" s="8">
        <v>14.99</v>
      </c>
      <c r="G471" s="4">
        <v>34</v>
      </c>
      <c r="H471" s="8">
        <v>2.15</v>
      </c>
      <c r="I471" s="4">
        <v>0</v>
      </c>
    </row>
    <row r="472" spans="1:9" x14ac:dyDescent="0.2">
      <c r="A472" s="2">
        <v>3</v>
      </c>
      <c r="B472" s="1" t="s">
        <v>79</v>
      </c>
      <c r="C472" s="4">
        <v>211</v>
      </c>
      <c r="D472" s="8">
        <v>5.81</v>
      </c>
      <c r="E472" s="4">
        <v>112</v>
      </c>
      <c r="F472" s="8">
        <v>5.49</v>
      </c>
      <c r="G472" s="4">
        <v>99</v>
      </c>
      <c r="H472" s="8">
        <v>6.25</v>
      </c>
      <c r="I472" s="4">
        <v>0</v>
      </c>
    </row>
    <row r="473" spans="1:9" x14ac:dyDescent="0.2">
      <c r="A473" s="2">
        <v>4</v>
      </c>
      <c r="B473" s="1" t="s">
        <v>77</v>
      </c>
      <c r="C473" s="4">
        <v>202</v>
      </c>
      <c r="D473" s="8">
        <v>5.56</v>
      </c>
      <c r="E473" s="4">
        <v>153</v>
      </c>
      <c r="F473" s="8">
        <v>7.5</v>
      </c>
      <c r="G473" s="4">
        <v>48</v>
      </c>
      <c r="H473" s="8">
        <v>3.03</v>
      </c>
      <c r="I473" s="4">
        <v>1</v>
      </c>
    </row>
    <row r="474" spans="1:9" x14ac:dyDescent="0.2">
      <c r="A474" s="2">
        <v>5</v>
      </c>
      <c r="B474" s="1" t="s">
        <v>69</v>
      </c>
      <c r="C474" s="4">
        <v>195</v>
      </c>
      <c r="D474" s="8">
        <v>5.37</v>
      </c>
      <c r="E474" s="4">
        <v>73</v>
      </c>
      <c r="F474" s="8">
        <v>3.58</v>
      </c>
      <c r="G474" s="4">
        <v>122</v>
      </c>
      <c r="H474" s="8">
        <v>7.71</v>
      </c>
      <c r="I474" s="4">
        <v>0</v>
      </c>
    </row>
    <row r="475" spans="1:9" x14ac:dyDescent="0.2">
      <c r="A475" s="2">
        <v>6</v>
      </c>
      <c r="B475" s="1" t="s">
        <v>81</v>
      </c>
      <c r="C475" s="4">
        <v>192</v>
      </c>
      <c r="D475" s="8">
        <v>5.29</v>
      </c>
      <c r="E475" s="4">
        <v>110</v>
      </c>
      <c r="F475" s="8">
        <v>5.39</v>
      </c>
      <c r="G475" s="4">
        <v>82</v>
      </c>
      <c r="H475" s="8">
        <v>5.18</v>
      </c>
      <c r="I475" s="4">
        <v>0</v>
      </c>
    </row>
    <row r="476" spans="1:9" x14ac:dyDescent="0.2">
      <c r="A476" s="2">
        <v>7</v>
      </c>
      <c r="B476" s="1" t="s">
        <v>70</v>
      </c>
      <c r="C476" s="4">
        <v>172</v>
      </c>
      <c r="D476" s="8">
        <v>4.74</v>
      </c>
      <c r="E476" s="4">
        <v>80</v>
      </c>
      <c r="F476" s="8">
        <v>3.92</v>
      </c>
      <c r="G476" s="4">
        <v>92</v>
      </c>
      <c r="H476" s="8">
        <v>5.81</v>
      </c>
      <c r="I476" s="4">
        <v>0</v>
      </c>
    </row>
    <row r="477" spans="1:9" x14ac:dyDescent="0.2">
      <c r="A477" s="2">
        <v>8</v>
      </c>
      <c r="B477" s="1" t="s">
        <v>86</v>
      </c>
      <c r="C477" s="4">
        <v>163</v>
      </c>
      <c r="D477" s="8">
        <v>4.49</v>
      </c>
      <c r="E477" s="4">
        <v>136</v>
      </c>
      <c r="F477" s="8">
        <v>6.66</v>
      </c>
      <c r="G477" s="4">
        <v>26</v>
      </c>
      <c r="H477" s="8">
        <v>1.64</v>
      </c>
      <c r="I477" s="4">
        <v>1</v>
      </c>
    </row>
    <row r="478" spans="1:9" x14ac:dyDescent="0.2">
      <c r="A478" s="2">
        <v>9</v>
      </c>
      <c r="B478" s="1" t="s">
        <v>71</v>
      </c>
      <c r="C478" s="4">
        <v>133</v>
      </c>
      <c r="D478" s="8">
        <v>3.66</v>
      </c>
      <c r="E478" s="4">
        <v>50</v>
      </c>
      <c r="F478" s="8">
        <v>2.4500000000000002</v>
      </c>
      <c r="G478" s="4">
        <v>83</v>
      </c>
      <c r="H478" s="8">
        <v>5.24</v>
      </c>
      <c r="I478" s="4">
        <v>0</v>
      </c>
    </row>
    <row r="479" spans="1:9" x14ac:dyDescent="0.2">
      <c r="A479" s="2">
        <v>10</v>
      </c>
      <c r="B479" s="1" t="s">
        <v>78</v>
      </c>
      <c r="C479" s="4">
        <v>129</v>
      </c>
      <c r="D479" s="8">
        <v>3.55</v>
      </c>
      <c r="E479" s="4">
        <v>79</v>
      </c>
      <c r="F479" s="8">
        <v>3.87</v>
      </c>
      <c r="G479" s="4">
        <v>50</v>
      </c>
      <c r="H479" s="8">
        <v>3.16</v>
      </c>
      <c r="I479" s="4">
        <v>0</v>
      </c>
    </row>
    <row r="480" spans="1:9" x14ac:dyDescent="0.2">
      <c r="A480" s="2">
        <v>11</v>
      </c>
      <c r="B480" s="1" t="s">
        <v>100</v>
      </c>
      <c r="C480" s="4">
        <v>120</v>
      </c>
      <c r="D480" s="8">
        <v>3.3</v>
      </c>
      <c r="E480" s="4">
        <v>24</v>
      </c>
      <c r="F480" s="8">
        <v>1.18</v>
      </c>
      <c r="G480" s="4">
        <v>96</v>
      </c>
      <c r="H480" s="8">
        <v>6.06</v>
      </c>
      <c r="I480" s="4">
        <v>0</v>
      </c>
    </row>
    <row r="481" spans="1:9" x14ac:dyDescent="0.2">
      <c r="A481" s="2">
        <v>12</v>
      </c>
      <c r="B481" s="1" t="s">
        <v>87</v>
      </c>
      <c r="C481" s="4">
        <v>110</v>
      </c>
      <c r="D481" s="8">
        <v>3.03</v>
      </c>
      <c r="E481" s="4">
        <v>93</v>
      </c>
      <c r="F481" s="8">
        <v>4.5599999999999996</v>
      </c>
      <c r="G481" s="4">
        <v>17</v>
      </c>
      <c r="H481" s="8">
        <v>1.07</v>
      </c>
      <c r="I481" s="4">
        <v>0</v>
      </c>
    </row>
    <row r="482" spans="1:9" x14ac:dyDescent="0.2">
      <c r="A482" s="2">
        <v>13</v>
      </c>
      <c r="B482" s="1" t="s">
        <v>93</v>
      </c>
      <c r="C482" s="4">
        <v>89</v>
      </c>
      <c r="D482" s="8">
        <v>2.4500000000000002</v>
      </c>
      <c r="E482" s="4">
        <v>14</v>
      </c>
      <c r="F482" s="8">
        <v>0.69</v>
      </c>
      <c r="G482" s="4">
        <v>75</v>
      </c>
      <c r="H482" s="8">
        <v>4.74</v>
      </c>
      <c r="I482" s="4">
        <v>0</v>
      </c>
    </row>
    <row r="483" spans="1:9" x14ac:dyDescent="0.2">
      <c r="A483" s="2">
        <v>14</v>
      </c>
      <c r="B483" s="1" t="s">
        <v>76</v>
      </c>
      <c r="C483" s="4">
        <v>74</v>
      </c>
      <c r="D483" s="8">
        <v>2.04</v>
      </c>
      <c r="E483" s="4">
        <v>45</v>
      </c>
      <c r="F483" s="8">
        <v>2.2000000000000002</v>
      </c>
      <c r="G483" s="4">
        <v>29</v>
      </c>
      <c r="H483" s="8">
        <v>1.83</v>
      </c>
      <c r="I483" s="4">
        <v>0</v>
      </c>
    </row>
    <row r="484" spans="1:9" x14ac:dyDescent="0.2">
      <c r="A484" s="2">
        <v>15</v>
      </c>
      <c r="B484" s="1" t="s">
        <v>73</v>
      </c>
      <c r="C484" s="4">
        <v>73</v>
      </c>
      <c r="D484" s="8">
        <v>2.0099999999999998</v>
      </c>
      <c r="E484" s="4">
        <v>23</v>
      </c>
      <c r="F484" s="8">
        <v>1.1299999999999999</v>
      </c>
      <c r="G484" s="4">
        <v>50</v>
      </c>
      <c r="H484" s="8">
        <v>3.16</v>
      </c>
      <c r="I484" s="4">
        <v>0</v>
      </c>
    </row>
    <row r="485" spans="1:9" x14ac:dyDescent="0.2">
      <c r="A485" s="2">
        <v>16</v>
      </c>
      <c r="B485" s="1" t="s">
        <v>82</v>
      </c>
      <c r="C485" s="4">
        <v>66</v>
      </c>
      <c r="D485" s="8">
        <v>1.82</v>
      </c>
      <c r="E485" s="4">
        <v>51</v>
      </c>
      <c r="F485" s="8">
        <v>2.5</v>
      </c>
      <c r="G485" s="4">
        <v>15</v>
      </c>
      <c r="H485" s="8">
        <v>0.95</v>
      </c>
      <c r="I485" s="4">
        <v>0</v>
      </c>
    </row>
    <row r="486" spans="1:9" x14ac:dyDescent="0.2">
      <c r="A486" s="2">
        <v>17</v>
      </c>
      <c r="B486" s="1" t="s">
        <v>83</v>
      </c>
      <c r="C486" s="4">
        <v>65</v>
      </c>
      <c r="D486" s="8">
        <v>1.79</v>
      </c>
      <c r="E486" s="4">
        <v>41</v>
      </c>
      <c r="F486" s="8">
        <v>2.0099999999999998</v>
      </c>
      <c r="G486" s="4">
        <v>24</v>
      </c>
      <c r="H486" s="8">
        <v>1.52</v>
      </c>
      <c r="I486" s="4">
        <v>0</v>
      </c>
    </row>
    <row r="487" spans="1:9" x14ac:dyDescent="0.2">
      <c r="A487" s="2">
        <v>18</v>
      </c>
      <c r="B487" s="1" t="s">
        <v>72</v>
      </c>
      <c r="C487" s="4">
        <v>54</v>
      </c>
      <c r="D487" s="8">
        <v>1.49</v>
      </c>
      <c r="E487" s="4">
        <v>22</v>
      </c>
      <c r="F487" s="8">
        <v>1.08</v>
      </c>
      <c r="G487" s="4">
        <v>32</v>
      </c>
      <c r="H487" s="8">
        <v>2.02</v>
      </c>
      <c r="I487" s="4">
        <v>0</v>
      </c>
    </row>
    <row r="488" spans="1:9" x14ac:dyDescent="0.2">
      <c r="A488" s="2">
        <v>19</v>
      </c>
      <c r="B488" s="1" t="s">
        <v>89</v>
      </c>
      <c r="C488" s="4">
        <v>52</v>
      </c>
      <c r="D488" s="8">
        <v>1.43</v>
      </c>
      <c r="E488" s="4">
        <v>11</v>
      </c>
      <c r="F488" s="8">
        <v>0.54</v>
      </c>
      <c r="G488" s="4">
        <v>41</v>
      </c>
      <c r="H488" s="8">
        <v>2.59</v>
      </c>
      <c r="I488" s="4">
        <v>0</v>
      </c>
    </row>
    <row r="489" spans="1:9" x14ac:dyDescent="0.2">
      <c r="A489" s="2">
        <v>20</v>
      </c>
      <c r="B489" s="1" t="s">
        <v>74</v>
      </c>
      <c r="C489" s="4">
        <v>51</v>
      </c>
      <c r="D489" s="8">
        <v>1.4</v>
      </c>
      <c r="E489" s="4">
        <v>10</v>
      </c>
      <c r="F489" s="8">
        <v>0.49</v>
      </c>
      <c r="G489" s="4">
        <v>41</v>
      </c>
      <c r="H489" s="8">
        <v>2.59</v>
      </c>
      <c r="I489" s="4">
        <v>0</v>
      </c>
    </row>
    <row r="490" spans="1:9" x14ac:dyDescent="0.2">
      <c r="A490" s="1"/>
      <c r="C490" s="4"/>
      <c r="D490" s="8"/>
      <c r="E490" s="4"/>
      <c r="F490" s="8"/>
      <c r="G490" s="4"/>
      <c r="H490" s="8"/>
      <c r="I490" s="4"/>
    </row>
    <row r="491" spans="1:9" x14ac:dyDescent="0.2">
      <c r="A491" s="1" t="s">
        <v>22</v>
      </c>
      <c r="C491" s="4"/>
      <c r="D491" s="8"/>
      <c r="E491" s="4"/>
      <c r="F491" s="8"/>
      <c r="G491" s="4"/>
      <c r="H491" s="8"/>
      <c r="I491" s="4"/>
    </row>
    <row r="492" spans="1:9" x14ac:dyDescent="0.2">
      <c r="A492" s="2">
        <v>1</v>
      </c>
      <c r="B492" s="1" t="s">
        <v>84</v>
      </c>
      <c r="C492" s="4">
        <v>306</v>
      </c>
      <c r="D492" s="8">
        <v>12.17</v>
      </c>
      <c r="E492" s="4">
        <v>268</v>
      </c>
      <c r="F492" s="8">
        <v>19.170000000000002</v>
      </c>
      <c r="G492" s="4">
        <v>38</v>
      </c>
      <c r="H492" s="8">
        <v>3.45</v>
      </c>
      <c r="I492" s="4">
        <v>0</v>
      </c>
    </row>
    <row r="493" spans="1:9" x14ac:dyDescent="0.2">
      <c r="A493" s="2">
        <v>2</v>
      </c>
      <c r="B493" s="1" t="s">
        <v>85</v>
      </c>
      <c r="C493" s="4">
        <v>290</v>
      </c>
      <c r="D493" s="8">
        <v>11.53</v>
      </c>
      <c r="E493" s="4">
        <v>256</v>
      </c>
      <c r="F493" s="8">
        <v>18.309999999999999</v>
      </c>
      <c r="G493" s="4">
        <v>34</v>
      </c>
      <c r="H493" s="8">
        <v>3.09</v>
      </c>
      <c r="I493" s="4">
        <v>0</v>
      </c>
    </row>
    <row r="494" spans="1:9" x14ac:dyDescent="0.2">
      <c r="A494" s="2">
        <v>3</v>
      </c>
      <c r="B494" s="1" t="s">
        <v>69</v>
      </c>
      <c r="C494" s="4">
        <v>196</v>
      </c>
      <c r="D494" s="8">
        <v>7.79</v>
      </c>
      <c r="E494" s="4">
        <v>75</v>
      </c>
      <c r="F494" s="8">
        <v>5.36</v>
      </c>
      <c r="G494" s="4">
        <v>121</v>
      </c>
      <c r="H494" s="8">
        <v>11</v>
      </c>
      <c r="I494" s="4">
        <v>0</v>
      </c>
    </row>
    <row r="495" spans="1:9" x14ac:dyDescent="0.2">
      <c r="A495" s="2">
        <v>4</v>
      </c>
      <c r="B495" s="1" t="s">
        <v>79</v>
      </c>
      <c r="C495" s="4">
        <v>176</v>
      </c>
      <c r="D495" s="8">
        <v>7</v>
      </c>
      <c r="E495" s="4">
        <v>98</v>
      </c>
      <c r="F495" s="8">
        <v>7.01</v>
      </c>
      <c r="G495" s="4">
        <v>78</v>
      </c>
      <c r="H495" s="8">
        <v>7.09</v>
      </c>
      <c r="I495" s="4">
        <v>0</v>
      </c>
    </row>
    <row r="496" spans="1:9" x14ac:dyDescent="0.2">
      <c r="A496" s="2">
        <v>5</v>
      </c>
      <c r="B496" s="1" t="s">
        <v>70</v>
      </c>
      <c r="C496" s="4">
        <v>126</v>
      </c>
      <c r="D496" s="8">
        <v>5.01</v>
      </c>
      <c r="E496" s="4">
        <v>68</v>
      </c>
      <c r="F496" s="8">
        <v>4.8600000000000003</v>
      </c>
      <c r="G496" s="4">
        <v>58</v>
      </c>
      <c r="H496" s="8">
        <v>5.27</v>
      </c>
      <c r="I496" s="4">
        <v>0</v>
      </c>
    </row>
    <row r="497" spans="1:9" x14ac:dyDescent="0.2">
      <c r="A497" s="2">
        <v>6</v>
      </c>
      <c r="B497" s="1" t="s">
        <v>77</v>
      </c>
      <c r="C497" s="4">
        <v>117</v>
      </c>
      <c r="D497" s="8">
        <v>4.6500000000000004</v>
      </c>
      <c r="E497" s="4">
        <v>92</v>
      </c>
      <c r="F497" s="8">
        <v>6.58</v>
      </c>
      <c r="G497" s="4">
        <v>25</v>
      </c>
      <c r="H497" s="8">
        <v>2.27</v>
      </c>
      <c r="I497" s="4">
        <v>0</v>
      </c>
    </row>
    <row r="498" spans="1:9" x14ac:dyDescent="0.2">
      <c r="A498" s="2">
        <v>7</v>
      </c>
      <c r="B498" s="1" t="s">
        <v>86</v>
      </c>
      <c r="C498" s="4">
        <v>102</v>
      </c>
      <c r="D498" s="8">
        <v>4.0599999999999996</v>
      </c>
      <c r="E498" s="4">
        <v>80</v>
      </c>
      <c r="F498" s="8">
        <v>5.72</v>
      </c>
      <c r="G498" s="4">
        <v>15</v>
      </c>
      <c r="H498" s="8">
        <v>1.36</v>
      </c>
      <c r="I498" s="4">
        <v>4</v>
      </c>
    </row>
    <row r="499" spans="1:9" x14ac:dyDescent="0.2">
      <c r="A499" s="2">
        <v>8</v>
      </c>
      <c r="B499" s="1" t="s">
        <v>87</v>
      </c>
      <c r="C499" s="4">
        <v>82</v>
      </c>
      <c r="D499" s="8">
        <v>3.26</v>
      </c>
      <c r="E499" s="4">
        <v>72</v>
      </c>
      <c r="F499" s="8">
        <v>5.15</v>
      </c>
      <c r="G499" s="4">
        <v>10</v>
      </c>
      <c r="H499" s="8">
        <v>0.91</v>
      </c>
      <c r="I499" s="4">
        <v>0</v>
      </c>
    </row>
    <row r="500" spans="1:9" x14ac:dyDescent="0.2">
      <c r="A500" s="2">
        <v>9</v>
      </c>
      <c r="B500" s="1" t="s">
        <v>71</v>
      </c>
      <c r="C500" s="4">
        <v>81</v>
      </c>
      <c r="D500" s="8">
        <v>3.22</v>
      </c>
      <c r="E500" s="4">
        <v>20</v>
      </c>
      <c r="F500" s="8">
        <v>1.43</v>
      </c>
      <c r="G500" s="4">
        <v>61</v>
      </c>
      <c r="H500" s="8">
        <v>5.55</v>
      </c>
      <c r="I500" s="4">
        <v>0</v>
      </c>
    </row>
    <row r="501" spans="1:9" x14ac:dyDescent="0.2">
      <c r="A501" s="2">
        <v>10</v>
      </c>
      <c r="B501" s="1" t="s">
        <v>81</v>
      </c>
      <c r="C501" s="4">
        <v>79</v>
      </c>
      <c r="D501" s="8">
        <v>3.14</v>
      </c>
      <c r="E501" s="4">
        <v>13</v>
      </c>
      <c r="F501" s="8">
        <v>0.93</v>
      </c>
      <c r="G501" s="4">
        <v>66</v>
      </c>
      <c r="H501" s="8">
        <v>6</v>
      </c>
      <c r="I501" s="4">
        <v>0</v>
      </c>
    </row>
    <row r="502" spans="1:9" x14ac:dyDescent="0.2">
      <c r="A502" s="2">
        <v>11</v>
      </c>
      <c r="B502" s="1" t="s">
        <v>78</v>
      </c>
      <c r="C502" s="4">
        <v>77</v>
      </c>
      <c r="D502" s="8">
        <v>3.06</v>
      </c>
      <c r="E502" s="4">
        <v>35</v>
      </c>
      <c r="F502" s="8">
        <v>2.5</v>
      </c>
      <c r="G502" s="4">
        <v>42</v>
      </c>
      <c r="H502" s="8">
        <v>3.82</v>
      </c>
      <c r="I502" s="4">
        <v>0</v>
      </c>
    </row>
    <row r="503" spans="1:9" x14ac:dyDescent="0.2">
      <c r="A503" s="2">
        <v>12</v>
      </c>
      <c r="B503" s="1" t="s">
        <v>83</v>
      </c>
      <c r="C503" s="4">
        <v>76</v>
      </c>
      <c r="D503" s="8">
        <v>3.02</v>
      </c>
      <c r="E503" s="4">
        <v>37</v>
      </c>
      <c r="F503" s="8">
        <v>2.65</v>
      </c>
      <c r="G503" s="4">
        <v>39</v>
      </c>
      <c r="H503" s="8">
        <v>3.55</v>
      </c>
      <c r="I503" s="4">
        <v>0</v>
      </c>
    </row>
    <row r="504" spans="1:9" x14ac:dyDescent="0.2">
      <c r="A504" s="2">
        <v>13</v>
      </c>
      <c r="B504" s="1" t="s">
        <v>76</v>
      </c>
      <c r="C504" s="4">
        <v>63</v>
      </c>
      <c r="D504" s="8">
        <v>2.5</v>
      </c>
      <c r="E504" s="4">
        <v>40</v>
      </c>
      <c r="F504" s="8">
        <v>2.86</v>
      </c>
      <c r="G504" s="4">
        <v>23</v>
      </c>
      <c r="H504" s="8">
        <v>2.09</v>
      </c>
      <c r="I504" s="4">
        <v>0</v>
      </c>
    </row>
    <row r="505" spans="1:9" x14ac:dyDescent="0.2">
      <c r="A505" s="2">
        <v>14</v>
      </c>
      <c r="B505" s="1" t="s">
        <v>82</v>
      </c>
      <c r="C505" s="4">
        <v>55</v>
      </c>
      <c r="D505" s="8">
        <v>2.19</v>
      </c>
      <c r="E505" s="4">
        <v>38</v>
      </c>
      <c r="F505" s="8">
        <v>2.72</v>
      </c>
      <c r="G505" s="4">
        <v>17</v>
      </c>
      <c r="H505" s="8">
        <v>1.55</v>
      </c>
      <c r="I505" s="4">
        <v>0</v>
      </c>
    </row>
    <row r="506" spans="1:9" x14ac:dyDescent="0.2">
      <c r="A506" s="2">
        <v>15</v>
      </c>
      <c r="B506" s="1" t="s">
        <v>97</v>
      </c>
      <c r="C506" s="4">
        <v>39</v>
      </c>
      <c r="D506" s="8">
        <v>1.55</v>
      </c>
      <c r="E506" s="4">
        <v>11</v>
      </c>
      <c r="F506" s="8">
        <v>0.79</v>
      </c>
      <c r="G506" s="4">
        <v>28</v>
      </c>
      <c r="H506" s="8">
        <v>2.5499999999999998</v>
      </c>
      <c r="I506" s="4">
        <v>0</v>
      </c>
    </row>
    <row r="507" spans="1:9" x14ac:dyDescent="0.2">
      <c r="A507" s="2">
        <v>16</v>
      </c>
      <c r="B507" s="1" t="s">
        <v>74</v>
      </c>
      <c r="C507" s="4">
        <v>38</v>
      </c>
      <c r="D507" s="8">
        <v>1.51</v>
      </c>
      <c r="E507" s="4">
        <v>5</v>
      </c>
      <c r="F507" s="8">
        <v>0.36</v>
      </c>
      <c r="G507" s="4">
        <v>33</v>
      </c>
      <c r="H507" s="8">
        <v>3</v>
      </c>
      <c r="I507" s="4">
        <v>0</v>
      </c>
    </row>
    <row r="508" spans="1:9" x14ac:dyDescent="0.2">
      <c r="A508" s="2">
        <v>16</v>
      </c>
      <c r="B508" s="1" t="s">
        <v>80</v>
      </c>
      <c r="C508" s="4">
        <v>38</v>
      </c>
      <c r="D508" s="8">
        <v>1.51</v>
      </c>
      <c r="E508" s="4">
        <v>7</v>
      </c>
      <c r="F508" s="8">
        <v>0.5</v>
      </c>
      <c r="G508" s="4">
        <v>31</v>
      </c>
      <c r="H508" s="8">
        <v>2.82</v>
      </c>
      <c r="I508" s="4">
        <v>0</v>
      </c>
    </row>
    <row r="509" spans="1:9" x14ac:dyDescent="0.2">
      <c r="A509" s="2">
        <v>18</v>
      </c>
      <c r="B509" s="1" t="s">
        <v>95</v>
      </c>
      <c r="C509" s="4">
        <v>37</v>
      </c>
      <c r="D509" s="8">
        <v>1.47</v>
      </c>
      <c r="E509" s="4">
        <v>17</v>
      </c>
      <c r="F509" s="8">
        <v>1.22</v>
      </c>
      <c r="G509" s="4">
        <v>20</v>
      </c>
      <c r="H509" s="8">
        <v>1.82</v>
      </c>
      <c r="I509" s="4">
        <v>0</v>
      </c>
    </row>
    <row r="510" spans="1:9" x14ac:dyDescent="0.2">
      <c r="A510" s="2">
        <v>19</v>
      </c>
      <c r="B510" s="1" t="s">
        <v>72</v>
      </c>
      <c r="C510" s="4">
        <v>31</v>
      </c>
      <c r="D510" s="8">
        <v>1.23</v>
      </c>
      <c r="E510" s="4">
        <v>9</v>
      </c>
      <c r="F510" s="8">
        <v>0.64</v>
      </c>
      <c r="G510" s="4">
        <v>22</v>
      </c>
      <c r="H510" s="8">
        <v>2</v>
      </c>
      <c r="I510" s="4">
        <v>0</v>
      </c>
    </row>
    <row r="511" spans="1:9" x14ac:dyDescent="0.2">
      <c r="A511" s="2">
        <v>19</v>
      </c>
      <c r="B511" s="1" t="s">
        <v>90</v>
      </c>
      <c r="C511" s="4">
        <v>31</v>
      </c>
      <c r="D511" s="8">
        <v>1.23</v>
      </c>
      <c r="E511" s="4">
        <v>1</v>
      </c>
      <c r="F511" s="8">
        <v>7.0000000000000007E-2</v>
      </c>
      <c r="G511" s="4">
        <v>25</v>
      </c>
      <c r="H511" s="8">
        <v>2.27</v>
      </c>
      <c r="I511" s="4">
        <v>1</v>
      </c>
    </row>
    <row r="512" spans="1:9" x14ac:dyDescent="0.2">
      <c r="A512" s="1"/>
      <c r="C512" s="4"/>
      <c r="D512" s="8"/>
      <c r="E512" s="4"/>
      <c r="F512" s="8"/>
      <c r="G512" s="4"/>
      <c r="H512" s="8"/>
      <c r="I512" s="4"/>
    </row>
    <row r="513" spans="1:9" x14ac:dyDescent="0.2">
      <c r="A513" s="1" t="s">
        <v>23</v>
      </c>
      <c r="C513" s="4"/>
      <c r="D513" s="8"/>
      <c r="E513" s="4"/>
      <c r="F513" s="8"/>
      <c r="G513" s="4"/>
      <c r="H513" s="8"/>
      <c r="I513" s="4"/>
    </row>
    <row r="514" spans="1:9" x14ac:dyDescent="0.2">
      <c r="A514" s="2">
        <v>1</v>
      </c>
      <c r="B514" s="1" t="s">
        <v>85</v>
      </c>
      <c r="C514" s="4">
        <v>373</v>
      </c>
      <c r="D514" s="8">
        <v>11.45</v>
      </c>
      <c r="E514" s="4">
        <v>313</v>
      </c>
      <c r="F514" s="8">
        <v>16.079999999999998</v>
      </c>
      <c r="G514" s="4">
        <v>59</v>
      </c>
      <c r="H514" s="8">
        <v>4.55</v>
      </c>
      <c r="I514" s="4">
        <v>1</v>
      </c>
    </row>
    <row r="515" spans="1:9" x14ac:dyDescent="0.2">
      <c r="A515" s="2">
        <v>2</v>
      </c>
      <c r="B515" s="1" t="s">
        <v>84</v>
      </c>
      <c r="C515" s="4">
        <v>304</v>
      </c>
      <c r="D515" s="8">
        <v>9.33</v>
      </c>
      <c r="E515" s="4">
        <v>264</v>
      </c>
      <c r="F515" s="8">
        <v>13.56</v>
      </c>
      <c r="G515" s="4">
        <v>40</v>
      </c>
      <c r="H515" s="8">
        <v>3.09</v>
      </c>
      <c r="I515" s="4">
        <v>0</v>
      </c>
    </row>
    <row r="516" spans="1:9" x14ac:dyDescent="0.2">
      <c r="A516" s="2">
        <v>3</v>
      </c>
      <c r="B516" s="1" t="s">
        <v>79</v>
      </c>
      <c r="C516" s="4">
        <v>208</v>
      </c>
      <c r="D516" s="8">
        <v>6.39</v>
      </c>
      <c r="E516" s="4">
        <v>127</v>
      </c>
      <c r="F516" s="8">
        <v>6.52</v>
      </c>
      <c r="G516" s="4">
        <v>81</v>
      </c>
      <c r="H516" s="8">
        <v>6.25</v>
      </c>
      <c r="I516" s="4">
        <v>0</v>
      </c>
    </row>
    <row r="517" spans="1:9" x14ac:dyDescent="0.2">
      <c r="A517" s="2">
        <v>4</v>
      </c>
      <c r="B517" s="1" t="s">
        <v>70</v>
      </c>
      <c r="C517" s="4">
        <v>205</v>
      </c>
      <c r="D517" s="8">
        <v>6.29</v>
      </c>
      <c r="E517" s="4">
        <v>117</v>
      </c>
      <c r="F517" s="8">
        <v>6.01</v>
      </c>
      <c r="G517" s="4">
        <v>88</v>
      </c>
      <c r="H517" s="8">
        <v>6.79</v>
      </c>
      <c r="I517" s="4">
        <v>0</v>
      </c>
    </row>
    <row r="518" spans="1:9" x14ac:dyDescent="0.2">
      <c r="A518" s="2">
        <v>5</v>
      </c>
      <c r="B518" s="1" t="s">
        <v>81</v>
      </c>
      <c r="C518" s="4">
        <v>200</v>
      </c>
      <c r="D518" s="8">
        <v>6.14</v>
      </c>
      <c r="E518" s="4">
        <v>122</v>
      </c>
      <c r="F518" s="8">
        <v>6.27</v>
      </c>
      <c r="G518" s="4">
        <v>77</v>
      </c>
      <c r="H518" s="8">
        <v>5.94</v>
      </c>
      <c r="I518" s="4">
        <v>1</v>
      </c>
    </row>
    <row r="519" spans="1:9" x14ac:dyDescent="0.2">
      <c r="A519" s="2">
        <v>6</v>
      </c>
      <c r="B519" s="1" t="s">
        <v>69</v>
      </c>
      <c r="C519" s="4">
        <v>189</v>
      </c>
      <c r="D519" s="8">
        <v>5.8</v>
      </c>
      <c r="E519" s="4">
        <v>62</v>
      </c>
      <c r="F519" s="8">
        <v>3.18</v>
      </c>
      <c r="G519" s="4">
        <v>127</v>
      </c>
      <c r="H519" s="8">
        <v>9.8000000000000007</v>
      </c>
      <c r="I519" s="4">
        <v>0</v>
      </c>
    </row>
    <row r="520" spans="1:9" x14ac:dyDescent="0.2">
      <c r="A520" s="2">
        <v>7</v>
      </c>
      <c r="B520" s="1" t="s">
        <v>86</v>
      </c>
      <c r="C520" s="4">
        <v>169</v>
      </c>
      <c r="D520" s="8">
        <v>5.19</v>
      </c>
      <c r="E520" s="4">
        <v>134</v>
      </c>
      <c r="F520" s="8">
        <v>6.88</v>
      </c>
      <c r="G520" s="4">
        <v>34</v>
      </c>
      <c r="H520" s="8">
        <v>2.62</v>
      </c>
      <c r="I520" s="4">
        <v>0</v>
      </c>
    </row>
    <row r="521" spans="1:9" x14ac:dyDescent="0.2">
      <c r="A521" s="2">
        <v>8</v>
      </c>
      <c r="B521" s="1" t="s">
        <v>77</v>
      </c>
      <c r="C521" s="4">
        <v>160</v>
      </c>
      <c r="D521" s="8">
        <v>4.91</v>
      </c>
      <c r="E521" s="4">
        <v>138</v>
      </c>
      <c r="F521" s="8">
        <v>7.09</v>
      </c>
      <c r="G521" s="4">
        <v>21</v>
      </c>
      <c r="H521" s="8">
        <v>1.62</v>
      </c>
      <c r="I521" s="4">
        <v>1</v>
      </c>
    </row>
    <row r="522" spans="1:9" x14ac:dyDescent="0.2">
      <c r="A522" s="2">
        <v>9</v>
      </c>
      <c r="B522" s="1" t="s">
        <v>71</v>
      </c>
      <c r="C522" s="4">
        <v>112</v>
      </c>
      <c r="D522" s="8">
        <v>3.44</v>
      </c>
      <c r="E522" s="4">
        <v>43</v>
      </c>
      <c r="F522" s="8">
        <v>2.21</v>
      </c>
      <c r="G522" s="4">
        <v>69</v>
      </c>
      <c r="H522" s="8">
        <v>5.32</v>
      </c>
      <c r="I522" s="4">
        <v>0</v>
      </c>
    </row>
    <row r="523" spans="1:9" x14ac:dyDescent="0.2">
      <c r="A523" s="2">
        <v>10</v>
      </c>
      <c r="B523" s="1" t="s">
        <v>78</v>
      </c>
      <c r="C523" s="4">
        <v>109</v>
      </c>
      <c r="D523" s="8">
        <v>3.35</v>
      </c>
      <c r="E523" s="4">
        <v>59</v>
      </c>
      <c r="F523" s="8">
        <v>3.03</v>
      </c>
      <c r="G523" s="4">
        <v>50</v>
      </c>
      <c r="H523" s="8">
        <v>3.86</v>
      </c>
      <c r="I523" s="4">
        <v>0</v>
      </c>
    </row>
    <row r="524" spans="1:9" x14ac:dyDescent="0.2">
      <c r="A524" s="2">
        <v>11</v>
      </c>
      <c r="B524" s="1" t="s">
        <v>87</v>
      </c>
      <c r="C524" s="4">
        <v>99</v>
      </c>
      <c r="D524" s="8">
        <v>3.04</v>
      </c>
      <c r="E524" s="4">
        <v>88</v>
      </c>
      <c r="F524" s="8">
        <v>4.5199999999999996</v>
      </c>
      <c r="G524" s="4">
        <v>11</v>
      </c>
      <c r="H524" s="8">
        <v>0.85</v>
      </c>
      <c r="I524" s="4">
        <v>0</v>
      </c>
    </row>
    <row r="525" spans="1:9" x14ac:dyDescent="0.2">
      <c r="A525" s="2">
        <v>12</v>
      </c>
      <c r="B525" s="1" t="s">
        <v>82</v>
      </c>
      <c r="C525" s="4">
        <v>88</v>
      </c>
      <c r="D525" s="8">
        <v>2.7</v>
      </c>
      <c r="E525" s="4">
        <v>66</v>
      </c>
      <c r="F525" s="8">
        <v>3.39</v>
      </c>
      <c r="G525" s="4">
        <v>22</v>
      </c>
      <c r="H525" s="8">
        <v>1.7</v>
      </c>
      <c r="I525" s="4">
        <v>0</v>
      </c>
    </row>
    <row r="526" spans="1:9" x14ac:dyDescent="0.2">
      <c r="A526" s="2">
        <v>13</v>
      </c>
      <c r="B526" s="1" t="s">
        <v>76</v>
      </c>
      <c r="C526" s="4">
        <v>85</v>
      </c>
      <c r="D526" s="8">
        <v>2.61</v>
      </c>
      <c r="E526" s="4">
        <v>61</v>
      </c>
      <c r="F526" s="8">
        <v>3.13</v>
      </c>
      <c r="G526" s="4">
        <v>24</v>
      </c>
      <c r="H526" s="8">
        <v>1.85</v>
      </c>
      <c r="I526" s="4">
        <v>0</v>
      </c>
    </row>
    <row r="527" spans="1:9" x14ac:dyDescent="0.2">
      <c r="A527" s="2">
        <v>14</v>
      </c>
      <c r="B527" s="1" t="s">
        <v>83</v>
      </c>
      <c r="C527" s="4">
        <v>62</v>
      </c>
      <c r="D527" s="8">
        <v>1.9</v>
      </c>
      <c r="E527" s="4">
        <v>36</v>
      </c>
      <c r="F527" s="8">
        <v>1.85</v>
      </c>
      <c r="G527" s="4">
        <v>26</v>
      </c>
      <c r="H527" s="8">
        <v>2.0099999999999998</v>
      </c>
      <c r="I527" s="4">
        <v>0</v>
      </c>
    </row>
    <row r="528" spans="1:9" x14ac:dyDescent="0.2">
      <c r="A528" s="2">
        <v>15</v>
      </c>
      <c r="B528" s="1" t="s">
        <v>91</v>
      </c>
      <c r="C528" s="4">
        <v>57</v>
      </c>
      <c r="D528" s="8">
        <v>1.75</v>
      </c>
      <c r="E528" s="4">
        <v>41</v>
      </c>
      <c r="F528" s="8">
        <v>2.11</v>
      </c>
      <c r="G528" s="4">
        <v>16</v>
      </c>
      <c r="H528" s="8">
        <v>1.23</v>
      </c>
      <c r="I528" s="4">
        <v>0</v>
      </c>
    </row>
    <row r="529" spans="1:9" x14ac:dyDescent="0.2">
      <c r="A529" s="2">
        <v>16</v>
      </c>
      <c r="B529" s="1" t="s">
        <v>93</v>
      </c>
      <c r="C529" s="4">
        <v>48</v>
      </c>
      <c r="D529" s="8">
        <v>1.47</v>
      </c>
      <c r="E529" s="4">
        <v>12</v>
      </c>
      <c r="F529" s="8">
        <v>0.62</v>
      </c>
      <c r="G529" s="4">
        <v>36</v>
      </c>
      <c r="H529" s="8">
        <v>2.78</v>
      </c>
      <c r="I529" s="4">
        <v>0</v>
      </c>
    </row>
    <row r="530" spans="1:9" x14ac:dyDescent="0.2">
      <c r="A530" s="2">
        <v>16</v>
      </c>
      <c r="B530" s="1" t="s">
        <v>80</v>
      </c>
      <c r="C530" s="4">
        <v>48</v>
      </c>
      <c r="D530" s="8">
        <v>1.47</v>
      </c>
      <c r="E530" s="4">
        <v>16</v>
      </c>
      <c r="F530" s="8">
        <v>0.82</v>
      </c>
      <c r="G530" s="4">
        <v>32</v>
      </c>
      <c r="H530" s="8">
        <v>2.4700000000000002</v>
      </c>
      <c r="I530" s="4">
        <v>0</v>
      </c>
    </row>
    <row r="531" spans="1:9" x14ac:dyDescent="0.2">
      <c r="A531" s="2">
        <v>18</v>
      </c>
      <c r="B531" s="1" t="s">
        <v>72</v>
      </c>
      <c r="C531" s="4">
        <v>43</v>
      </c>
      <c r="D531" s="8">
        <v>1.32</v>
      </c>
      <c r="E531" s="4">
        <v>16</v>
      </c>
      <c r="F531" s="8">
        <v>0.82</v>
      </c>
      <c r="G531" s="4">
        <v>27</v>
      </c>
      <c r="H531" s="8">
        <v>2.08</v>
      </c>
      <c r="I531" s="4">
        <v>0</v>
      </c>
    </row>
    <row r="532" spans="1:9" x14ac:dyDescent="0.2">
      <c r="A532" s="2">
        <v>19</v>
      </c>
      <c r="B532" s="1" t="s">
        <v>97</v>
      </c>
      <c r="C532" s="4">
        <v>42</v>
      </c>
      <c r="D532" s="8">
        <v>1.29</v>
      </c>
      <c r="E532" s="4">
        <v>9</v>
      </c>
      <c r="F532" s="8">
        <v>0.46</v>
      </c>
      <c r="G532" s="4">
        <v>32</v>
      </c>
      <c r="H532" s="8">
        <v>2.4700000000000002</v>
      </c>
      <c r="I532" s="4">
        <v>1</v>
      </c>
    </row>
    <row r="533" spans="1:9" x14ac:dyDescent="0.2">
      <c r="A533" s="2">
        <v>20</v>
      </c>
      <c r="B533" s="1" t="s">
        <v>74</v>
      </c>
      <c r="C533" s="4">
        <v>41</v>
      </c>
      <c r="D533" s="8">
        <v>1.26</v>
      </c>
      <c r="E533" s="4">
        <v>10</v>
      </c>
      <c r="F533" s="8">
        <v>0.51</v>
      </c>
      <c r="G533" s="4">
        <v>31</v>
      </c>
      <c r="H533" s="8">
        <v>2.39</v>
      </c>
      <c r="I533" s="4">
        <v>0</v>
      </c>
    </row>
    <row r="534" spans="1:9" x14ac:dyDescent="0.2">
      <c r="A534" s="2">
        <v>20</v>
      </c>
      <c r="B534" s="1" t="s">
        <v>75</v>
      </c>
      <c r="C534" s="4">
        <v>41</v>
      </c>
      <c r="D534" s="8">
        <v>1.26</v>
      </c>
      <c r="E534" s="4">
        <v>11</v>
      </c>
      <c r="F534" s="8">
        <v>0.56000000000000005</v>
      </c>
      <c r="G534" s="4">
        <v>30</v>
      </c>
      <c r="H534" s="8">
        <v>2.31</v>
      </c>
      <c r="I534" s="4">
        <v>0</v>
      </c>
    </row>
    <row r="535" spans="1:9" x14ac:dyDescent="0.2">
      <c r="A535" s="1"/>
      <c r="C535" s="4"/>
      <c r="D535" s="8"/>
      <c r="E535" s="4"/>
      <c r="F535" s="8"/>
      <c r="G535" s="4"/>
      <c r="H535" s="8"/>
      <c r="I535" s="4"/>
    </row>
    <row r="536" spans="1:9" x14ac:dyDescent="0.2">
      <c r="A536" s="1" t="s">
        <v>24</v>
      </c>
      <c r="C536" s="4"/>
      <c r="D536" s="8"/>
      <c r="E536" s="4"/>
      <c r="F536" s="8"/>
      <c r="G536" s="4"/>
      <c r="H536" s="8"/>
      <c r="I536" s="4"/>
    </row>
    <row r="537" spans="1:9" x14ac:dyDescent="0.2">
      <c r="A537" s="2">
        <v>1</v>
      </c>
      <c r="B537" s="1" t="s">
        <v>84</v>
      </c>
      <c r="C537" s="4">
        <v>224</v>
      </c>
      <c r="D537" s="8">
        <v>12.23</v>
      </c>
      <c r="E537" s="4">
        <v>182</v>
      </c>
      <c r="F537" s="8">
        <v>20.8</v>
      </c>
      <c r="G537" s="4">
        <v>42</v>
      </c>
      <c r="H537" s="8">
        <v>4.42</v>
      </c>
      <c r="I537" s="4">
        <v>0</v>
      </c>
    </row>
    <row r="538" spans="1:9" x14ac:dyDescent="0.2">
      <c r="A538" s="2">
        <v>2</v>
      </c>
      <c r="B538" s="1" t="s">
        <v>85</v>
      </c>
      <c r="C538" s="4">
        <v>204</v>
      </c>
      <c r="D538" s="8">
        <v>11.14</v>
      </c>
      <c r="E538" s="4">
        <v>177</v>
      </c>
      <c r="F538" s="8">
        <v>20.23</v>
      </c>
      <c r="G538" s="4">
        <v>27</v>
      </c>
      <c r="H538" s="8">
        <v>2.84</v>
      </c>
      <c r="I538" s="4">
        <v>0</v>
      </c>
    </row>
    <row r="539" spans="1:9" x14ac:dyDescent="0.2">
      <c r="A539" s="2">
        <v>3</v>
      </c>
      <c r="B539" s="1" t="s">
        <v>81</v>
      </c>
      <c r="C539" s="4">
        <v>165</v>
      </c>
      <c r="D539" s="8">
        <v>9.01</v>
      </c>
      <c r="E539" s="4">
        <v>63</v>
      </c>
      <c r="F539" s="8">
        <v>7.2</v>
      </c>
      <c r="G539" s="4">
        <v>102</v>
      </c>
      <c r="H539" s="8">
        <v>10.73</v>
      </c>
      <c r="I539" s="4">
        <v>0</v>
      </c>
    </row>
    <row r="540" spans="1:9" x14ac:dyDescent="0.2">
      <c r="A540" s="2">
        <v>4</v>
      </c>
      <c r="B540" s="1" t="s">
        <v>69</v>
      </c>
      <c r="C540" s="4">
        <v>132</v>
      </c>
      <c r="D540" s="8">
        <v>7.21</v>
      </c>
      <c r="E540" s="4">
        <v>34</v>
      </c>
      <c r="F540" s="8">
        <v>3.89</v>
      </c>
      <c r="G540" s="4">
        <v>98</v>
      </c>
      <c r="H540" s="8">
        <v>10.3</v>
      </c>
      <c r="I540" s="4">
        <v>0</v>
      </c>
    </row>
    <row r="541" spans="1:9" x14ac:dyDescent="0.2">
      <c r="A541" s="2">
        <v>5</v>
      </c>
      <c r="B541" s="1" t="s">
        <v>79</v>
      </c>
      <c r="C541" s="4">
        <v>121</v>
      </c>
      <c r="D541" s="8">
        <v>6.6</v>
      </c>
      <c r="E541" s="4">
        <v>54</v>
      </c>
      <c r="F541" s="8">
        <v>6.17</v>
      </c>
      <c r="G541" s="4">
        <v>67</v>
      </c>
      <c r="H541" s="8">
        <v>7.05</v>
      </c>
      <c r="I541" s="4">
        <v>0</v>
      </c>
    </row>
    <row r="542" spans="1:9" x14ac:dyDescent="0.2">
      <c r="A542" s="2">
        <v>6</v>
      </c>
      <c r="B542" s="1" t="s">
        <v>76</v>
      </c>
      <c r="C542" s="4">
        <v>79</v>
      </c>
      <c r="D542" s="8">
        <v>4.3099999999999996</v>
      </c>
      <c r="E542" s="4">
        <v>24</v>
      </c>
      <c r="F542" s="8">
        <v>2.74</v>
      </c>
      <c r="G542" s="4">
        <v>55</v>
      </c>
      <c r="H542" s="8">
        <v>5.78</v>
      </c>
      <c r="I542" s="4">
        <v>0</v>
      </c>
    </row>
    <row r="543" spans="1:9" x14ac:dyDescent="0.2">
      <c r="A543" s="2">
        <v>7</v>
      </c>
      <c r="B543" s="1" t="s">
        <v>70</v>
      </c>
      <c r="C543" s="4">
        <v>78</v>
      </c>
      <c r="D543" s="8">
        <v>4.26</v>
      </c>
      <c r="E543" s="4">
        <v>42</v>
      </c>
      <c r="F543" s="8">
        <v>4.8</v>
      </c>
      <c r="G543" s="4">
        <v>36</v>
      </c>
      <c r="H543" s="8">
        <v>3.79</v>
      </c>
      <c r="I543" s="4">
        <v>0</v>
      </c>
    </row>
    <row r="544" spans="1:9" x14ac:dyDescent="0.2">
      <c r="A544" s="2">
        <v>8</v>
      </c>
      <c r="B544" s="1" t="s">
        <v>86</v>
      </c>
      <c r="C544" s="4">
        <v>66</v>
      </c>
      <c r="D544" s="8">
        <v>3.6</v>
      </c>
      <c r="E544" s="4">
        <v>53</v>
      </c>
      <c r="F544" s="8">
        <v>6.06</v>
      </c>
      <c r="G544" s="4">
        <v>12</v>
      </c>
      <c r="H544" s="8">
        <v>1.26</v>
      </c>
      <c r="I544" s="4">
        <v>1</v>
      </c>
    </row>
    <row r="545" spans="1:9" x14ac:dyDescent="0.2">
      <c r="A545" s="2">
        <v>9</v>
      </c>
      <c r="B545" s="1" t="s">
        <v>78</v>
      </c>
      <c r="C545" s="4">
        <v>65</v>
      </c>
      <c r="D545" s="8">
        <v>3.55</v>
      </c>
      <c r="E545" s="4">
        <v>28</v>
      </c>
      <c r="F545" s="8">
        <v>3.2</v>
      </c>
      <c r="G545" s="4">
        <v>37</v>
      </c>
      <c r="H545" s="8">
        <v>3.89</v>
      </c>
      <c r="I545" s="4">
        <v>0</v>
      </c>
    </row>
    <row r="546" spans="1:9" x14ac:dyDescent="0.2">
      <c r="A546" s="2">
        <v>10</v>
      </c>
      <c r="B546" s="1" t="s">
        <v>77</v>
      </c>
      <c r="C546" s="4">
        <v>64</v>
      </c>
      <c r="D546" s="8">
        <v>3.49</v>
      </c>
      <c r="E546" s="4">
        <v>33</v>
      </c>
      <c r="F546" s="8">
        <v>3.77</v>
      </c>
      <c r="G546" s="4">
        <v>31</v>
      </c>
      <c r="H546" s="8">
        <v>3.26</v>
      </c>
      <c r="I546" s="4">
        <v>0</v>
      </c>
    </row>
    <row r="547" spans="1:9" x14ac:dyDescent="0.2">
      <c r="A547" s="2">
        <v>11</v>
      </c>
      <c r="B547" s="1" t="s">
        <v>87</v>
      </c>
      <c r="C547" s="4">
        <v>59</v>
      </c>
      <c r="D547" s="8">
        <v>3.22</v>
      </c>
      <c r="E547" s="4">
        <v>48</v>
      </c>
      <c r="F547" s="8">
        <v>5.49</v>
      </c>
      <c r="G547" s="4">
        <v>11</v>
      </c>
      <c r="H547" s="8">
        <v>1.1599999999999999</v>
      </c>
      <c r="I547" s="4">
        <v>0</v>
      </c>
    </row>
    <row r="548" spans="1:9" x14ac:dyDescent="0.2">
      <c r="A548" s="2">
        <v>12</v>
      </c>
      <c r="B548" s="1" t="s">
        <v>71</v>
      </c>
      <c r="C548" s="4">
        <v>57</v>
      </c>
      <c r="D548" s="8">
        <v>3.11</v>
      </c>
      <c r="E548" s="4">
        <v>16</v>
      </c>
      <c r="F548" s="8">
        <v>1.83</v>
      </c>
      <c r="G548" s="4">
        <v>41</v>
      </c>
      <c r="H548" s="8">
        <v>4.3099999999999996</v>
      </c>
      <c r="I548" s="4">
        <v>0</v>
      </c>
    </row>
    <row r="549" spans="1:9" x14ac:dyDescent="0.2">
      <c r="A549" s="2">
        <v>13</v>
      </c>
      <c r="B549" s="1" t="s">
        <v>83</v>
      </c>
      <c r="C549" s="4">
        <v>35</v>
      </c>
      <c r="D549" s="8">
        <v>1.91</v>
      </c>
      <c r="E549" s="4">
        <v>16</v>
      </c>
      <c r="F549" s="8">
        <v>1.83</v>
      </c>
      <c r="G549" s="4">
        <v>18</v>
      </c>
      <c r="H549" s="8">
        <v>1.89</v>
      </c>
      <c r="I549" s="4">
        <v>0</v>
      </c>
    </row>
    <row r="550" spans="1:9" x14ac:dyDescent="0.2">
      <c r="A550" s="2">
        <v>14</v>
      </c>
      <c r="B550" s="1" t="s">
        <v>88</v>
      </c>
      <c r="C550" s="4">
        <v>34</v>
      </c>
      <c r="D550" s="8">
        <v>1.86</v>
      </c>
      <c r="E550" s="4">
        <v>19</v>
      </c>
      <c r="F550" s="8">
        <v>2.17</v>
      </c>
      <c r="G550" s="4">
        <v>15</v>
      </c>
      <c r="H550" s="8">
        <v>1.58</v>
      </c>
      <c r="I550" s="4">
        <v>0</v>
      </c>
    </row>
    <row r="551" spans="1:9" x14ac:dyDescent="0.2">
      <c r="A551" s="2">
        <v>15</v>
      </c>
      <c r="B551" s="1" t="s">
        <v>80</v>
      </c>
      <c r="C551" s="4">
        <v>31</v>
      </c>
      <c r="D551" s="8">
        <v>1.69</v>
      </c>
      <c r="E551" s="4">
        <v>2</v>
      </c>
      <c r="F551" s="8">
        <v>0.23</v>
      </c>
      <c r="G551" s="4">
        <v>29</v>
      </c>
      <c r="H551" s="8">
        <v>3.05</v>
      </c>
      <c r="I551" s="4">
        <v>0</v>
      </c>
    </row>
    <row r="552" spans="1:9" x14ac:dyDescent="0.2">
      <c r="A552" s="2">
        <v>16</v>
      </c>
      <c r="B552" s="1" t="s">
        <v>82</v>
      </c>
      <c r="C552" s="4">
        <v>27</v>
      </c>
      <c r="D552" s="8">
        <v>1.47</v>
      </c>
      <c r="E552" s="4">
        <v>15</v>
      </c>
      <c r="F552" s="8">
        <v>1.71</v>
      </c>
      <c r="G552" s="4">
        <v>12</v>
      </c>
      <c r="H552" s="8">
        <v>1.26</v>
      </c>
      <c r="I552" s="4">
        <v>0</v>
      </c>
    </row>
    <row r="553" spans="1:9" x14ac:dyDescent="0.2">
      <c r="A553" s="2">
        <v>17</v>
      </c>
      <c r="B553" s="1" t="s">
        <v>74</v>
      </c>
      <c r="C553" s="4">
        <v>22</v>
      </c>
      <c r="D553" s="8">
        <v>1.2</v>
      </c>
      <c r="E553" s="4">
        <v>4</v>
      </c>
      <c r="F553" s="8">
        <v>0.46</v>
      </c>
      <c r="G553" s="4">
        <v>18</v>
      </c>
      <c r="H553" s="8">
        <v>1.89</v>
      </c>
      <c r="I553" s="4">
        <v>0</v>
      </c>
    </row>
    <row r="554" spans="1:9" x14ac:dyDescent="0.2">
      <c r="A554" s="2">
        <v>17</v>
      </c>
      <c r="B554" s="1" t="s">
        <v>101</v>
      </c>
      <c r="C554" s="4">
        <v>22</v>
      </c>
      <c r="D554" s="8">
        <v>1.2</v>
      </c>
      <c r="E554" s="4">
        <v>6</v>
      </c>
      <c r="F554" s="8">
        <v>0.69</v>
      </c>
      <c r="G554" s="4">
        <v>16</v>
      </c>
      <c r="H554" s="8">
        <v>1.68</v>
      </c>
      <c r="I554" s="4">
        <v>0</v>
      </c>
    </row>
    <row r="555" spans="1:9" x14ac:dyDescent="0.2">
      <c r="A555" s="2">
        <v>19</v>
      </c>
      <c r="B555" s="1" t="s">
        <v>99</v>
      </c>
      <c r="C555" s="4">
        <v>18</v>
      </c>
      <c r="D555" s="8">
        <v>0.98</v>
      </c>
      <c r="E555" s="4">
        <v>5</v>
      </c>
      <c r="F555" s="8">
        <v>0.56999999999999995</v>
      </c>
      <c r="G555" s="4">
        <v>13</v>
      </c>
      <c r="H555" s="8">
        <v>1.37</v>
      </c>
      <c r="I555" s="4">
        <v>0</v>
      </c>
    </row>
    <row r="556" spans="1:9" x14ac:dyDescent="0.2">
      <c r="A556" s="2">
        <v>19</v>
      </c>
      <c r="B556" s="1" t="s">
        <v>95</v>
      </c>
      <c r="C556" s="4">
        <v>18</v>
      </c>
      <c r="D556" s="8">
        <v>0.98</v>
      </c>
      <c r="E556" s="4">
        <v>10</v>
      </c>
      <c r="F556" s="8">
        <v>1.1399999999999999</v>
      </c>
      <c r="G556" s="4">
        <v>7</v>
      </c>
      <c r="H556" s="8">
        <v>0.74</v>
      </c>
      <c r="I556" s="4">
        <v>1</v>
      </c>
    </row>
    <row r="557" spans="1:9" x14ac:dyDescent="0.2">
      <c r="A557" s="2">
        <v>19</v>
      </c>
      <c r="B557" s="1" t="s">
        <v>90</v>
      </c>
      <c r="C557" s="4">
        <v>18</v>
      </c>
      <c r="D557" s="8">
        <v>0.98</v>
      </c>
      <c r="E557" s="4">
        <v>1</v>
      </c>
      <c r="F557" s="8">
        <v>0.11</v>
      </c>
      <c r="G557" s="4">
        <v>15</v>
      </c>
      <c r="H557" s="8">
        <v>1.58</v>
      </c>
      <c r="I557" s="4">
        <v>1</v>
      </c>
    </row>
    <row r="558" spans="1:9" x14ac:dyDescent="0.2">
      <c r="A558" s="2">
        <v>19</v>
      </c>
      <c r="B558" s="1" t="s">
        <v>102</v>
      </c>
      <c r="C558" s="4">
        <v>18</v>
      </c>
      <c r="D558" s="8">
        <v>0.98</v>
      </c>
      <c r="E558" s="4">
        <v>3</v>
      </c>
      <c r="F558" s="8">
        <v>0.34</v>
      </c>
      <c r="G558" s="4">
        <v>15</v>
      </c>
      <c r="H558" s="8">
        <v>1.58</v>
      </c>
      <c r="I558" s="4">
        <v>0</v>
      </c>
    </row>
    <row r="559" spans="1:9" x14ac:dyDescent="0.2">
      <c r="A559" s="1"/>
      <c r="C559" s="4"/>
      <c r="D559" s="8"/>
      <c r="E559" s="4"/>
      <c r="F559" s="8"/>
      <c r="G559" s="4"/>
      <c r="H559" s="8"/>
      <c r="I559" s="4"/>
    </row>
    <row r="560" spans="1:9" x14ac:dyDescent="0.2">
      <c r="A560" s="1" t="s">
        <v>25</v>
      </c>
      <c r="C560" s="4"/>
      <c r="D560" s="8"/>
      <c r="E560" s="4"/>
      <c r="F560" s="8"/>
      <c r="G560" s="4"/>
      <c r="H560" s="8"/>
      <c r="I560" s="4"/>
    </row>
    <row r="561" spans="1:9" x14ac:dyDescent="0.2">
      <c r="A561" s="2">
        <v>1</v>
      </c>
      <c r="B561" s="1" t="s">
        <v>85</v>
      </c>
      <c r="C561" s="4">
        <v>202</v>
      </c>
      <c r="D561" s="8">
        <v>10.82</v>
      </c>
      <c r="E561" s="4">
        <v>176</v>
      </c>
      <c r="F561" s="8">
        <v>16.16</v>
      </c>
      <c r="G561" s="4">
        <v>25</v>
      </c>
      <c r="H561" s="8">
        <v>3.3</v>
      </c>
      <c r="I561" s="4">
        <v>1</v>
      </c>
    </row>
    <row r="562" spans="1:9" x14ac:dyDescent="0.2">
      <c r="A562" s="2">
        <v>2</v>
      </c>
      <c r="B562" s="1" t="s">
        <v>81</v>
      </c>
      <c r="C562" s="4">
        <v>191</v>
      </c>
      <c r="D562" s="8">
        <v>10.23</v>
      </c>
      <c r="E562" s="4">
        <v>152</v>
      </c>
      <c r="F562" s="8">
        <v>13.96</v>
      </c>
      <c r="G562" s="4">
        <v>39</v>
      </c>
      <c r="H562" s="8">
        <v>5.15</v>
      </c>
      <c r="I562" s="4">
        <v>0</v>
      </c>
    </row>
    <row r="563" spans="1:9" x14ac:dyDescent="0.2">
      <c r="A563" s="2">
        <v>3</v>
      </c>
      <c r="B563" s="1" t="s">
        <v>84</v>
      </c>
      <c r="C563" s="4">
        <v>174</v>
      </c>
      <c r="D563" s="8">
        <v>9.32</v>
      </c>
      <c r="E563" s="4">
        <v>151</v>
      </c>
      <c r="F563" s="8">
        <v>13.87</v>
      </c>
      <c r="G563" s="4">
        <v>23</v>
      </c>
      <c r="H563" s="8">
        <v>3.03</v>
      </c>
      <c r="I563" s="4">
        <v>0</v>
      </c>
    </row>
    <row r="564" spans="1:9" x14ac:dyDescent="0.2">
      <c r="A564" s="2">
        <v>4</v>
      </c>
      <c r="B564" s="1" t="s">
        <v>69</v>
      </c>
      <c r="C564" s="4">
        <v>138</v>
      </c>
      <c r="D564" s="8">
        <v>7.39</v>
      </c>
      <c r="E564" s="4">
        <v>61</v>
      </c>
      <c r="F564" s="8">
        <v>5.6</v>
      </c>
      <c r="G564" s="4">
        <v>77</v>
      </c>
      <c r="H564" s="8">
        <v>10.16</v>
      </c>
      <c r="I564" s="4">
        <v>0</v>
      </c>
    </row>
    <row r="565" spans="1:9" x14ac:dyDescent="0.2">
      <c r="A565" s="2">
        <v>5</v>
      </c>
      <c r="B565" s="1" t="s">
        <v>79</v>
      </c>
      <c r="C565" s="4">
        <v>104</v>
      </c>
      <c r="D565" s="8">
        <v>5.57</v>
      </c>
      <c r="E565" s="4">
        <v>49</v>
      </c>
      <c r="F565" s="8">
        <v>4.5</v>
      </c>
      <c r="G565" s="4">
        <v>54</v>
      </c>
      <c r="H565" s="8">
        <v>7.12</v>
      </c>
      <c r="I565" s="4">
        <v>1</v>
      </c>
    </row>
    <row r="566" spans="1:9" x14ac:dyDescent="0.2">
      <c r="A566" s="2">
        <v>6</v>
      </c>
      <c r="B566" s="1" t="s">
        <v>70</v>
      </c>
      <c r="C566" s="4">
        <v>101</v>
      </c>
      <c r="D566" s="8">
        <v>5.41</v>
      </c>
      <c r="E566" s="4">
        <v>63</v>
      </c>
      <c r="F566" s="8">
        <v>5.79</v>
      </c>
      <c r="G566" s="4">
        <v>38</v>
      </c>
      <c r="H566" s="8">
        <v>5.01</v>
      </c>
      <c r="I566" s="4">
        <v>0</v>
      </c>
    </row>
    <row r="567" spans="1:9" x14ac:dyDescent="0.2">
      <c r="A567" s="2">
        <v>7</v>
      </c>
      <c r="B567" s="1" t="s">
        <v>78</v>
      </c>
      <c r="C567" s="4">
        <v>72</v>
      </c>
      <c r="D567" s="8">
        <v>3.86</v>
      </c>
      <c r="E567" s="4">
        <v>49</v>
      </c>
      <c r="F567" s="8">
        <v>4.5</v>
      </c>
      <c r="G567" s="4">
        <v>23</v>
      </c>
      <c r="H567" s="8">
        <v>3.03</v>
      </c>
      <c r="I567" s="4">
        <v>0</v>
      </c>
    </row>
    <row r="568" spans="1:9" x14ac:dyDescent="0.2">
      <c r="A568" s="2">
        <v>8</v>
      </c>
      <c r="B568" s="1" t="s">
        <v>86</v>
      </c>
      <c r="C568" s="4">
        <v>66</v>
      </c>
      <c r="D568" s="8">
        <v>3.54</v>
      </c>
      <c r="E568" s="4">
        <v>51</v>
      </c>
      <c r="F568" s="8">
        <v>4.68</v>
      </c>
      <c r="G568" s="4">
        <v>15</v>
      </c>
      <c r="H568" s="8">
        <v>1.98</v>
      </c>
      <c r="I568" s="4">
        <v>0</v>
      </c>
    </row>
    <row r="569" spans="1:9" x14ac:dyDescent="0.2">
      <c r="A569" s="2">
        <v>9</v>
      </c>
      <c r="B569" s="1" t="s">
        <v>77</v>
      </c>
      <c r="C569" s="4">
        <v>65</v>
      </c>
      <c r="D569" s="8">
        <v>3.48</v>
      </c>
      <c r="E569" s="4">
        <v>46</v>
      </c>
      <c r="F569" s="8">
        <v>4.22</v>
      </c>
      <c r="G569" s="4">
        <v>19</v>
      </c>
      <c r="H569" s="8">
        <v>2.5099999999999998</v>
      </c>
      <c r="I569" s="4">
        <v>0</v>
      </c>
    </row>
    <row r="570" spans="1:9" x14ac:dyDescent="0.2">
      <c r="A570" s="2">
        <v>10</v>
      </c>
      <c r="B570" s="1" t="s">
        <v>71</v>
      </c>
      <c r="C570" s="4">
        <v>58</v>
      </c>
      <c r="D570" s="8">
        <v>3.11</v>
      </c>
      <c r="E570" s="4">
        <v>19</v>
      </c>
      <c r="F570" s="8">
        <v>1.74</v>
      </c>
      <c r="G570" s="4">
        <v>39</v>
      </c>
      <c r="H570" s="8">
        <v>5.15</v>
      </c>
      <c r="I570" s="4">
        <v>0</v>
      </c>
    </row>
    <row r="571" spans="1:9" x14ac:dyDescent="0.2">
      <c r="A571" s="2">
        <v>11</v>
      </c>
      <c r="B571" s="1" t="s">
        <v>87</v>
      </c>
      <c r="C571" s="4">
        <v>47</v>
      </c>
      <c r="D571" s="8">
        <v>2.52</v>
      </c>
      <c r="E571" s="4">
        <v>40</v>
      </c>
      <c r="F571" s="8">
        <v>3.67</v>
      </c>
      <c r="G571" s="4">
        <v>7</v>
      </c>
      <c r="H571" s="8">
        <v>0.92</v>
      </c>
      <c r="I571" s="4">
        <v>0</v>
      </c>
    </row>
    <row r="572" spans="1:9" x14ac:dyDescent="0.2">
      <c r="A572" s="2">
        <v>12</v>
      </c>
      <c r="B572" s="1" t="s">
        <v>83</v>
      </c>
      <c r="C572" s="4">
        <v>45</v>
      </c>
      <c r="D572" s="8">
        <v>2.41</v>
      </c>
      <c r="E572" s="4">
        <v>22</v>
      </c>
      <c r="F572" s="8">
        <v>2.02</v>
      </c>
      <c r="G572" s="4">
        <v>23</v>
      </c>
      <c r="H572" s="8">
        <v>3.03</v>
      </c>
      <c r="I572" s="4">
        <v>0</v>
      </c>
    </row>
    <row r="573" spans="1:9" x14ac:dyDescent="0.2">
      <c r="A573" s="2">
        <v>13</v>
      </c>
      <c r="B573" s="1" t="s">
        <v>82</v>
      </c>
      <c r="C573" s="4">
        <v>42</v>
      </c>
      <c r="D573" s="8">
        <v>2.25</v>
      </c>
      <c r="E573" s="4">
        <v>34</v>
      </c>
      <c r="F573" s="8">
        <v>3.12</v>
      </c>
      <c r="G573" s="4">
        <v>8</v>
      </c>
      <c r="H573" s="8">
        <v>1.06</v>
      </c>
      <c r="I573" s="4">
        <v>0</v>
      </c>
    </row>
    <row r="574" spans="1:9" x14ac:dyDescent="0.2">
      <c r="A574" s="2">
        <v>14</v>
      </c>
      <c r="B574" s="1" t="s">
        <v>76</v>
      </c>
      <c r="C574" s="4">
        <v>36</v>
      </c>
      <c r="D574" s="8">
        <v>1.93</v>
      </c>
      <c r="E574" s="4">
        <v>22</v>
      </c>
      <c r="F574" s="8">
        <v>2.02</v>
      </c>
      <c r="G574" s="4">
        <v>14</v>
      </c>
      <c r="H574" s="8">
        <v>1.85</v>
      </c>
      <c r="I574" s="4">
        <v>0</v>
      </c>
    </row>
    <row r="575" spans="1:9" x14ac:dyDescent="0.2">
      <c r="A575" s="2">
        <v>15</v>
      </c>
      <c r="B575" s="1" t="s">
        <v>88</v>
      </c>
      <c r="C575" s="4">
        <v>35</v>
      </c>
      <c r="D575" s="8">
        <v>1.87</v>
      </c>
      <c r="E575" s="4">
        <v>27</v>
      </c>
      <c r="F575" s="8">
        <v>2.48</v>
      </c>
      <c r="G575" s="4">
        <v>8</v>
      </c>
      <c r="H575" s="8">
        <v>1.06</v>
      </c>
      <c r="I575" s="4">
        <v>0</v>
      </c>
    </row>
    <row r="576" spans="1:9" x14ac:dyDescent="0.2">
      <c r="A576" s="2">
        <v>16</v>
      </c>
      <c r="B576" s="1" t="s">
        <v>90</v>
      </c>
      <c r="C576" s="4">
        <v>28</v>
      </c>
      <c r="D576" s="8">
        <v>1.5</v>
      </c>
      <c r="E576" s="4">
        <v>0</v>
      </c>
      <c r="F576" s="8">
        <v>0</v>
      </c>
      <c r="G576" s="4">
        <v>27</v>
      </c>
      <c r="H576" s="8">
        <v>3.56</v>
      </c>
      <c r="I576" s="4">
        <v>0</v>
      </c>
    </row>
    <row r="577" spans="1:9" x14ac:dyDescent="0.2">
      <c r="A577" s="2">
        <v>17</v>
      </c>
      <c r="B577" s="1" t="s">
        <v>80</v>
      </c>
      <c r="C577" s="4">
        <v>24</v>
      </c>
      <c r="D577" s="8">
        <v>1.29</v>
      </c>
      <c r="E577" s="4">
        <v>6</v>
      </c>
      <c r="F577" s="8">
        <v>0.55000000000000004</v>
      </c>
      <c r="G577" s="4">
        <v>18</v>
      </c>
      <c r="H577" s="8">
        <v>2.37</v>
      </c>
      <c r="I577" s="4">
        <v>0</v>
      </c>
    </row>
    <row r="578" spans="1:9" x14ac:dyDescent="0.2">
      <c r="A578" s="2">
        <v>18</v>
      </c>
      <c r="B578" s="1" t="s">
        <v>72</v>
      </c>
      <c r="C578" s="4">
        <v>23</v>
      </c>
      <c r="D578" s="8">
        <v>1.23</v>
      </c>
      <c r="E578" s="4">
        <v>5</v>
      </c>
      <c r="F578" s="8">
        <v>0.46</v>
      </c>
      <c r="G578" s="4">
        <v>18</v>
      </c>
      <c r="H578" s="8">
        <v>2.37</v>
      </c>
      <c r="I578" s="4">
        <v>0</v>
      </c>
    </row>
    <row r="579" spans="1:9" x14ac:dyDescent="0.2">
      <c r="A579" s="2">
        <v>18</v>
      </c>
      <c r="B579" s="1" t="s">
        <v>74</v>
      </c>
      <c r="C579" s="4">
        <v>23</v>
      </c>
      <c r="D579" s="8">
        <v>1.23</v>
      </c>
      <c r="E579" s="4">
        <v>4</v>
      </c>
      <c r="F579" s="8">
        <v>0.37</v>
      </c>
      <c r="G579" s="4">
        <v>19</v>
      </c>
      <c r="H579" s="8">
        <v>2.5099999999999998</v>
      </c>
      <c r="I579" s="4">
        <v>0</v>
      </c>
    </row>
    <row r="580" spans="1:9" x14ac:dyDescent="0.2">
      <c r="A580" s="2">
        <v>20</v>
      </c>
      <c r="B580" s="1" t="s">
        <v>75</v>
      </c>
      <c r="C580" s="4">
        <v>20</v>
      </c>
      <c r="D580" s="8">
        <v>1.07</v>
      </c>
      <c r="E580" s="4">
        <v>2</v>
      </c>
      <c r="F580" s="8">
        <v>0.18</v>
      </c>
      <c r="G580" s="4">
        <v>18</v>
      </c>
      <c r="H580" s="8">
        <v>2.37</v>
      </c>
      <c r="I580" s="4">
        <v>0</v>
      </c>
    </row>
    <row r="581" spans="1:9" x14ac:dyDescent="0.2">
      <c r="A581" s="2">
        <v>20</v>
      </c>
      <c r="B581" s="1" t="s">
        <v>95</v>
      </c>
      <c r="C581" s="4">
        <v>20</v>
      </c>
      <c r="D581" s="8">
        <v>1.07</v>
      </c>
      <c r="E581" s="4">
        <v>9</v>
      </c>
      <c r="F581" s="8">
        <v>0.83</v>
      </c>
      <c r="G581" s="4">
        <v>11</v>
      </c>
      <c r="H581" s="8">
        <v>1.45</v>
      </c>
      <c r="I581" s="4">
        <v>0</v>
      </c>
    </row>
    <row r="582" spans="1:9" x14ac:dyDescent="0.2">
      <c r="A582" s="1"/>
      <c r="C582" s="4"/>
      <c r="D582" s="8"/>
      <c r="E582" s="4"/>
      <c r="F582" s="8"/>
      <c r="G582" s="4"/>
      <c r="H582" s="8"/>
      <c r="I582" s="4"/>
    </row>
    <row r="583" spans="1:9" x14ac:dyDescent="0.2">
      <c r="A583" s="1" t="s">
        <v>26</v>
      </c>
      <c r="C583" s="4"/>
      <c r="D583" s="8"/>
      <c r="E583" s="4"/>
      <c r="F583" s="8"/>
      <c r="G583" s="4"/>
      <c r="H583" s="8"/>
      <c r="I583" s="4"/>
    </row>
    <row r="584" spans="1:9" x14ac:dyDescent="0.2">
      <c r="A584" s="2">
        <v>1</v>
      </c>
      <c r="B584" s="1" t="s">
        <v>84</v>
      </c>
      <c r="C584" s="4">
        <v>163</v>
      </c>
      <c r="D584" s="8">
        <v>14.35</v>
      </c>
      <c r="E584" s="4">
        <v>151</v>
      </c>
      <c r="F584" s="8">
        <v>19.02</v>
      </c>
      <c r="G584" s="4">
        <v>12</v>
      </c>
      <c r="H584" s="8">
        <v>3.68</v>
      </c>
      <c r="I584" s="4">
        <v>0</v>
      </c>
    </row>
    <row r="585" spans="1:9" x14ac:dyDescent="0.2">
      <c r="A585" s="2">
        <v>2</v>
      </c>
      <c r="B585" s="1" t="s">
        <v>99</v>
      </c>
      <c r="C585" s="4">
        <v>140</v>
      </c>
      <c r="D585" s="8">
        <v>12.32</v>
      </c>
      <c r="E585" s="4">
        <v>115</v>
      </c>
      <c r="F585" s="8">
        <v>14.48</v>
      </c>
      <c r="G585" s="4">
        <v>25</v>
      </c>
      <c r="H585" s="8">
        <v>7.67</v>
      </c>
      <c r="I585" s="4">
        <v>0</v>
      </c>
    </row>
    <row r="586" spans="1:9" x14ac:dyDescent="0.2">
      <c r="A586" s="2">
        <v>3</v>
      </c>
      <c r="B586" s="1" t="s">
        <v>85</v>
      </c>
      <c r="C586" s="4">
        <v>90</v>
      </c>
      <c r="D586" s="8">
        <v>7.92</v>
      </c>
      <c r="E586" s="4">
        <v>83</v>
      </c>
      <c r="F586" s="8">
        <v>10.45</v>
      </c>
      <c r="G586" s="4">
        <v>7</v>
      </c>
      <c r="H586" s="8">
        <v>2.15</v>
      </c>
      <c r="I586" s="4">
        <v>0</v>
      </c>
    </row>
    <row r="587" spans="1:9" x14ac:dyDescent="0.2">
      <c r="A587" s="2">
        <v>4</v>
      </c>
      <c r="B587" s="1" t="s">
        <v>79</v>
      </c>
      <c r="C587" s="4">
        <v>89</v>
      </c>
      <c r="D587" s="8">
        <v>7.83</v>
      </c>
      <c r="E587" s="4">
        <v>54</v>
      </c>
      <c r="F587" s="8">
        <v>6.8</v>
      </c>
      <c r="G587" s="4">
        <v>35</v>
      </c>
      <c r="H587" s="8">
        <v>10.74</v>
      </c>
      <c r="I587" s="4">
        <v>0</v>
      </c>
    </row>
    <row r="588" spans="1:9" x14ac:dyDescent="0.2">
      <c r="A588" s="2">
        <v>5</v>
      </c>
      <c r="B588" s="1" t="s">
        <v>81</v>
      </c>
      <c r="C588" s="4">
        <v>84</v>
      </c>
      <c r="D588" s="8">
        <v>7.39</v>
      </c>
      <c r="E588" s="4">
        <v>69</v>
      </c>
      <c r="F588" s="8">
        <v>8.69</v>
      </c>
      <c r="G588" s="4">
        <v>14</v>
      </c>
      <c r="H588" s="8">
        <v>4.29</v>
      </c>
      <c r="I588" s="4">
        <v>1</v>
      </c>
    </row>
    <row r="589" spans="1:9" x14ac:dyDescent="0.2">
      <c r="A589" s="2">
        <v>6</v>
      </c>
      <c r="B589" s="1" t="s">
        <v>77</v>
      </c>
      <c r="C589" s="4">
        <v>82</v>
      </c>
      <c r="D589" s="8">
        <v>7.22</v>
      </c>
      <c r="E589" s="4">
        <v>60</v>
      </c>
      <c r="F589" s="8">
        <v>7.56</v>
      </c>
      <c r="G589" s="4">
        <v>22</v>
      </c>
      <c r="H589" s="8">
        <v>6.75</v>
      </c>
      <c r="I589" s="4">
        <v>0</v>
      </c>
    </row>
    <row r="590" spans="1:9" x14ac:dyDescent="0.2">
      <c r="A590" s="2">
        <v>7</v>
      </c>
      <c r="B590" s="1" t="s">
        <v>69</v>
      </c>
      <c r="C590" s="4">
        <v>45</v>
      </c>
      <c r="D590" s="8">
        <v>3.96</v>
      </c>
      <c r="E590" s="4">
        <v>20</v>
      </c>
      <c r="F590" s="8">
        <v>2.52</v>
      </c>
      <c r="G590" s="4">
        <v>25</v>
      </c>
      <c r="H590" s="8">
        <v>7.67</v>
      </c>
      <c r="I590" s="4">
        <v>0</v>
      </c>
    </row>
    <row r="591" spans="1:9" x14ac:dyDescent="0.2">
      <c r="A591" s="2">
        <v>8</v>
      </c>
      <c r="B591" s="1" t="s">
        <v>70</v>
      </c>
      <c r="C591" s="4">
        <v>44</v>
      </c>
      <c r="D591" s="8">
        <v>3.87</v>
      </c>
      <c r="E591" s="4">
        <v>22</v>
      </c>
      <c r="F591" s="8">
        <v>2.77</v>
      </c>
      <c r="G591" s="4">
        <v>22</v>
      </c>
      <c r="H591" s="8">
        <v>6.75</v>
      </c>
      <c r="I591" s="4">
        <v>0</v>
      </c>
    </row>
    <row r="592" spans="1:9" x14ac:dyDescent="0.2">
      <c r="A592" s="2">
        <v>9</v>
      </c>
      <c r="B592" s="1" t="s">
        <v>76</v>
      </c>
      <c r="C592" s="4">
        <v>40</v>
      </c>
      <c r="D592" s="8">
        <v>3.52</v>
      </c>
      <c r="E592" s="4">
        <v>29</v>
      </c>
      <c r="F592" s="8">
        <v>3.65</v>
      </c>
      <c r="G592" s="4">
        <v>11</v>
      </c>
      <c r="H592" s="8">
        <v>3.37</v>
      </c>
      <c r="I592" s="4">
        <v>0</v>
      </c>
    </row>
    <row r="593" spans="1:9" x14ac:dyDescent="0.2">
      <c r="A593" s="2">
        <v>10</v>
      </c>
      <c r="B593" s="1" t="s">
        <v>86</v>
      </c>
      <c r="C593" s="4">
        <v>33</v>
      </c>
      <c r="D593" s="8">
        <v>2.9</v>
      </c>
      <c r="E593" s="4">
        <v>26</v>
      </c>
      <c r="F593" s="8">
        <v>3.27</v>
      </c>
      <c r="G593" s="4">
        <v>5</v>
      </c>
      <c r="H593" s="8">
        <v>1.53</v>
      </c>
      <c r="I593" s="4">
        <v>0</v>
      </c>
    </row>
    <row r="594" spans="1:9" x14ac:dyDescent="0.2">
      <c r="A594" s="2">
        <v>11</v>
      </c>
      <c r="B594" s="1" t="s">
        <v>78</v>
      </c>
      <c r="C594" s="4">
        <v>32</v>
      </c>
      <c r="D594" s="8">
        <v>2.82</v>
      </c>
      <c r="E594" s="4">
        <v>18</v>
      </c>
      <c r="F594" s="8">
        <v>2.27</v>
      </c>
      <c r="G594" s="4">
        <v>14</v>
      </c>
      <c r="H594" s="8">
        <v>4.29</v>
      </c>
      <c r="I594" s="4">
        <v>0</v>
      </c>
    </row>
    <row r="595" spans="1:9" x14ac:dyDescent="0.2">
      <c r="A595" s="2">
        <v>12</v>
      </c>
      <c r="B595" s="1" t="s">
        <v>82</v>
      </c>
      <c r="C595" s="4">
        <v>26</v>
      </c>
      <c r="D595" s="8">
        <v>2.29</v>
      </c>
      <c r="E595" s="4">
        <v>22</v>
      </c>
      <c r="F595" s="8">
        <v>2.77</v>
      </c>
      <c r="G595" s="4">
        <v>4</v>
      </c>
      <c r="H595" s="8">
        <v>1.23</v>
      </c>
      <c r="I595" s="4">
        <v>0</v>
      </c>
    </row>
    <row r="596" spans="1:9" x14ac:dyDescent="0.2">
      <c r="A596" s="2">
        <v>13</v>
      </c>
      <c r="B596" s="1" t="s">
        <v>101</v>
      </c>
      <c r="C596" s="4">
        <v>25</v>
      </c>
      <c r="D596" s="8">
        <v>2.2000000000000002</v>
      </c>
      <c r="E596" s="4">
        <v>20</v>
      </c>
      <c r="F596" s="8">
        <v>2.52</v>
      </c>
      <c r="G596" s="4">
        <v>4</v>
      </c>
      <c r="H596" s="8">
        <v>1.23</v>
      </c>
      <c r="I596" s="4">
        <v>0</v>
      </c>
    </row>
    <row r="597" spans="1:9" x14ac:dyDescent="0.2">
      <c r="A597" s="2">
        <v>14</v>
      </c>
      <c r="B597" s="1" t="s">
        <v>71</v>
      </c>
      <c r="C597" s="4">
        <v>23</v>
      </c>
      <c r="D597" s="8">
        <v>2.02</v>
      </c>
      <c r="E597" s="4">
        <v>9</v>
      </c>
      <c r="F597" s="8">
        <v>1.1299999999999999</v>
      </c>
      <c r="G597" s="4">
        <v>14</v>
      </c>
      <c r="H597" s="8">
        <v>4.29</v>
      </c>
      <c r="I597" s="4">
        <v>0</v>
      </c>
    </row>
    <row r="598" spans="1:9" x14ac:dyDescent="0.2">
      <c r="A598" s="2">
        <v>14</v>
      </c>
      <c r="B598" s="1" t="s">
        <v>87</v>
      </c>
      <c r="C598" s="4">
        <v>23</v>
      </c>
      <c r="D598" s="8">
        <v>2.02</v>
      </c>
      <c r="E598" s="4">
        <v>22</v>
      </c>
      <c r="F598" s="8">
        <v>2.77</v>
      </c>
      <c r="G598" s="4">
        <v>1</v>
      </c>
      <c r="H598" s="8">
        <v>0.31</v>
      </c>
      <c r="I598" s="4">
        <v>0</v>
      </c>
    </row>
    <row r="599" spans="1:9" x14ac:dyDescent="0.2">
      <c r="A599" s="2">
        <v>16</v>
      </c>
      <c r="B599" s="1" t="s">
        <v>93</v>
      </c>
      <c r="C599" s="4">
        <v>20</v>
      </c>
      <c r="D599" s="8">
        <v>1.76</v>
      </c>
      <c r="E599" s="4">
        <v>8</v>
      </c>
      <c r="F599" s="8">
        <v>1.01</v>
      </c>
      <c r="G599" s="4">
        <v>12</v>
      </c>
      <c r="H599" s="8">
        <v>3.68</v>
      </c>
      <c r="I599" s="4">
        <v>0</v>
      </c>
    </row>
    <row r="600" spans="1:9" x14ac:dyDescent="0.2">
      <c r="A600" s="2">
        <v>17</v>
      </c>
      <c r="B600" s="1" t="s">
        <v>100</v>
      </c>
      <c r="C600" s="4">
        <v>16</v>
      </c>
      <c r="D600" s="8">
        <v>1.41</v>
      </c>
      <c r="E600" s="4">
        <v>7</v>
      </c>
      <c r="F600" s="8">
        <v>0.88</v>
      </c>
      <c r="G600" s="4">
        <v>9</v>
      </c>
      <c r="H600" s="8">
        <v>2.76</v>
      </c>
      <c r="I600" s="4">
        <v>0</v>
      </c>
    </row>
    <row r="601" spans="1:9" x14ac:dyDescent="0.2">
      <c r="A601" s="2">
        <v>18</v>
      </c>
      <c r="B601" s="1" t="s">
        <v>80</v>
      </c>
      <c r="C601" s="4">
        <v>15</v>
      </c>
      <c r="D601" s="8">
        <v>1.32</v>
      </c>
      <c r="E601" s="4">
        <v>2</v>
      </c>
      <c r="F601" s="8">
        <v>0.25</v>
      </c>
      <c r="G601" s="4">
        <v>13</v>
      </c>
      <c r="H601" s="8">
        <v>3.99</v>
      </c>
      <c r="I601" s="4">
        <v>0</v>
      </c>
    </row>
    <row r="602" spans="1:9" x14ac:dyDescent="0.2">
      <c r="A602" s="2">
        <v>18</v>
      </c>
      <c r="B602" s="1" t="s">
        <v>83</v>
      </c>
      <c r="C602" s="4">
        <v>15</v>
      </c>
      <c r="D602" s="8">
        <v>1.32</v>
      </c>
      <c r="E602" s="4">
        <v>11</v>
      </c>
      <c r="F602" s="8">
        <v>1.39</v>
      </c>
      <c r="G602" s="4">
        <v>2</v>
      </c>
      <c r="H602" s="8">
        <v>0.61</v>
      </c>
      <c r="I602" s="4">
        <v>0</v>
      </c>
    </row>
    <row r="603" spans="1:9" x14ac:dyDescent="0.2">
      <c r="A603" s="2">
        <v>20</v>
      </c>
      <c r="B603" s="1" t="s">
        <v>104</v>
      </c>
      <c r="C603" s="4">
        <v>13</v>
      </c>
      <c r="D603" s="8">
        <v>1.1399999999999999</v>
      </c>
      <c r="E603" s="4">
        <v>4</v>
      </c>
      <c r="F603" s="8">
        <v>0.5</v>
      </c>
      <c r="G603" s="4">
        <v>9</v>
      </c>
      <c r="H603" s="8">
        <v>2.76</v>
      </c>
      <c r="I603" s="4">
        <v>0</v>
      </c>
    </row>
    <row r="604" spans="1:9" x14ac:dyDescent="0.2">
      <c r="A604" s="1"/>
      <c r="C604" s="4"/>
      <c r="D604" s="8"/>
      <c r="E604" s="4"/>
      <c r="F604" s="8"/>
      <c r="G604" s="4"/>
      <c r="H604" s="8"/>
      <c r="I604" s="4"/>
    </row>
    <row r="605" spans="1:9" x14ac:dyDescent="0.2">
      <c r="A605" s="1" t="s">
        <v>27</v>
      </c>
      <c r="C605" s="4"/>
      <c r="D605" s="8"/>
      <c r="E605" s="4"/>
      <c r="F605" s="8"/>
      <c r="G605" s="4"/>
      <c r="H605" s="8"/>
      <c r="I605" s="4"/>
    </row>
    <row r="606" spans="1:9" x14ac:dyDescent="0.2">
      <c r="A606" s="2">
        <v>1</v>
      </c>
      <c r="B606" s="1" t="s">
        <v>81</v>
      </c>
      <c r="C606" s="4">
        <v>120</v>
      </c>
      <c r="D606" s="8">
        <v>11.37</v>
      </c>
      <c r="E606" s="4">
        <v>72</v>
      </c>
      <c r="F606" s="8">
        <v>13.14</v>
      </c>
      <c r="G606" s="4">
        <v>48</v>
      </c>
      <c r="H606" s="8">
        <v>9.66</v>
      </c>
      <c r="I606" s="4">
        <v>0</v>
      </c>
    </row>
    <row r="607" spans="1:9" x14ac:dyDescent="0.2">
      <c r="A607" s="2">
        <v>2</v>
      </c>
      <c r="B607" s="1" t="s">
        <v>85</v>
      </c>
      <c r="C607" s="4">
        <v>105</v>
      </c>
      <c r="D607" s="8">
        <v>9.9499999999999993</v>
      </c>
      <c r="E607" s="4">
        <v>90</v>
      </c>
      <c r="F607" s="8">
        <v>16.420000000000002</v>
      </c>
      <c r="G607" s="4">
        <v>15</v>
      </c>
      <c r="H607" s="8">
        <v>3.02</v>
      </c>
      <c r="I607" s="4">
        <v>0</v>
      </c>
    </row>
    <row r="608" spans="1:9" x14ac:dyDescent="0.2">
      <c r="A608" s="2">
        <v>3</v>
      </c>
      <c r="B608" s="1" t="s">
        <v>69</v>
      </c>
      <c r="C608" s="4">
        <v>89</v>
      </c>
      <c r="D608" s="8">
        <v>8.44</v>
      </c>
      <c r="E608" s="4">
        <v>30</v>
      </c>
      <c r="F608" s="8">
        <v>5.47</v>
      </c>
      <c r="G608" s="4">
        <v>59</v>
      </c>
      <c r="H608" s="8">
        <v>11.87</v>
      </c>
      <c r="I608" s="4">
        <v>0</v>
      </c>
    </row>
    <row r="609" spans="1:9" x14ac:dyDescent="0.2">
      <c r="A609" s="2">
        <v>4</v>
      </c>
      <c r="B609" s="1" t="s">
        <v>84</v>
      </c>
      <c r="C609" s="4">
        <v>86</v>
      </c>
      <c r="D609" s="8">
        <v>8.15</v>
      </c>
      <c r="E609" s="4">
        <v>73</v>
      </c>
      <c r="F609" s="8">
        <v>13.32</v>
      </c>
      <c r="G609" s="4">
        <v>13</v>
      </c>
      <c r="H609" s="8">
        <v>2.62</v>
      </c>
      <c r="I609" s="4">
        <v>0</v>
      </c>
    </row>
    <row r="610" spans="1:9" x14ac:dyDescent="0.2">
      <c r="A610" s="2">
        <v>5</v>
      </c>
      <c r="B610" s="1" t="s">
        <v>71</v>
      </c>
      <c r="C610" s="4">
        <v>51</v>
      </c>
      <c r="D610" s="8">
        <v>4.83</v>
      </c>
      <c r="E610" s="4">
        <v>21</v>
      </c>
      <c r="F610" s="8">
        <v>3.83</v>
      </c>
      <c r="G610" s="4">
        <v>30</v>
      </c>
      <c r="H610" s="8">
        <v>6.04</v>
      </c>
      <c r="I610" s="4">
        <v>0</v>
      </c>
    </row>
    <row r="611" spans="1:9" x14ac:dyDescent="0.2">
      <c r="A611" s="2">
        <v>6</v>
      </c>
      <c r="B611" s="1" t="s">
        <v>70</v>
      </c>
      <c r="C611" s="4">
        <v>50</v>
      </c>
      <c r="D611" s="8">
        <v>4.74</v>
      </c>
      <c r="E611" s="4">
        <v>27</v>
      </c>
      <c r="F611" s="8">
        <v>4.93</v>
      </c>
      <c r="G611" s="4">
        <v>23</v>
      </c>
      <c r="H611" s="8">
        <v>4.63</v>
      </c>
      <c r="I611" s="4">
        <v>0</v>
      </c>
    </row>
    <row r="612" spans="1:9" x14ac:dyDescent="0.2">
      <c r="A612" s="2">
        <v>6</v>
      </c>
      <c r="B612" s="1" t="s">
        <v>79</v>
      </c>
      <c r="C612" s="4">
        <v>50</v>
      </c>
      <c r="D612" s="8">
        <v>4.74</v>
      </c>
      <c r="E612" s="4">
        <v>20</v>
      </c>
      <c r="F612" s="8">
        <v>3.65</v>
      </c>
      <c r="G612" s="4">
        <v>30</v>
      </c>
      <c r="H612" s="8">
        <v>6.04</v>
      </c>
      <c r="I612" s="4">
        <v>0</v>
      </c>
    </row>
    <row r="613" spans="1:9" x14ac:dyDescent="0.2">
      <c r="A613" s="2">
        <v>8</v>
      </c>
      <c r="B613" s="1" t="s">
        <v>86</v>
      </c>
      <c r="C613" s="4">
        <v>48</v>
      </c>
      <c r="D613" s="8">
        <v>4.55</v>
      </c>
      <c r="E613" s="4">
        <v>30</v>
      </c>
      <c r="F613" s="8">
        <v>5.47</v>
      </c>
      <c r="G613" s="4">
        <v>16</v>
      </c>
      <c r="H613" s="8">
        <v>3.22</v>
      </c>
      <c r="I613" s="4">
        <v>0</v>
      </c>
    </row>
    <row r="614" spans="1:9" x14ac:dyDescent="0.2">
      <c r="A614" s="2">
        <v>9</v>
      </c>
      <c r="B614" s="1" t="s">
        <v>77</v>
      </c>
      <c r="C614" s="4">
        <v>37</v>
      </c>
      <c r="D614" s="8">
        <v>3.51</v>
      </c>
      <c r="E614" s="4">
        <v>25</v>
      </c>
      <c r="F614" s="8">
        <v>4.5599999999999996</v>
      </c>
      <c r="G614" s="4">
        <v>12</v>
      </c>
      <c r="H614" s="8">
        <v>2.41</v>
      </c>
      <c r="I614" s="4">
        <v>0</v>
      </c>
    </row>
    <row r="615" spans="1:9" x14ac:dyDescent="0.2">
      <c r="A615" s="2">
        <v>10</v>
      </c>
      <c r="B615" s="1" t="s">
        <v>87</v>
      </c>
      <c r="C615" s="4">
        <v>33</v>
      </c>
      <c r="D615" s="8">
        <v>3.13</v>
      </c>
      <c r="E615" s="4">
        <v>25</v>
      </c>
      <c r="F615" s="8">
        <v>4.5599999999999996</v>
      </c>
      <c r="G615" s="4">
        <v>8</v>
      </c>
      <c r="H615" s="8">
        <v>1.61</v>
      </c>
      <c r="I615" s="4">
        <v>0</v>
      </c>
    </row>
    <row r="616" spans="1:9" x14ac:dyDescent="0.2">
      <c r="A616" s="2">
        <v>11</v>
      </c>
      <c r="B616" s="1" t="s">
        <v>78</v>
      </c>
      <c r="C616" s="4">
        <v>31</v>
      </c>
      <c r="D616" s="8">
        <v>2.94</v>
      </c>
      <c r="E616" s="4">
        <v>16</v>
      </c>
      <c r="F616" s="8">
        <v>2.92</v>
      </c>
      <c r="G616" s="4">
        <v>15</v>
      </c>
      <c r="H616" s="8">
        <v>3.02</v>
      </c>
      <c r="I616" s="4">
        <v>0</v>
      </c>
    </row>
    <row r="617" spans="1:9" x14ac:dyDescent="0.2">
      <c r="A617" s="2">
        <v>12</v>
      </c>
      <c r="B617" s="1" t="s">
        <v>82</v>
      </c>
      <c r="C617" s="4">
        <v>29</v>
      </c>
      <c r="D617" s="8">
        <v>2.75</v>
      </c>
      <c r="E617" s="4">
        <v>20</v>
      </c>
      <c r="F617" s="8">
        <v>3.65</v>
      </c>
      <c r="G617" s="4">
        <v>9</v>
      </c>
      <c r="H617" s="8">
        <v>1.81</v>
      </c>
      <c r="I617" s="4">
        <v>0</v>
      </c>
    </row>
    <row r="618" spans="1:9" x14ac:dyDescent="0.2">
      <c r="A618" s="2">
        <v>13</v>
      </c>
      <c r="B618" s="1" t="s">
        <v>83</v>
      </c>
      <c r="C618" s="4">
        <v>25</v>
      </c>
      <c r="D618" s="8">
        <v>2.37</v>
      </c>
      <c r="E618" s="4">
        <v>12</v>
      </c>
      <c r="F618" s="8">
        <v>2.19</v>
      </c>
      <c r="G618" s="4">
        <v>13</v>
      </c>
      <c r="H618" s="8">
        <v>2.62</v>
      </c>
      <c r="I618" s="4">
        <v>0</v>
      </c>
    </row>
    <row r="619" spans="1:9" x14ac:dyDescent="0.2">
      <c r="A619" s="2">
        <v>14</v>
      </c>
      <c r="B619" s="1" t="s">
        <v>73</v>
      </c>
      <c r="C619" s="4">
        <v>19</v>
      </c>
      <c r="D619" s="8">
        <v>1.8</v>
      </c>
      <c r="E619" s="4">
        <v>5</v>
      </c>
      <c r="F619" s="8">
        <v>0.91</v>
      </c>
      <c r="G619" s="4">
        <v>14</v>
      </c>
      <c r="H619" s="8">
        <v>2.82</v>
      </c>
      <c r="I619" s="4">
        <v>0</v>
      </c>
    </row>
    <row r="620" spans="1:9" x14ac:dyDescent="0.2">
      <c r="A620" s="2">
        <v>15</v>
      </c>
      <c r="B620" s="1" t="s">
        <v>90</v>
      </c>
      <c r="C620" s="4">
        <v>18</v>
      </c>
      <c r="D620" s="8">
        <v>1.71</v>
      </c>
      <c r="E620" s="4">
        <v>0</v>
      </c>
      <c r="F620" s="8">
        <v>0</v>
      </c>
      <c r="G620" s="4">
        <v>13</v>
      </c>
      <c r="H620" s="8">
        <v>2.62</v>
      </c>
      <c r="I620" s="4">
        <v>4</v>
      </c>
    </row>
    <row r="621" spans="1:9" x14ac:dyDescent="0.2">
      <c r="A621" s="2">
        <v>16</v>
      </c>
      <c r="B621" s="1" t="s">
        <v>76</v>
      </c>
      <c r="C621" s="4">
        <v>17</v>
      </c>
      <c r="D621" s="8">
        <v>1.61</v>
      </c>
      <c r="E621" s="4">
        <v>7</v>
      </c>
      <c r="F621" s="8">
        <v>1.28</v>
      </c>
      <c r="G621" s="4">
        <v>10</v>
      </c>
      <c r="H621" s="8">
        <v>2.0099999999999998</v>
      </c>
      <c r="I621" s="4">
        <v>0</v>
      </c>
    </row>
    <row r="622" spans="1:9" x14ac:dyDescent="0.2">
      <c r="A622" s="2">
        <v>17</v>
      </c>
      <c r="B622" s="1" t="s">
        <v>72</v>
      </c>
      <c r="C622" s="4">
        <v>15</v>
      </c>
      <c r="D622" s="8">
        <v>1.42</v>
      </c>
      <c r="E622" s="4">
        <v>7</v>
      </c>
      <c r="F622" s="8">
        <v>1.28</v>
      </c>
      <c r="G622" s="4">
        <v>8</v>
      </c>
      <c r="H622" s="8">
        <v>1.61</v>
      </c>
      <c r="I622" s="4">
        <v>0</v>
      </c>
    </row>
    <row r="623" spans="1:9" x14ac:dyDescent="0.2">
      <c r="A623" s="2">
        <v>17</v>
      </c>
      <c r="B623" s="1" t="s">
        <v>95</v>
      </c>
      <c r="C623" s="4">
        <v>15</v>
      </c>
      <c r="D623" s="8">
        <v>1.42</v>
      </c>
      <c r="E623" s="4">
        <v>8</v>
      </c>
      <c r="F623" s="8">
        <v>1.46</v>
      </c>
      <c r="G623" s="4">
        <v>7</v>
      </c>
      <c r="H623" s="8">
        <v>1.41</v>
      </c>
      <c r="I623" s="4">
        <v>0</v>
      </c>
    </row>
    <row r="624" spans="1:9" x14ac:dyDescent="0.2">
      <c r="A624" s="2">
        <v>17</v>
      </c>
      <c r="B624" s="1" t="s">
        <v>88</v>
      </c>
      <c r="C624" s="4">
        <v>15</v>
      </c>
      <c r="D624" s="8">
        <v>1.42</v>
      </c>
      <c r="E624" s="4">
        <v>12</v>
      </c>
      <c r="F624" s="8">
        <v>2.19</v>
      </c>
      <c r="G624" s="4">
        <v>3</v>
      </c>
      <c r="H624" s="8">
        <v>0.6</v>
      </c>
      <c r="I624" s="4">
        <v>0</v>
      </c>
    </row>
    <row r="625" spans="1:9" x14ac:dyDescent="0.2">
      <c r="A625" s="2">
        <v>20</v>
      </c>
      <c r="B625" s="1" t="s">
        <v>75</v>
      </c>
      <c r="C625" s="4">
        <v>13</v>
      </c>
      <c r="D625" s="8">
        <v>1.23</v>
      </c>
      <c r="E625" s="4">
        <v>2</v>
      </c>
      <c r="F625" s="8">
        <v>0.36</v>
      </c>
      <c r="G625" s="4">
        <v>11</v>
      </c>
      <c r="H625" s="8">
        <v>2.21</v>
      </c>
      <c r="I625" s="4">
        <v>0</v>
      </c>
    </row>
    <row r="626" spans="1:9" x14ac:dyDescent="0.2">
      <c r="A626" s="2">
        <v>20</v>
      </c>
      <c r="B626" s="1" t="s">
        <v>99</v>
      </c>
      <c r="C626" s="4">
        <v>13</v>
      </c>
      <c r="D626" s="8">
        <v>1.23</v>
      </c>
      <c r="E626" s="4">
        <v>8</v>
      </c>
      <c r="F626" s="8">
        <v>1.46</v>
      </c>
      <c r="G626" s="4">
        <v>5</v>
      </c>
      <c r="H626" s="8">
        <v>1.01</v>
      </c>
      <c r="I626" s="4">
        <v>0</v>
      </c>
    </row>
    <row r="627" spans="1:9" x14ac:dyDescent="0.2">
      <c r="A627" s="1"/>
      <c r="C627" s="4"/>
      <c r="D627" s="8"/>
      <c r="E627" s="4"/>
      <c r="F627" s="8"/>
      <c r="G627" s="4"/>
      <c r="H627" s="8"/>
      <c r="I627" s="4"/>
    </row>
    <row r="628" spans="1:9" x14ac:dyDescent="0.2">
      <c r="A628" s="1" t="s">
        <v>28</v>
      </c>
      <c r="C628" s="4"/>
      <c r="D628" s="8"/>
      <c r="E628" s="4"/>
      <c r="F628" s="8"/>
      <c r="G628" s="4"/>
      <c r="H628" s="8"/>
      <c r="I628" s="4"/>
    </row>
    <row r="629" spans="1:9" x14ac:dyDescent="0.2">
      <c r="A629" s="2">
        <v>1</v>
      </c>
      <c r="B629" s="1" t="s">
        <v>81</v>
      </c>
      <c r="C629" s="4">
        <v>134</v>
      </c>
      <c r="D629" s="8">
        <v>10.24</v>
      </c>
      <c r="E629" s="4">
        <v>104</v>
      </c>
      <c r="F629" s="8">
        <v>14.38</v>
      </c>
      <c r="G629" s="4">
        <v>30</v>
      </c>
      <c r="H629" s="8">
        <v>5.18</v>
      </c>
      <c r="I629" s="4">
        <v>0</v>
      </c>
    </row>
    <row r="630" spans="1:9" x14ac:dyDescent="0.2">
      <c r="A630" s="2">
        <v>2</v>
      </c>
      <c r="B630" s="1" t="s">
        <v>85</v>
      </c>
      <c r="C630" s="4">
        <v>129</v>
      </c>
      <c r="D630" s="8">
        <v>9.85</v>
      </c>
      <c r="E630" s="4">
        <v>115</v>
      </c>
      <c r="F630" s="8">
        <v>15.91</v>
      </c>
      <c r="G630" s="4">
        <v>14</v>
      </c>
      <c r="H630" s="8">
        <v>2.42</v>
      </c>
      <c r="I630" s="4">
        <v>0</v>
      </c>
    </row>
    <row r="631" spans="1:9" x14ac:dyDescent="0.2">
      <c r="A631" s="2">
        <v>3</v>
      </c>
      <c r="B631" s="1" t="s">
        <v>84</v>
      </c>
      <c r="C631" s="4">
        <v>99</v>
      </c>
      <c r="D631" s="8">
        <v>7.56</v>
      </c>
      <c r="E631" s="4">
        <v>85</v>
      </c>
      <c r="F631" s="8">
        <v>11.76</v>
      </c>
      <c r="G631" s="4">
        <v>14</v>
      </c>
      <c r="H631" s="8">
        <v>2.42</v>
      </c>
      <c r="I631" s="4">
        <v>0</v>
      </c>
    </row>
    <row r="632" spans="1:9" x14ac:dyDescent="0.2">
      <c r="A632" s="2">
        <v>4</v>
      </c>
      <c r="B632" s="1" t="s">
        <v>77</v>
      </c>
      <c r="C632" s="4">
        <v>78</v>
      </c>
      <c r="D632" s="8">
        <v>5.96</v>
      </c>
      <c r="E632" s="4">
        <v>57</v>
      </c>
      <c r="F632" s="8">
        <v>7.88</v>
      </c>
      <c r="G632" s="4">
        <v>21</v>
      </c>
      <c r="H632" s="8">
        <v>3.63</v>
      </c>
      <c r="I632" s="4">
        <v>0</v>
      </c>
    </row>
    <row r="633" spans="1:9" x14ac:dyDescent="0.2">
      <c r="A633" s="2">
        <v>5</v>
      </c>
      <c r="B633" s="1" t="s">
        <v>69</v>
      </c>
      <c r="C633" s="4">
        <v>73</v>
      </c>
      <c r="D633" s="8">
        <v>5.58</v>
      </c>
      <c r="E633" s="4">
        <v>22</v>
      </c>
      <c r="F633" s="8">
        <v>3.04</v>
      </c>
      <c r="G633" s="4">
        <v>51</v>
      </c>
      <c r="H633" s="8">
        <v>8.81</v>
      </c>
      <c r="I633" s="4">
        <v>0</v>
      </c>
    </row>
    <row r="634" spans="1:9" x14ac:dyDescent="0.2">
      <c r="A634" s="2">
        <v>6</v>
      </c>
      <c r="B634" s="1" t="s">
        <v>79</v>
      </c>
      <c r="C634" s="4">
        <v>68</v>
      </c>
      <c r="D634" s="8">
        <v>5.19</v>
      </c>
      <c r="E634" s="4">
        <v>36</v>
      </c>
      <c r="F634" s="8">
        <v>4.9800000000000004</v>
      </c>
      <c r="G634" s="4">
        <v>32</v>
      </c>
      <c r="H634" s="8">
        <v>5.53</v>
      </c>
      <c r="I634" s="4">
        <v>0</v>
      </c>
    </row>
    <row r="635" spans="1:9" x14ac:dyDescent="0.2">
      <c r="A635" s="2">
        <v>7</v>
      </c>
      <c r="B635" s="1" t="s">
        <v>94</v>
      </c>
      <c r="C635" s="4">
        <v>62</v>
      </c>
      <c r="D635" s="8">
        <v>4.74</v>
      </c>
      <c r="E635" s="4">
        <v>23</v>
      </c>
      <c r="F635" s="8">
        <v>3.18</v>
      </c>
      <c r="G635" s="4">
        <v>39</v>
      </c>
      <c r="H635" s="8">
        <v>6.74</v>
      </c>
      <c r="I635" s="4">
        <v>0</v>
      </c>
    </row>
    <row r="636" spans="1:9" x14ac:dyDescent="0.2">
      <c r="A636" s="2">
        <v>8</v>
      </c>
      <c r="B636" s="1" t="s">
        <v>86</v>
      </c>
      <c r="C636" s="4">
        <v>60</v>
      </c>
      <c r="D636" s="8">
        <v>4.58</v>
      </c>
      <c r="E636" s="4">
        <v>48</v>
      </c>
      <c r="F636" s="8">
        <v>6.64</v>
      </c>
      <c r="G636" s="4">
        <v>11</v>
      </c>
      <c r="H636" s="8">
        <v>1.9</v>
      </c>
      <c r="I636" s="4">
        <v>0</v>
      </c>
    </row>
    <row r="637" spans="1:9" x14ac:dyDescent="0.2">
      <c r="A637" s="2">
        <v>9</v>
      </c>
      <c r="B637" s="1" t="s">
        <v>70</v>
      </c>
      <c r="C637" s="4">
        <v>45</v>
      </c>
      <c r="D637" s="8">
        <v>3.44</v>
      </c>
      <c r="E637" s="4">
        <v>21</v>
      </c>
      <c r="F637" s="8">
        <v>2.9</v>
      </c>
      <c r="G637" s="4">
        <v>24</v>
      </c>
      <c r="H637" s="8">
        <v>4.1500000000000004</v>
      </c>
      <c r="I637" s="4">
        <v>0</v>
      </c>
    </row>
    <row r="638" spans="1:9" x14ac:dyDescent="0.2">
      <c r="A638" s="2">
        <v>9</v>
      </c>
      <c r="B638" s="1" t="s">
        <v>78</v>
      </c>
      <c r="C638" s="4">
        <v>45</v>
      </c>
      <c r="D638" s="8">
        <v>3.44</v>
      </c>
      <c r="E638" s="4">
        <v>22</v>
      </c>
      <c r="F638" s="8">
        <v>3.04</v>
      </c>
      <c r="G638" s="4">
        <v>23</v>
      </c>
      <c r="H638" s="8">
        <v>3.97</v>
      </c>
      <c r="I638" s="4">
        <v>0</v>
      </c>
    </row>
    <row r="639" spans="1:9" x14ac:dyDescent="0.2">
      <c r="A639" s="2">
        <v>11</v>
      </c>
      <c r="B639" s="1" t="s">
        <v>71</v>
      </c>
      <c r="C639" s="4">
        <v>38</v>
      </c>
      <c r="D639" s="8">
        <v>2.9</v>
      </c>
      <c r="E639" s="4">
        <v>8</v>
      </c>
      <c r="F639" s="8">
        <v>1.1100000000000001</v>
      </c>
      <c r="G639" s="4">
        <v>30</v>
      </c>
      <c r="H639" s="8">
        <v>5.18</v>
      </c>
      <c r="I639" s="4">
        <v>0</v>
      </c>
    </row>
    <row r="640" spans="1:9" x14ac:dyDescent="0.2">
      <c r="A640" s="2">
        <v>12</v>
      </c>
      <c r="B640" s="1" t="s">
        <v>87</v>
      </c>
      <c r="C640" s="4">
        <v>36</v>
      </c>
      <c r="D640" s="8">
        <v>2.75</v>
      </c>
      <c r="E640" s="4">
        <v>31</v>
      </c>
      <c r="F640" s="8">
        <v>4.29</v>
      </c>
      <c r="G640" s="4">
        <v>5</v>
      </c>
      <c r="H640" s="8">
        <v>0.86</v>
      </c>
      <c r="I640" s="4">
        <v>0</v>
      </c>
    </row>
    <row r="641" spans="1:9" x14ac:dyDescent="0.2">
      <c r="A641" s="2">
        <v>13</v>
      </c>
      <c r="B641" s="1" t="s">
        <v>83</v>
      </c>
      <c r="C641" s="4">
        <v>33</v>
      </c>
      <c r="D641" s="8">
        <v>2.52</v>
      </c>
      <c r="E641" s="4">
        <v>17</v>
      </c>
      <c r="F641" s="8">
        <v>2.35</v>
      </c>
      <c r="G641" s="4">
        <v>16</v>
      </c>
      <c r="H641" s="8">
        <v>2.76</v>
      </c>
      <c r="I641" s="4">
        <v>0</v>
      </c>
    </row>
    <row r="642" spans="1:9" x14ac:dyDescent="0.2">
      <c r="A642" s="2">
        <v>14</v>
      </c>
      <c r="B642" s="1" t="s">
        <v>73</v>
      </c>
      <c r="C642" s="4">
        <v>26</v>
      </c>
      <c r="D642" s="8">
        <v>1.99</v>
      </c>
      <c r="E642" s="4">
        <v>5</v>
      </c>
      <c r="F642" s="8">
        <v>0.69</v>
      </c>
      <c r="G642" s="4">
        <v>21</v>
      </c>
      <c r="H642" s="8">
        <v>3.63</v>
      </c>
      <c r="I642" s="4">
        <v>0</v>
      </c>
    </row>
    <row r="643" spans="1:9" x14ac:dyDescent="0.2">
      <c r="A643" s="2">
        <v>15</v>
      </c>
      <c r="B643" s="1" t="s">
        <v>72</v>
      </c>
      <c r="C643" s="4">
        <v>25</v>
      </c>
      <c r="D643" s="8">
        <v>1.91</v>
      </c>
      <c r="E643" s="4">
        <v>6</v>
      </c>
      <c r="F643" s="8">
        <v>0.83</v>
      </c>
      <c r="G643" s="4">
        <v>19</v>
      </c>
      <c r="H643" s="8">
        <v>3.28</v>
      </c>
      <c r="I643" s="4">
        <v>0</v>
      </c>
    </row>
    <row r="644" spans="1:9" x14ac:dyDescent="0.2">
      <c r="A644" s="2">
        <v>15</v>
      </c>
      <c r="B644" s="1" t="s">
        <v>76</v>
      </c>
      <c r="C644" s="4">
        <v>25</v>
      </c>
      <c r="D644" s="8">
        <v>1.91</v>
      </c>
      <c r="E644" s="4">
        <v>15</v>
      </c>
      <c r="F644" s="8">
        <v>2.0699999999999998</v>
      </c>
      <c r="G644" s="4">
        <v>10</v>
      </c>
      <c r="H644" s="8">
        <v>1.73</v>
      </c>
      <c r="I644" s="4">
        <v>0</v>
      </c>
    </row>
    <row r="645" spans="1:9" x14ac:dyDescent="0.2">
      <c r="A645" s="2">
        <v>17</v>
      </c>
      <c r="B645" s="1" t="s">
        <v>103</v>
      </c>
      <c r="C645" s="4">
        <v>20</v>
      </c>
      <c r="D645" s="8">
        <v>1.53</v>
      </c>
      <c r="E645" s="4">
        <v>4</v>
      </c>
      <c r="F645" s="8">
        <v>0.55000000000000004</v>
      </c>
      <c r="G645" s="4">
        <v>16</v>
      </c>
      <c r="H645" s="8">
        <v>2.76</v>
      </c>
      <c r="I645" s="4">
        <v>0</v>
      </c>
    </row>
    <row r="646" spans="1:9" x14ac:dyDescent="0.2">
      <c r="A646" s="2">
        <v>18</v>
      </c>
      <c r="B646" s="1" t="s">
        <v>80</v>
      </c>
      <c r="C646" s="4">
        <v>18</v>
      </c>
      <c r="D646" s="8">
        <v>1.38</v>
      </c>
      <c r="E646" s="4">
        <v>8</v>
      </c>
      <c r="F646" s="8">
        <v>1.1100000000000001</v>
      </c>
      <c r="G646" s="4">
        <v>10</v>
      </c>
      <c r="H646" s="8">
        <v>1.73</v>
      </c>
      <c r="I646" s="4">
        <v>0</v>
      </c>
    </row>
    <row r="647" spans="1:9" x14ac:dyDescent="0.2">
      <c r="A647" s="2">
        <v>18</v>
      </c>
      <c r="B647" s="1" t="s">
        <v>82</v>
      </c>
      <c r="C647" s="4">
        <v>18</v>
      </c>
      <c r="D647" s="8">
        <v>1.38</v>
      </c>
      <c r="E647" s="4">
        <v>16</v>
      </c>
      <c r="F647" s="8">
        <v>2.21</v>
      </c>
      <c r="G647" s="4">
        <v>2</v>
      </c>
      <c r="H647" s="8">
        <v>0.35</v>
      </c>
      <c r="I647" s="4">
        <v>0</v>
      </c>
    </row>
    <row r="648" spans="1:9" x14ac:dyDescent="0.2">
      <c r="A648" s="2">
        <v>20</v>
      </c>
      <c r="B648" s="1" t="s">
        <v>75</v>
      </c>
      <c r="C648" s="4">
        <v>17</v>
      </c>
      <c r="D648" s="8">
        <v>1.3</v>
      </c>
      <c r="E648" s="4">
        <v>3</v>
      </c>
      <c r="F648" s="8">
        <v>0.41</v>
      </c>
      <c r="G648" s="4">
        <v>14</v>
      </c>
      <c r="H648" s="8">
        <v>2.42</v>
      </c>
      <c r="I648" s="4">
        <v>0</v>
      </c>
    </row>
    <row r="649" spans="1:9" x14ac:dyDescent="0.2">
      <c r="A649" s="1"/>
      <c r="C649" s="4"/>
      <c r="D649" s="8"/>
      <c r="E649" s="4"/>
      <c r="F649" s="8"/>
      <c r="G649" s="4"/>
      <c r="H649" s="8"/>
      <c r="I649" s="4"/>
    </row>
    <row r="650" spans="1:9" x14ac:dyDescent="0.2">
      <c r="A650" s="1" t="s">
        <v>29</v>
      </c>
      <c r="C650" s="4"/>
      <c r="D650" s="8"/>
      <c r="E650" s="4"/>
      <c r="F650" s="8"/>
      <c r="G650" s="4"/>
      <c r="H650" s="8"/>
      <c r="I650" s="4"/>
    </row>
    <row r="651" spans="1:9" x14ac:dyDescent="0.2">
      <c r="A651" s="2">
        <v>1</v>
      </c>
      <c r="B651" s="1" t="s">
        <v>84</v>
      </c>
      <c r="C651" s="4">
        <v>103</v>
      </c>
      <c r="D651" s="8">
        <v>11.18</v>
      </c>
      <c r="E651" s="4">
        <v>92</v>
      </c>
      <c r="F651" s="8">
        <v>16.28</v>
      </c>
      <c r="G651" s="4">
        <v>11</v>
      </c>
      <c r="H651" s="8">
        <v>3.21</v>
      </c>
      <c r="I651" s="4">
        <v>0</v>
      </c>
    </row>
    <row r="652" spans="1:9" x14ac:dyDescent="0.2">
      <c r="A652" s="2">
        <v>2</v>
      </c>
      <c r="B652" s="1" t="s">
        <v>81</v>
      </c>
      <c r="C652" s="4">
        <v>86</v>
      </c>
      <c r="D652" s="8">
        <v>9.34</v>
      </c>
      <c r="E652" s="4">
        <v>74</v>
      </c>
      <c r="F652" s="8">
        <v>13.1</v>
      </c>
      <c r="G652" s="4">
        <v>12</v>
      </c>
      <c r="H652" s="8">
        <v>3.5</v>
      </c>
      <c r="I652" s="4">
        <v>0</v>
      </c>
    </row>
    <row r="653" spans="1:9" x14ac:dyDescent="0.2">
      <c r="A653" s="2">
        <v>3</v>
      </c>
      <c r="B653" s="1" t="s">
        <v>85</v>
      </c>
      <c r="C653" s="4">
        <v>82</v>
      </c>
      <c r="D653" s="8">
        <v>8.9</v>
      </c>
      <c r="E653" s="4">
        <v>74</v>
      </c>
      <c r="F653" s="8">
        <v>13.1</v>
      </c>
      <c r="G653" s="4">
        <v>7</v>
      </c>
      <c r="H653" s="8">
        <v>2.04</v>
      </c>
      <c r="I653" s="4">
        <v>1</v>
      </c>
    </row>
    <row r="654" spans="1:9" x14ac:dyDescent="0.2">
      <c r="A654" s="2">
        <v>4</v>
      </c>
      <c r="B654" s="1" t="s">
        <v>69</v>
      </c>
      <c r="C654" s="4">
        <v>74</v>
      </c>
      <c r="D654" s="8">
        <v>8.0299999999999994</v>
      </c>
      <c r="E654" s="4">
        <v>25</v>
      </c>
      <c r="F654" s="8">
        <v>4.42</v>
      </c>
      <c r="G654" s="4">
        <v>49</v>
      </c>
      <c r="H654" s="8">
        <v>14.29</v>
      </c>
      <c r="I654" s="4">
        <v>0</v>
      </c>
    </row>
    <row r="655" spans="1:9" x14ac:dyDescent="0.2">
      <c r="A655" s="2">
        <v>5</v>
      </c>
      <c r="B655" s="1" t="s">
        <v>79</v>
      </c>
      <c r="C655" s="4">
        <v>73</v>
      </c>
      <c r="D655" s="8">
        <v>7.93</v>
      </c>
      <c r="E655" s="4">
        <v>39</v>
      </c>
      <c r="F655" s="8">
        <v>6.9</v>
      </c>
      <c r="G655" s="4">
        <v>34</v>
      </c>
      <c r="H655" s="8">
        <v>9.91</v>
      </c>
      <c r="I655" s="4">
        <v>0</v>
      </c>
    </row>
    <row r="656" spans="1:9" x14ac:dyDescent="0.2">
      <c r="A656" s="2">
        <v>6</v>
      </c>
      <c r="B656" s="1" t="s">
        <v>70</v>
      </c>
      <c r="C656" s="4">
        <v>67</v>
      </c>
      <c r="D656" s="8">
        <v>7.27</v>
      </c>
      <c r="E656" s="4">
        <v>43</v>
      </c>
      <c r="F656" s="8">
        <v>7.61</v>
      </c>
      <c r="G656" s="4">
        <v>24</v>
      </c>
      <c r="H656" s="8">
        <v>7</v>
      </c>
      <c r="I656" s="4">
        <v>0</v>
      </c>
    </row>
    <row r="657" spans="1:9" x14ac:dyDescent="0.2">
      <c r="A657" s="2">
        <v>7</v>
      </c>
      <c r="B657" s="1" t="s">
        <v>77</v>
      </c>
      <c r="C657" s="4">
        <v>55</v>
      </c>
      <c r="D657" s="8">
        <v>5.97</v>
      </c>
      <c r="E657" s="4">
        <v>34</v>
      </c>
      <c r="F657" s="8">
        <v>6.02</v>
      </c>
      <c r="G657" s="4">
        <v>21</v>
      </c>
      <c r="H657" s="8">
        <v>6.12</v>
      </c>
      <c r="I657" s="4">
        <v>0</v>
      </c>
    </row>
    <row r="658" spans="1:9" x14ac:dyDescent="0.2">
      <c r="A658" s="2">
        <v>8</v>
      </c>
      <c r="B658" s="1" t="s">
        <v>99</v>
      </c>
      <c r="C658" s="4">
        <v>43</v>
      </c>
      <c r="D658" s="8">
        <v>4.67</v>
      </c>
      <c r="E658" s="4">
        <v>32</v>
      </c>
      <c r="F658" s="8">
        <v>5.66</v>
      </c>
      <c r="G658" s="4">
        <v>8</v>
      </c>
      <c r="H658" s="8">
        <v>2.33</v>
      </c>
      <c r="I658" s="4">
        <v>1</v>
      </c>
    </row>
    <row r="659" spans="1:9" x14ac:dyDescent="0.2">
      <c r="A659" s="2">
        <v>9</v>
      </c>
      <c r="B659" s="1" t="s">
        <v>71</v>
      </c>
      <c r="C659" s="4">
        <v>29</v>
      </c>
      <c r="D659" s="8">
        <v>3.15</v>
      </c>
      <c r="E659" s="4">
        <v>12</v>
      </c>
      <c r="F659" s="8">
        <v>2.12</v>
      </c>
      <c r="G659" s="4">
        <v>17</v>
      </c>
      <c r="H659" s="8">
        <v>4.96</v>
      </c>
      <c r="I659" s="4">
        <v>0</v>
      </c>
    </row>
    <row r="660" spans="1:9" x14ac:dyDescent="0.2">
      <c r="A660" s="2">
        <v>10</v>
      </c>
      <c r="B660" s="1" t="s">
        <v>86</v>
      </c>
      <c r="C660" s="4">
        <v>21</v>
      </c>
      <c r="D660" s="8">
        <v>2.2799999999999998</v>
      </c>
      <c r="E660" s="4">
        <v>15</v>
      </c>
      <c r="F660" s="8">
        <v>2.65</v>
      </c>
      <c r="G660" s="4">
        <v>4</v>
      </c>
      <c r="H660" s="8">
        <v>1.17</v>
      </c>
      <c r="I660" s="4">
        <v>0</v>
      </c>
    </row>
    <row r="661" spans="1:9" x14ac:dyDescent="0.2">
      <c r="A661" s="2">
        <v>11</v>
      </c>
      <c r="B661" s="1" t="s">
        <v>78</v>
      </c>
      <c r="C661" s="4">
        <v>20</v>
      </c>
      <c r="D661" s="8">
        <v>2.17</v>
      </c>
      <c r="E661" s="4">
        <v>14</v>
      </c>
      <c r="F661" s="8">
        <v>2.48</v>
      </c>
      <c r="G661" s="4">
        <v>6</v>
      </c>
      <c r="H661" s="8">
        <v>1.75</v>
      </c>
      <c r="I661" s="4">
        <v>0</v>
      </c>
    </row>
    <row r="662" spans="1:9" x14ac:dyDescent="0.2">
      <c r="A662" s="2">
        <v>12</v>
      </c>
      <c r="B662" s="1" t="s">
        <v>100</v>
      </c>
      <c r="C662" s="4">
        <v>19</v>
      </c>
      <c r="D662" s="8">
        <v>2.06</v>
      </c>
      <c r="E662" s="4">
        <v>7</v>
      </c>
      <c r="F662" s="8">
        <v>1.24</v>
      </c>
      <c r="G662" s="4">
        <v>11</v>
      </c>
      <c r="H662" s="8">
        <v>3.21</v>
      </c>
      <c r="I662" s="4">
        <v>0</v>
      </c>
    </row>
    <row r="663" spans="1:9" x14ac:dyDescent="0.2">
      <c r="A663" s="2">
        <v>12</v>
      </c>
      <c r="B663" s="1" t="s">
        <v>83</v>
      </c>
      <c r="C663" s="4">
        <v>19</v>
      </c>
      <c r="D663" s="8">
        <v>2.06</v>
      </c>
      <c r="E663" s="4">
        <v>7</v>
      </c>
      <c r="F663" s="8">
        <v>1.24</v>
      </c>
      <c r="G663" s="4">
        <v>11</v>
      </c>
      <c r="H663" s="8">
        <v>3.21</v>
      </c>
      <c r="I663" s="4">
        <v>0</v>
      </c>
    </row>
    <row r="664" spans="1:9" x14ac:dyDescent="0.2">
      <c r="A664" s="2">
        <v>14</v>
      </c>
      <c r="B664" s="1" t="s">
        <v>87</v>
      </c>
      <c r="C664" s="4">
        <v>18</v>
      </c>
      <c r="D664" s="8">
        <v>1.95</v>
      </c>
      <c r="E664" s="4">
        <v>16</v>
      </c>
      <c r="F664" s="8">
        <v>2.83</v>
      </c>
      <c r="G664" s="4">
        <v>2</v>
      </c>
      <c r="H664" s="8">
        <v>0.57999999999999996</v>
      </c>
      <c r="I664" s="4">
        <v>0</v>
      </c>
    </row>
    <row r="665" spans="1:9" x14ac:dyDescent="0.2">
      <c r="A665" s="2">
        <v>15</v>
      </c>
      <c r="B665" s="1" t="s">
        <v>76</v>
      </c>
      <c r="C665" s="4">
        <v>17</v>
      </c>
      <c r="D665" s="8">
        <v>1.85</v>
      </c>
      <c r="E665" s="4">
        <v>9</v>
      </c>
      <c r="F665" s="8">
        <v>1.59</v>
      </c>
      <c r="G665" s="4">
        <v>8</v>
      </c>
      <c r="H665" s="8">
        <v>2.33</v>
      </c>
      <c r="I665" s="4">
        <v>0</v>
      </c>
    </row>
    <row r="666" spans="1:9" x14ac:dyDescent="0.2">
      <c r="A666" s="2">
        <v>16</v>
      </c>
      <c r="B666" s="1" t="s">
        <v>93</v>
      </c>
      <c r="C666" s="4">
        <v>14</v>
      </c>
      <c r="D666" s="8">
        <v>1.52</v>
      </c>
      <c r="E666" s="4">
        <v>3</v>
      </c>
      <c r="F666" s="8">
        <v>0.53</v>
      </c>
      <c r="G666" s="4">
        <v>11</v>
      </c>
      <c r="H666" s="8">
        <v>3.21</v>
      </c>
      <c r="I666" s="4">
        <v>0</v>
      </c>
    </row>
    <row r="667" spans="1:9" x14ac:dyDescent="0.2">
      <c r="A667" s="2">
        <v>17</v>
      </c>
      <c r="B667" s="1" t="s">
        <v>101</v>
      </c>
      <c r="C667" s="4">
        <v>12</v>
      </c>
      <c r="D667" s="8">
        <v>1.3</v>
      </c>
      <c r="E667" s="4">
        <v>6</v>
      </c>
      <c r="F667" s="8">
        <v>1.06</v>
      </c>
      <c r="G667" s="4">
        <v>5</v>
      </c>
      <c r="H667" s="8">
        <v>1.46</v>
      </c>
      <c r="I667" s="4">
        <v>1</v>
      </c>
    </row>
    <row r="668" spans="1:9" x14ac:dyDescent="0.2">
      <c r="A668" s="2">
        <v>17</v>
      </c>
      <c r="B668" s="1" t="s">
        <v>88</v>
      </c>
      <c r="C668" s="4">
        <v>12</v>
      </c>
      <c r="D668" s="8">
        <v>1.3</v>
      </c>
      <c r="E668" s="4">
        <v>10</v>
      </c>
      <c r="F668" s="8">
        <v>1.77</v>
      </c>
      <c r="G668" s="4">
        <v>2</v>
      </c>
      <c r="H668" s="8">
        <v>0.57999999999999996</v>
      </c>
      <c r="I668" s="4">
        <v>0</v>
      </c>
    </row>
    <row r="669" spans="1:9" x14ac:dyDescent="0.2">
      <c r="A669" s="2">
        <v>19</v>
      </c>
      <c r="B669" s="1" t="s">
        <v>82</v>
      </c>
      <c r="C669" s="4">
        <v>10</v>
      </c>
      <c r="D669" s="8">
        <v>1.0900000000000001</v>
      </c>
      <c r="E669" s="4">
        <v>8</v>
      </c>
      <c r="F669" s="8">
        <v>1.42</v>
      </c>
      <c r="G669" s="4">
        <v>2</v>
      </c>
      <c r="H669" s="8">
        <v>0.57999999999999996</v>
      </c>
      <c r="I669" s="4">
        <v>0</v>
      </c>
    </row>
    <row r="670" spans="1:9" x14ac:dyDescent="0.2">
      <c r="A670" s="2">
        <v>20</v>
      </c>
      <c r="B670" s="1" t="s">
        <v>105</v>
      </c>
      <c r="C670" s="4">
        <v>9</v>
      </c>
      <c r="D670" s="8">
        <v>0.98</v>
      </c>
      <c r="E670" s="4">
        <v>2</v>
      </c>
      <c r="F670" s="8">
        <v>0.35</v>
      </c>
      <c r="G670" s="4">
        <v>7</v>
      </c>
      <c r="H670" s="8">
        <v>2.04</v>
      </c>
      <c r="I670" s="4">
        <v>0</v>
      </c>
    </row>
    <row r="671" spans="1:9" x14ac:dyDescent="0.2">
      <c r="A671" s="1"/>
      <c r="C671" s="4"/>
      <c r="D671" s="8"/>
      <c r="E671" s="4"/>
      <c r="F671" s="8"/>
      <c r="G671" s="4"/>
      <c r="H671" s="8"/>
      <c r="I671" s="4"/>
    </row>
    <row r="672" spans="1:9" x14ac:dyDescent="0.2">
      <c r="A672" s="1" t="s">
        <v>30</v>
      </c>
      <c r="C672" s="4"/>
      <c r="D672" s="8"/>
      <c r="E672" s="4"/>
      <c r="F672" s="8"/>
      <c r="G672" s="4"/>
      <c r="H672" s="8"/>
      <c r="I672" s="4"/>
    </row>
    <row r="673" spans="1:9" x14ac:dyDescent="0.2">
      <c r="A673" s="2">
        <v>1</v>
      </c>
      <c r="B673" s="1" t="s">
        <v>85</v>
      </c>
      <c r="C673" s="4">
        <v>106</v>
      </c>
      <c r="D673" s="8">
        <v>11.6</v>
      </c>
      <c r="E673" s="4">
        <v>94</v>
      </c>
      <c r="F673" s="8">
        <v>18.989999999999998</v>
      </c>
      <c r="G673" s="4">
        <v>12</v>
      </c>
      <c r="H673" s="8">
        <v>2.95</v>
      </c>
      <c r="I673" s="4">
        <v>0</v>
      </c>
    </row>
    <row r="674" spans="1:9" x14ac:dyDescent="0.2">
      <c r="A674" s="2">
        <v>2</v>
      </c>
      <c r="B674" s="1" t="s">
        <v>84</v>
      </c>
      <c r="C674" s="4">
        <v>99</v>
      </c>
      <c r="D674" s="8">
        <v>10.83</v>
      </c>
      <c r="E674" s="4">
        <v>87</v>
      </c>
      <c r="F674" s="8">
        <v>17.579999999999998</v>
      </c>
      <c r="G674" s="4">
        <v>12</v>
      </c>
      <c r="H674" s="8">
        <v>2.95</v>
      </c>
      <c r="I674" s="4">
        <v>0</v>
      </c>
    </row>
    <row r="675" spans="1:9" x14ac:dyDescent="0.2">
      <c r="A675" s="2">
        <v>3</v>
      </c>
      <c r="B675" s="1" t="s">
        <v>69</v>
      </c>
      <c r="C675" s="4">
        <v>87</v>
      </c>
      <c r="D675" s="8">
        <v>9.52</v>
      </c>
      <c r="E675" s="4">
        <v>39</v>
      </c>
      <c r="F675" s="8">
        <v>7.88</v>
      </c>
      <c r="G675" s="4">
        <v>48</v>
      </c>
      <c r="H675" s="8">
        <v>11.79</v>
      </c>
      <c r="I675" s="4">
        <v>0</v>
      </c>
    </row>
    <row r="676" spans="1:9" x14ac:dyDescent="0.2">
      <c r="A676" s="2">
        <v>4</v>
      </c>
      <c r="B676" s="1" t="s">
        <v>70</v>
      </c>
      <c r="C676" s="4">
        <v>63</v>
      </c>
      <c r="D676" s="8">
        <v>6.89</v>
      </c>
      <c r="E676" s="4">
        <v>38</v>
      </c>
      <c r="F676" s="8">
        <v>7.68</v>
      </c>
      <c r="G676" s="4">
        <v>25</v>
      </c>
      <c r="H676" s="8">
        <v>6.14</v>
      </c>
      <c r="I676" s="4">
        <v>0</v>
      </c>
    </row>
    <row r="677" spans="1:9" x14ac:dyDescent="0.2">
      <c r="A677" s="2">
        <v>5</v>
      </c>
      <c r="B677" s="1" t="s">
        <v>79</v>
      </c>
      <c r="C677" s="4">
        <v>57</v>
      </c>
      <c r="D677" s="8">
        <v>6.24</v>
      </c>
      <c r="E677" s="4">
        <v>29</v>
      </c>
      <c r="F677" s="8">
        <v>5.86</v>
      </c>
      <c r="G677" s="4">
        <v>28</v>
      </c>
      <c r="H677" s="8">
        <v>6.88</v>
      </c>
      <c r="I677" s="4">
        <v>0</v>
      </c>
    </row>
    <row r="678" spans="1:9" x14ac:dyDescent="0.2">
      <c r="A678" s="2">
        <v>6</v>
      </c>
      <c r="B678" s="1" t="s">
        <v>71</v>
      </c>
      <c r="C678" s="4">
        <v>45</v>
      </c>
      <c r="D678" s="8">
        <v>4.92</v>
      </c>
      <c r="E678" s="4">
        <v>14</v>
      </c>
      <c r="F678" s="8">
        <v>2.83</v>
      </c>
      <c r="G678" s="4">
        <v>31</v>
      </c>
      <c r="H678" s="8">
        <v>7.62</v>
      </c>
      <c r="I678" s="4">
        <v>0</v>
      </c>
    </row>
    <row r="679" spans="1:9" x14ac:dyDescent="0.2">
      <c r="A679" s="2">
        <v>7</v>
      </c>
      <c r="B679" s="1" t="s">
        <v>78</v>
      </c>
      <c r="C679" s="4">
        <v>35</v>
      </c>
      <c r="D679" s="8">
        <v>3.83</v>
      </c>
      <c r="E679" s="4">
        <v>24</v>
      </c>
      <c r="F679" s="8">
        <v>4.8499999999999996</v>
      </c>
      <c r="G679" s="4">
        <v>11</v>
      </c>
      <c r="H679" s="8">
        <v>2.7</v>
      </c>
      <c r="I679" s="4">
        <v>0</v>
      </c>
    </row>
    <row r="680" spans="1:9" x14ac:dyDescent="0.2">
      <c r="A680" s="2">
        <v>8</v>
      </c>
      <c r="B680" s="1" t="s">
        <v>86</v>
      </c>
      <c r="C680" s="4">
        <v>33</v>
      </c>
      <c r="D680" s="8">
        <v>3.61</v>
      </c>
      <c r="E680" s="4">
        <v>19</v>
      </c>
      <c r="F680" s="8">
        <v>3.84</v>
      </c>
      <c r="G680" s="4">
        <v>5</v>
      </c>
      <c r="H680" s="8">
        <v>1.23</v>
      </c>
      <c r="I680" s="4">
        <v>0</v>
      </c>
    </row>
    <row r="681" spans="1:9" x14ac:dyDescent="0.2">
      <c r="A681" s="2">
        <v>9</v>
      </c>
      <c r="B681" s="1" t="s">
        <v>87</v>
      </c>
      <c r="C681" s="4">
        <v>26</v>
      </c>
      <c r="D681" s="8">
        <v>2.84</v>
      </c>
      <c r="E681" s="4">
        <v>23</v>
      </c>
      <c r="F681" s="8">
        <v>4.6500000000000004</v>
      </c>
      <c r="G681" s="4">
        <v>3</v>
      </c>
      <c r="H681" s="8">
        <v>0.74</v>
      </c>
      <c r="I681" s="4">
        <v>0</v>
      </c>
    </row>
    <row r="682" spans="1:9" x14ac:dyDescent="0.2">
      <c r="A682" s="2">
        <v>10</v>
      </c>
      <c r="B682" s="1" t="s">
        <v>77</v>
      </c>
      <c r="C682" s="4">
        <v>24</v>
      </c>
      <c r="D682" s="8">
        <v>2.63</v>
      </c>
      <c r="E682" s="4">
        <v>17</v>
      </c>
      <c r="F682" s="8">
        <v>3.43</v>
      </c>
      <c r="G682" s="4">
        <v>7</v>
      </c>
      <c r="H682" s="8">
        <v>1.72</v>
      </c>
      <c r="I682" s="4">
        <v>0</v>
      </c>
    </row>
    <row r="683" spans="1:9" x14ac:dyDescent="0.2">
      <c r="A683" s="2">
        <v>11</v>
      </c>
      <c r="B683" s="1" t="s">
        <v>83</v>
      </c>
      <c r="C683" s="4">
        <v>23</v>
      </c>
      <c r="D683" s="8">
        <v>2.52</v>
      </c>
      <c r="E683" s="4">
        <v>11</v>
      </c>
      <c r="F683" s="8">
        <v>2.2200000000000002</v>
      </c>
      <c r="G683" s="4">
        <v>11</v>
      </c>
      <c r="H683" s="8">
        <v>2.7</v>
      </c>
      <c r="I683" s="4">
        <v>0</v>
      </c>
    </row>
    <row r="684" spans="1:9" x14ac:dyDescent="0.2">
      <c r="A684" s="2">
        <v>12</v>
      </c>
      <c r="B684" s="1" t="s">
        <v>72</v>
      </c>
      <c r="C684" s="4">
        <v>20</v>
      </c>
      <c r="D684" s="8">
        <v>2.19</v>
      </c>
      <c r="E684" s="4">
        <v>7</v>
      </c>
      <c r="F684" s="8">
        <v>1.41</v>
      </c>
      <c r="G684" s="4">
        <v>13</v>
      </c>
      <c r="H684" s="8">
        <v>3.19</v>
      </c>
      <c r="I684" s="4">
        <v>0</v>
      </c>
    </row>
    <row r="685" spans="1:9" x14ac:dyDescent="0.2">
      <c r="A685" s="2">
        <v>13</v>
      </c>
      <c r="B685" s="1" t="s">
        <v>76</v>
      </c>
      <c r="C685" s="4">
        <v>16</v>
      </c>
      <c r="D685" s="8">
        <v>1.75</v>
      </c>
      <c r="E685" s="4">
        <v>10</v>
      </c>
      <c r="F685" s="8">
        <v>2.02</v>
      </c>
      <c r="G685" s="4">
        <v>6</v>
      </c>
      <c r="H685" s="8">
        <v>1.47</v>
      </c>
      <c r="I685" s="4">
        <v>0</v>
      </c>
    </row>
    <row r="686" spans="1:9" x14ac:dyDescent="0.2">
      <c r="A686" s="2">
        <v>14</v>
      </c>
      <c r="B686" s="1" t="s">
        <v>94</v>
      </c>
      <c r="C686" s="4">
        <v>15</v>
      </c>
      <c r="D686" s="8">
        <v>1.64</v>
      </c>
      <c r="E686" s="4">
        <v>3</v>
      </c>
      <c r="F686" s="8">
        <v>0.61</v>
      </c>
      <c r="G686" s="4">
        <v>12</v>
      </c>
      <c r="H686" s="8">
        <v>2.95</v>
      </c>
      <c r="I686" s="4">
        <v>0</v>
      </c>
    </row>
    <row r="687" spans="1:9" x14ac:dyDescent="0.2">
      <c r="A687" s="2">
        <v>14</v>
      </c>
      <c r="B687" s="1" t="s">
        <v>99</v>
      </c>
      <c r="C687" s="4">
        <v>15</v>
      </c>
      <c r="D687" s="8">
        <v>1.64</v>
      </c>
      <c r="E687" s="4">
        <v>11</v>
      </c>
      <c r="F687" s="8">
        <v>2.2200000000000002</v>
      </c>
      <c r="G687" s="4">
        <v>4</v>
      </c>
      <c r="H687" s="8">
        <v>0.98</v>
      </c>
      <c r="I687" s="4">
        <v>0</v>
      </c>
    </row>
    <row r="688" spans="1:9" x14ac:dyDescent="0.2">
      <c r="A688" s="2">
        <v>14</v>
      </c>
      <c r="B688" s="1" t="s">
        <v>90</v>
      </c>
      <c r="C688" s="4">
        <v>15</v>
      </c>
      <c r="D688" s="8">
        <v>1.64</v>
      </c>
      <c r="E688" s="4">
        <v>0</v>
      </c>
      <c r="F688" s="8">
        <v>0</v>
      </c>
      <c r="G688" s="4">
        <v>15</v>
      </c>
      <c r="H688" s="8">
        <v>3.69</v>
      </c>
      <c r="I688" s="4">
        <v>0</v>
      </c>
    </row>
    <row r="689" spans="1:9" x14ac:dyDescent="0.2">
      <c r="A689" s="2">
        <v>17</v>
      </c>
      <c r="B689" s="1" t="s">
        <v>100</v>
      </c>
      <c r="C689" s="4">
        <v>14</v>
      </c>
      <c r="D689" s="8">
        <v>1.53</v>
      </c>
      <c r="E689" s="4">
        <v>2</v>
      </c>
      <c r="F689" s="8">
        <v>0.4</v>
      </c>
      <c r="G689" s="4">
        <v>12</v>
      </c>
      <c r="H689" s="8">
        <v>2.95</v>
      </c>
      <c r="I689" s="4">
        <v>0</v>
      </c>
    </row>
    <row r="690" spans="1:9" x14ac:dyDescent="0.2">
      <c r="A690" s="2">
        <v>17</v>
      </c>
      <c r="B690" s="1" t="s">
        <v>97</v>
      </c>
      <c r="C690" s="4">
        <v>14</v>
      </c>
      <c r="D690" s="8">
        <v>1.53</v>
      </c>
      <c r="E690" s="4">
        <v>5</v>
      </c>
      <c r="F690" s="8">
        <v>1.01</v>
      </c>
      <c r="G690" s="4">
        <v>9</v>
      </c>
      <c r="H690" s="8">
        <v>2.21</v>
      </c>
      <c r="I690" s="4">
        <v>0</v>
      </c>
    </row>
    <row r="691" spans="1:9" x14ac:dyDescent="0.2">
      <c r="A691" s="2">
        <v>17</v>
      </c>
      <c r="B691" s="1" t="s">
        <v>73</v>
      </c>
      <c r="C691" s="4">
        <v>14</v>
      </c>
      <c r="D691" s="8">
        <v>1.53</v>
      </c>
      <c r="E691" s="4">
        <v>3</v>
      </c>
      <c r="F691" s="8">
        <v>0.61</v>
      </c>
      <c r="G691" s="4">
        <v>11</v>
      </c>
      <c r="H691" s="8">
        <v>2.7</v>
      </c>
      <c r="I691" s="4">
        <v>0</v>
      </c>
    </row>
    <row r="692" spans="1:9" x14ac:dyDescent="0.2">
      <c r="A692" s="2">
        <v>20</v>
      </c>
      <c r="B692" s="1" t="s">
        <v>81</v>
      </c>
      <c r="C692" s="4">
        <v>13</v>
      </c>
      <c r="D692" s="8">
        <v>1.42</v>
      </c>
      <c r="E692" s="4">
        <v>1</v>
      </c>
      <c r="F692" s="8">
        <v>0.2</v>
      </c>
      <c r="G692" s="4">
        <v>12</v>
      </c>
      <c r="H692" s="8">
        <v>2.95</v>
      </c>
      <c r="I692" s="4">
        <v>0</v>
      </c>
    </row>
    <row r="693" spans="1:9" x14ac:dyDescent="0.2">
      <c r="A693" s="1"/>
      <c r="C693" s="4"/>
      <c r="D693" s="8"/>
      <c r="E693" s="4"/>
      <c r="F693" s="8"/>
      <c r="G693" s="4"/>
      <c r="H693" s="8"/>
      <c r="I693" s="4"/>
    </row>
    <row r="694" spans="1:9" x14ac:dyDescent="0.2">
      <c r="A694" s="1" t="s">
        <v>31</v>
      </c>
      <c r="C694" s="4"/>
      <c r="D694" s="8"/>
      <c r="E694" s="4"/>
      <c r="F694" s="8"/>
      <c r="G694" s="4"/>
      <c r="H694" s="8"/>
      <c r="I694" s="4"/>
    </row>
    <row r="695" spans="1:9" x14ac:dyDescent="0.2">
      <c r="A695" s="2">
        <v>1</v>
      </c>
      <c r="B695" s="1" t="s">
        <v>85</v>
      </c>
      <c r="C695" s="4">
        <v>115</v>
      </c>
      <c r="D695" s="8">
        <v>11.64</v>
      </c>
      <c r="E695" s="4">
        <v>104</v>
      </c>
      <c r="F695" s="8">
        <v>17.75</v>
      </c>
      <c r="G695" s="4">
        <v>11</v>
      </c>
      <c r="H695" s="8">
        <v>2.9</v>
      </c>
      <c r="I695" s="4">
        <v>0</v>
      </c>
    </row>
    <row r="696" spans="1:9" x14ac:dyDescent="0.2">
      <c r="A696" s="2">
        <v>2</v>
      </c>
      <c r="B696" s="1" t="s">
        <v>84</v>
      </c>
      <c r="C696" s="4">
        <v>92</v>
      </c>
      <c r="D696" s="8">
        <v>9.31</v>
      </c>
      <c r="E696" s="4">
        <v>87</v>
      </c>
      <c r="F696" s="8">
        <v>14.85</v>
      </c>
      <c r="G696" s="4">
        <v>5</v>
      </c>
      <c r="H696" s="8">
        <v>1.32</v>
      </c>
      <c r="I696" s="4">
        <v>0</v>
      </c>
    </row>
    <row r="697" spans="1:9" x14ac:dyDescent="0.2">
      <c r="A697" s="2">
        <v>3</v>
      </c>
      <c r="B697" s="1" t="s">
        <v>69</v>
      </c>
      <c r="C697" s="4">
        <v>84</v>
      </c>
      <c r="D697" s="8">
        <v>8.5</v>
      </c>
      <c r="E697" s="4">
        <v>34</v>
      </c>
      <c r="F697" s="8">
        <v>5.8</v>
      </c>
      <c r="G697" s="4">
        <v>50</v>
      </c>
      <c r="H697" s="8">
        <v>13.19</v>
      </c>
      <c r="I697" s="4">
        <v>0</v>
      </c>
    </row>
    <row r="698" spans="1:9" x14ac:dyDescent="0.2">
      <c r="A698" s="2">
        <v>4</v>
      </c>
      <c r="B698" s="1" t="s">
        <v>79</v>
      </c>
      <c r="C698" s="4">
        <v>61</v>
      </c>
      <c r="D698" s="8">
        <v>6.17</v>
      </c>
      <c r="E698" s="4">
        <v>33</v>
      </c>
      <c r="F698" s="8">
        <v>5.63</v>
      </c>
      <c r="G698" s="4">
        <v>28</v>
      </c>
      <c r="H698" s="8">
        <v>7.39</v>
      </c>
      <c r="I698" s="4">
        <v>0</v>
      </c>
    </row>
    <row r="699" spans="1:9" x14ac:dyDescent="0.2">
      <c r="A699" s="2">
        <v>5</v>
      </c>
      <c r="B699" s="1" t="s">
        <v>77</v>
      </c>
      <c r="C699" s="4">
        <v>49</v>
      </c>
      <c r="D699" s="8">
        <v>4.96</v>
      </c>
      <c r="E699" s="4">
        <v>39</v>
      </c>
      <c r="F699" s="8">
        <v>6.66</v>
      </c>
      <c r="G699" s="4">
        <v>10</v>
      </c>
      <c r="H699" s="8">
        <v>2.64</v>
      </c>
      <c r="I699" s="4">
        <v>0</v>
      </c>
    </row>
    <row r="700" spans="1:9" x14ac:dyDescent="0.2">
      <c r="A700" s="2">
        <v>6</v>
      </c>
      <c r="B700" s="1" t="s">
        <v>81</v>
      </c>
      <c r="C700" s="4">
        <v>44</v>
      </c>
      <c r="D700" s="8">
        <v>4.45</v>
      </c>
      <c r="E700" s="4">
        <v>18</v>
      </c>
      <c r="F700" s="8">
        <v>3.07</v>
      </c>
      <c r="G700" s="4">
        <v>25</v>
      </c>
      <c r="H700" s="8">
        <v>6.6</v>
      </c>
      <c r="I700" s="4">
        <v>0</v>
      </c>
    </row>
    <row r="701" spans="1:9" x14ac:dyDescent="0.2">
      <c r="A701" s="2">
        <v>7</v>
      </c>
      <c r="B701" s="1" t="s">
        <v>70</v>
      </c>
      <c r="C701" s="4">
        <v>43</v>
      </c>
      <c r="D701" s="8">
        <v>4.3499999999999996</v>
      </c>
      <c r="E701" s="4">
        <v>32</v>
      </c>
      <c r="F701" s="8">
        <v>5.46</v>
      </c>
      <c r="G701" s="4">
        <v>11</v>
      </c>
      <c r="H701" s="8">
        <v>2.9</v>
      </c>
      <c r="I701" s="4">
        <v>0</v>
      </c>
    </row>
    <row r="702" spans="1:9" x14ac:dyDescent="0.2">
      <c r="A702" s="2">
        <v>8</v>
      </c>
      <c r="B702" s="1" t="s">
        <v>78</v>
      </c>
      <c r="C702" s="4">
        <v>42</v>
      </c>
      <c r="D702" s="8">
        <v>4.25</v>
      </c>
      <c r="E702" s="4">
        <v>25</v>
      </c>
      <c r="F702" s="8">
        <v>4.2699999999999996</v>
      </c>
      <c r="G702" s="4">
        <v>17</v>
      </c>
      <c r="H702" s="8">
        <v>4.49</v>
      </c>
      <c r="I702" s="4">
        <v>0</v>
      </c>
    </row>
    <row r="703" spans="1:9" x14ac:dyDescent="0.2">
      <c r="A703" s="2">
        <v>9</v>
      </c>
      <c r="B703" s="1" t="s">
        <v>86</v>
      </c>
      <c r="C703" s="4">
        <v>41</v>
      </c>
      <c r="D703" s="8">
        <v>4.1500000000000004</v>
      </c>
      <c r="E703" s="4">
        <v>33</v>
      </c>
      <c r="F703" s="8">
        <v>5.63</v>
      </c>
      <c r="G703" s="4">
        <v>8</v>
      </c>
      <c r="H703" s="8">
        <v>2.11</v>
      </c>
      <c r="I703" s="4">
        <v>0</v>
      </c>
    </row>
    <row r="704" spans="1:9" x14ac:dyDescent="0.2">
      <c r="A704" s="2">
        <v>10</v>
      </c>
      <c r="B704" s="1" t="s">
        <v>97</v>
      </c>
      <c r="C704" s="4">
        <v>30</v>
      </c>
      <c r="D704" s="8">
        <v>3.04</v>
      </c>
      <c r="E704" s="4">
        <v>14</v>
      </c>
      <c r="F704" s="8">
        <v>2.39</v>
      </c>
      <c r="G704" s="4">
        <v>16</v>
      </c>
      <c r="H704" s="8">
        <v>4.22</v>
      </c>
      <c r="I704" s="4">
        <v>0</v>
      </c>
    </row>
    <row r="705" spans="1:9" x14ac:dyDescent="0.2">
      <c r="A705" s="2">
        <v>11</v>
      </c>
      <c r="B705" s="1" t="s">
        <v>71</v>
      </c>
      <c r="C705" s="4">
        <v>28</v>
      </c>
      <c r="D705" s="8">
        <v>2.83</v>
      </c>
      <c r="E705" s="4">
        <v>15</v>
      </c>
      <c r="F705" s="8">
        <v>2.56</v>
      </c>
      <c r="G705" s="4">
        <v>13</v>
      </c>
      <c r="H705" s="8">
        <v>3.43</v>
      </c>
      <c r="I705" s="4">
        <v>0</v>
      </c>
    </row>
    <row r="706" spans="1:9" x14ac:dyDescent="0.2">
      <c r="A706" s="2">
        <v>11</v>
      </c>
      <c r="B706" s="1" t="s">
        <v>76</v>
      </c>
      <c r="C706" s="4">
        <v>28</v>
      </c>
      <c r="D706" s="8">
        <v>2.83</v>
      </c>
      <c r="E706" s="4">
        <v>22</v>
      </c>
      <c r="F706" s="8">
        <v>3.75</v>
      </c>
      <c r="G706" s="4">
        <v>6</v>
      </c>
      <c r="H706" s="8">
        <v>1.58</v>
      </c>
      <c r="I706" s="4">
        <v>0</v>
      </c>
    </row>
    <row r="707" spans="1:9" x14ac:dyDescent="0.2">
      <c r="A707" s="2">
        <v>13</v>
      </c>
      <c r="B707" s="1" t="s">
        <v>83</v>
      </c>
      <c r="C707" s="4">
        <v>25</v>
      </c>
      <c r="D707" s="8">
        <v>2.5299999999999998</v>
      </c>
      <c r="E707" s="4">
        <v>17</v>
      </c>
      <c r="F707" s="8">
        <v>2.9</v>
      </c>
      <c r="G707" s="4">
        <v>7</v>
      </c>
      <c r="H707" s="8">
        <v>1.85</v>
      </c>
      <c r="I707" s="4">
        <v>0</v>
      </c>
    </row>
    <row r="708" spans="1:9" x14ac:dyDescent="0.2">
      <c r="A708" s="2">
        <v>14</v>
      </c>
      <c r="B708" s="1" t="s">
        <v>90</v>
      </c>
      <c r="C708" s="4">
        <v>24</v>
      </c>
      <c r="D708" s="8">
        <v>2.4300000000000002</v>
      </c>
      <c r="E708" s="4">
        <v>0</v>
      </c>
      <c r="F708" s="8">
        <v>0</v>
      </c>
      <c r="G708" s="4">
        <v>21</v>
      </c>
      <c r="H708" s="8">
        <v>5.54</v>
      </c>
      <c r="I708" s="4">
        <v>0</v>
      </c>
    </row>
    <row r="709" spans="1:9" x14ac:dyDescent="0.2">
      <c r="A709" s="2">
        <v>15</v>
      </c>
      <c r="B709" s="1" t="s">
        <v>73</v>
      </c>
      <c r="C709" s="4">
        <v>21</v>
      </c>
      <c r="D709" s="8">
        <v>2.13</v>
      </c>
      <c r="E709" s="4">
        <v>6</v>
      </c>
      <c r="F709" s="8">
        <v>1.02</v>
      </c>
      <c r="G709" s="4">
        <v>15</v>
      </c>
      <c r="H709" s="8">
        <v>3.96</v>
      </c>
      <c r="I709" s="4">
        <v>0</v>
      </c>
    </row>
    <row r="710" spans="1:9" x14ac:dyDescent="0.2">
      <c r="A710" s="2">
        <v>16</v>
      </c>
      <c r="B710" s="1" t="s">
        <v>87</v>
      </c>
      <c r="C710" s="4">
        <v>20</v>
      </c>
      <c r="D710" s="8">
        <v>2.02</v>
      </c>
      <c r="E710" s="4">
        <v>19</v>
      </c>
      <c r="F710" s="8">
        <v>3.24</v>
      </c>
      <c r="G710" s="4">
        <v>1</v>
      </c>
      <c r="H710" s="8">
        <v>0.26</v>
      </c>
      <c r="I710" s="4">
        <v>0</v>
      </c>
    </row>
    <row r="711" spans="1:9" x14ac:dyDescent="0.2">
      <c r="A711" s="2">
        <v>17</v>
      </c>
      <c r="B711" s="1" t="s">
        <v>95</v>
      </c>
      <c r="C711" s="4">
        <v>17</v>
      </c>
      <c r="D711" s="8">
        <v>1.72</v>
      </c>
      <c r="E711" s="4">
        <v>9</v>
      </c>
      <c r="F711" s="8">
        <v>1.54</v>
      </c>
      <c r="G711" s="4">
        <v>6</v>
      </c>
      <c r="H711" s="8">
        <v>1.58</v>
      </c>
      <c r="I711" s="4">
        <v>0</v>
      </c>
    </row>
    <row r="712" spans="1:9" x14ac:dyDescent="0.2">
      <c r="A712" s="2">
        <v>18</v>
      </c>
      <c r="B712" s="1" t="s">
        <v>82</v>
      </c>
      <c r="C712" s="4">
        <v>16</v>
      </c>
      <c r="D712" s="8">
        <v>1.62</v>
      </c>
      <c r="E712" s="4">
        <v>13</v>
      </c>
      <c r="F712" s="8">
        <v>2.2200000000000002</v>
      </c>
      <c r="G712" s="4">
        <v>3</v>
      </c>
      <c r="H712" s="8">
        <v>0.79</v>
      </c>
      <c r="I712" s="4">
        <v>0</v>
      </c>
    </row>
    <row r="713" spans="1:9" x14ac:dyDescent="0.2">
      <c r="A713" s="2">
        <v>19</v>
      </c>
      <c r="B713" s="1" t="s">
        <v>72</v>
      </c>
      <c r="C713" s="4">
        <v>13</v>
      </c>
      <c r="D713" s="8">
        <v>1.32</v>
      </c>
      <c r="E713" s="4">
        <v>3</v>
      </c>
      <c r="F713" s="8">
        <v>0.51</v>
      </c>
      <c r="G713" s="4">
        <v>10</v>
      </c>
      <c r="H713" s="8">
        <v>2.64</v>
      </c>
      <c r="I713" s="4">
        <v>0</v>
      </c>
    </row>
    <row r="714" spans="1:9" x14ac:dyDescent="0.2">
      <c r="A714" s="2">
        <v>19</v>
      </c>
      <c r="B714" s="1" t="s">
        <v>94</v>
      </c>
      <c r="C714" s="4">
        <v>13</v>
      </c>
      <c r="D714" s="8">
        <v>1.32</v>
      </c>
      <c r="E714" s="4">
        <v>6</v>
      </c>
      <c r="F714" s="8">
        <v>1.02</v>
      </c>
      <c r="G714" s="4">
        <v>7</v>
      </c>
      <c r="H714" s="8">
        <v>1.85</v>
      </c>
      <c r="I714" s="4">
        <v>0</v>
      </c>
    </row>
    <row r="715" spans="1:9" x14ac:dyDescent="0.2">
      <c r="A715" s="2">
        <v>19</v>
      </c>
      <c r="B715" s="1" t="s">
        <v>106</v>
      </c>
      <c r="C715" s="4">
        <v>13</v>
      </c>
      <c r="D715" s="8">
        <v>1.32</v>
      </c>
      <c r="E715" s="4">
        <v>0</v>
      </c>
      <c r="F715" s="8">
        <v>0</v>
      </c>
      <c r="G715" s="4">
        <v>0</v>
      </c>
      <c r="H715" s="8">
        <v>0</v>
      </c>
      <c r="I715" s="4">
        <v>0</v>
      </c>
    </row>
    <row r="716" spans="1:9" x14ac:dyDescent="0.2">
      <c r="A716" s="1"/>
      <c r="C716" s="4"/>
      <c r="D716" s="8"/>
      <c r="E716" s="4"/>
      <c r="F716" s="8"/>
      <c r="G716" s="4"/>
      <c r="H716" s="8"/>
      <c r="I716" s="4"/>
    </row>
    <row r="717" spans="1:9" x14ac:dyDescent="0.2">
      <c r="A717" s="1" t="s">
        <v>32</v>
      </c>
      <c r="C717" s="4"/>
      <c r="D717" s="8"/>
      <c r="E717" s="4"/>
      <c r="F717" s="8"/>
      <c r="G717" s="4"/>
      <c r="H717" s="8"/>
      <c r="I717" s="4"/>
    </row>
    <row r="718" spans="1:9" x14ac:dyDescent="0.2">
      <c r="A718" s="2">
        <v>1</v>
      </c>
      <c r="B718" s="1" t="s">
        <v>81</v>
      </c>
      <c r="C718" s="4">
        <v>208</v>
      </c>
      <c r="D718" s="8">
        <v>14.85</v>
      </c>
      <c r="E718" s="4">
        <v>186</v>
      </c>
      <c r="F718" s="8">
        <v>20.85</v>
      </c>
      <c r="G718" s="4">
        <v>22</v>
      </c>
      <c r="H718" s="8">
        <v>4.49</v>
      </c>
      <c r="I718" s="4">
        <v>0</v>
      </c>
    </row>
    <row r="719" spans="1:9" x14ac:dyDescent="0.2">
      <c r="A719" s="2">
        <v>2</v>
      </c>
      <c r="B719" s="1" t="s">
        <v>84</v>
      </c>
      <c r="C719" s="4">
        <v>172</v>
      </c>
      <c r="D719" s="8">
        <v>12.28</v>
      </c>
      <c r="E719" s="4">
        <v>151</v>
      </c>
      <c r="F719" s="8">
        <v>16.93</v>
      </c>
      <c r="G719" s="4">
        <v>21</v>
      </c>
      <c r="H719" s="8">
        <v>4.29</v>
      </c>
      <c r="I719" s="4">
        <v>0</v>
      </c>
    </row>
    <row r="720" spans="1:9" x14ac:dyDescent="0.2">
      <c r="A720" s="2">
        <v>3</v>
      </c>
      <c r="B720" s="1" t="s">
        <v>85</v>
      </c>
      <c r="C720" s="4">
        <v>150</v>
      </c>
      <c r="D720" s="8">
        <v>10.71</v>
      </c>
      <c r="E720" s="4">
        <v>134</v>
      </c>
      <c r="F720" s="8">
        <v>15.02</v>
      </c>
      <c r="G720" s="4">
        <v>15</v>
      </c>
      <c r="H720" s="8">
        <v>3.06</v>
      </c>
      <c r="I720" s="4">
        <v>0</v>
      </c>
    </row>
    <row r="721" spans="1:9" x14ac:dyDescent="0.2">
      <c r="A721" s="2">
        <v>4</v>
      </c>
      <c r="B721" s="1" t="s">
        <v>69</v>
      </c>
      <c r="C721" s="4">
        <v>91</v>
      </c>
      <c r="D721" s="8">
        <v>6.5</v>
      </c>
      <c r="E721" s="4">
        <v>31</v>
      </c>
      <c r="F721" s="8">
        <v>3.48</v>
      </c>
      <c r="G721" s="4">
        <v>60</v>
      </c>
      <c r="H721" s="8">
        <v>12.24</v>
      </c>
      <c r="I721" s="4">
        <v>0</v>
      </c>
    </row>
    <row r="722" spans="1:9" x14ac:dyDescent="0.2">
      <c r="A722" s="2">
        <v>5</v>
      </c>
      <c r="B722" s="1" t="s">
        <v>79</v>
      </c>
      <c r="C722" s="4">
        <v>78</v>
      </c>
      <c r="D722" s="8">
        <v>5.57</v>
      </c>
      <c r="E722" s="4">
        <v>32</v>
      </c>
      <c r="F722" s="8">
        <v>3.59</v>
      </c>
      <c r="G722" s="4">
        <v>46</v>
      </c>
      <c r="H722" s="8">
        <v>9.39</v>
      </c>
      <c r="I722" s="4">
        <v>0</v>
      </c>
    </row>
    <row r="723" spans="1:9" x14ac:dyDescent="0.2">
      <c r="A723" s="2">
        <v>6</v>
      </c>
      <c r="B723" s="1" t="s">
        <v>70</v>
      </c>
      <c r="C723" s="4">
        <v>71</v>
      </c>
      <c r="D723" s="8">
        <v>5.07</v>
      </c>
      <c r="E723" s="4">
        <v>47</v>
      </c>
      <c r="F723" s="8">
        <v>5.27</v>
      </c>
      <c r="G723" s="4">
        <v>24</v>
      </c>
      <c r="H723" s="8">
        <v>4.9000000000000004</v>
      </c>
      <c r="I723" s="4">
        <v>0</v>
      </c>
    </row>
    <row r="724" spans="1:9" x14ac:dyDescent="0.2">
      <c r="A724" s="2">
        <v>7</v>
      </c>
      <c r="B724" s="1" t="s">
        <v>77</v>
      </c>
      <c r="C724" s="4">
        <v>58</v>
      </c>
      <c r="D724" s="8">
        <v>4.1399999999999997</v>
      </c>
      <c r="E724" s="4">
        <v>35</v>
      </c>
      <c r="F724" s="8">
        <v>3.92</v>
      </c>
      <c r="G724" s="4">
        <v>23</v>
      </c>
      <c r="H724" s="8">
        <v>4.6900000000000004</v>
      </c>
      <c r="I724" s="4">
        <v>0</v>
      </c>
    </row>
    <row r="725" spans="1:9" x14ac:dyDescent="0.2">
      <c r="A725" s="2">
        <v>8</v>
      </c>
      <c r="B725" s="1" t="s">
        <v>87</v>
      </c>
      <c r="C725" s="4">
        <v>54</v>
      </c>
      <c r="D725" s="8">
        <v>3.85</v>
      </c>
      <c r="E725" s="4">
        <v>50</v>
      </c>
      <c r="F725" s="8">
        <v>5.61</v>
      </c>
      <c r="G725" s="4">
        <v>4</v>
      </c>
      <c r="H725" s="8">
        <v>0.82</v>
      </c>
      <c r="I725" s="4">
        <v>0</v>
      </c>
    </row>
    <row r="726" spans="1:9" x14ac:dyDescent="0.2">
      <c r="A726" s="2">
        <v>9</v>
      </c>
      <c r="B726" s="1" t="s">
        <v>86</v>
      </c>
      <c r="C726" s="4">
        <v>48</v>
      </c>
      <c r="D726" s="8">
        <v>3.43</v>
      </c>
      <c r="E726" s="4">
        <v>40</v>
      </c>
      <c r="F726" s="8">
        <v>4.4800000000000004</v>
      </c>
      <c r="G726" s="4">
        <v>5</v>
      </c>
      <c r="H726" s="8">
        <v>1.02</v>
      </c>
      <c r="I726" s="4">
        <v>1</v>
      </c>
    </row>
    <row r="727" spans="1:9" x14ac:dyDescent="0.2">
      <c r="A727" s="2">
        <v>10</v>
      </c>
      <c r="B727" s="1" t="s">
        <v>78</v>
      </c>
      <c r="C727" s="4">
        <v>40</v>
      </c>
      <c r="D727" s="8">
        <v>2.86</v>
      </c>
      <c r="E727" s="4">
        <v>21</v>
      </c>
      <c r="F727" s="8">
        <v>2.35</v>
      </c>
      <c r="G727" s="4">
        <v>19</v>
      </c>
      <c r="H727" s="8">
        <v>3.88</v>
      </c>
      <c r="I727" s="4">
        <v>0</v>
      </c>
    </row>
    <row r="728" spans="1:9" x14ac:dyDescent="0.2">
      <c r="A728" s="2">
        <v>11</v>
      </c>
      <c r="B728" s="1" t="s">
        <v>71</v>
      </c>
      <c r="C728" s="4">
        <v>38</v>
      </c>
      <c r="D728" s="8">
        <v>2.71</v>
      </c>
      <c r="E728" s="4">
        <v>13</v>
      </c>
      <c r="F728" s="8">
        <v>1.46</v>
      </c>
      <c r="G728" s="4">
        <v>25</v>
      </c>
      <c r="H728" s="8">
        <v>5.0999999999999996</v>
      </c>
      <c r="I728" s="4">
        <v>0</v>
      </c>
    </row>
    <row r="729" spans="1:9" x14ac:dyDescent="0.2">
      <c r="A729" s="2">
        <v>12</v>
      </c>
      <c r="B729" s="1" t="s">
        <v>76</v>
      </c>
      <c r="C729" s="4">
        <v>29</v>
      </c>
      <c r="D729" s="8">
        <v>2.0699999999999998</v>
      </c>
      <c r="E729" s="4">
        <v>14</v>
      </c>
      <c r="F729" s="8">
        <v>1.57</v>
      </c>
      <c r="G729" s="4">
        <v>15</v>
      </c>
      <c r="H729" s="8">
        <v>3.06</v>
      </c>
      <c r="I729" s="4">
        <v>0</v>
      </c>
    </row>
    <row r="730" spans="1:9" x14ac:dyDescent="0.2">
      <c r="A730" s="2">
        <v>13</v>
      </c>
      <c r="B730" s="1" t="s">
        <v>83</v>
      </c>
      <c r="C730" s="4">
        <v>25</v>
      </c>
      <c r="D730" s="8">
        <v>1.78</v>
      </c>
      <c r="E730" s="4">
        <v>8</v>
      </c>
      <c r="F730" s="8">
        <v>0.9</v>
      </c>
      <c r="G730" s="4">
        <v>16</v>
      </c>
      <c r="H730" s="8">
        <v>3.27</v>
      </c>
      <c r="I730" s="4">
        <v>0</v>
      </c>
    </row>
    <row r="731" spans="1:9" x14ac:dyDescent="0.2">
      <c r="A731" s="2">
        <v>14</v>
      </c>
      <c r="B731" s="1" t="s">
        <v>82</v>
      </c>
      <c r="C731" s="4">
        <v>23</v>
      </c>
      <c r="D731" s="8">
        <v>1.64</v>
      </c>
      <c r="E731" s="4">
        <v>17</v>
      </c>
      <c r="F731" s="8">
        <v>1.91</v>
      </c>
      <c r="G731" s="4">
        <v>6</v>
      </c>
      <c r="H731" s="8">
        <v>1.22</v>
      </c>
      <c r="I731" s="4">
        <v>0</v>
      </c>
    </row>
    <row r="732" spans="1:9" x14ac:dyDescent="0.2">
      <c r="A732" s="2">
        <v>15</v>
      </c>
      <c r="B732" s="1" t="s">
        <v>88</v>
      </c>
      <c r="C732" s="4">
        <v>21</v>
      </c>
      <c r="D732" s="8">
        <v>1.5</v>
      </c>
      <c r="E732" s="4">
        <v>14</v>
      </c>
      <c r="F732" s="8">
        <v>1.57</v>
      </c>
      <c r="G732" s="4">
        <v>7</v>
      </c>
      <c r="H732" s="8">
        <v>1.43</v>
      </c>
      <c r="I732" s="4">
        <v>0</v>
      </c>
    </row>
    <row r="733" spans="1:9" x14ac:dyDescent="0.2">
      <c r="A733" s="2">
        <v>16</v>
      </c>
      <c r="B733" s="1" t="s">
        <v>93</v>
      </c>
      <c r="C733" s="4">
        <v>16</v>
      </c>
      <c r="D733" s="8">
        <v>1.1399999999999999</v>
      </c>
      <c r="E733" s="4">
        <v>5</v>
      </c>
      <c r="F733" s="8">
        <v>0.56000000000000005</v>
      </c>
      <c r="G733" s="4">
        <v>11</v>
      </c>
      <c r="H733" s="8">
        <v>2.2400000000000002</v>
      </c>
      <c r="I733" s="4">
        <v>0</v>
      </c>
    </row>
    <row r="734" spans="1:9" x14ac:dyDescent="0.2">
      <c r="A734" s="2">
        <v>17</v>
      </c>
      <c r="B734" s="1" t="s">
        <v>72</v>
      </c>
      <c r="C734" s="4">
        <v>14</v>
      </c>
      <c r="D734" s="8">
        <v>1</v>
      </c>
      <c r="E734" s="4">
        <v>5</v>
      </c>
      <c r="F734" s="8">
        <v>0.56000000000000005</v>
      </c>
      <c r="G734" s="4">
        <v>9</v>
      </c>
      <c r="H734" s="8">
        <v>1.84</v>
      </c>
      <c r="I734" s="4">
        <v>0</v>
      </c>
    </row>
    <row r="735" spans="1:9" x14ac:dyDescent="0.2">
      <c r="A735" s="2">
        <v>17</v>
      </c>
      <c r="B735" s="1" t="s">
        <v>74</v>
      </c>
      <c r="C735" s="4">
        <v>14</v>
      </c>
      <c r="D735" s="8">
        <v>1</v>
      </c>
      <c r="E735" s="4">
        <v>7</v>
      </c>
      <c r="F735" s="8">
        <v>0.78</v>
      </c>
      <c r="G735" s="4">
        <v>7</v>
      </c>
      <c r="H735" s="8">
        <v>1.43</v>
      </c>
      <c r="I735" s="4">
        <v>0</v>
      </c>
    </row>
    <row r="736" spans="1:9" x14ac:dyDescent="0.2">
      <c r="A736" s="2">
        <v>17</v>
      </c>
      <c r="B736" s="1" t="s">
        <v>89</v>
      </c>
      <c r="C736" s="4">
        <v>14</v>
      </c>
      <c r="D736" s="8">
        <v>1</v>
      </c>
      <c r="E736" s="4">
        <v>4</v>
      </c>
      <c r="F736" s="8">
        <v>0.45</v>
      </c>
      <c r="G736" s="4">
        <v>10</v>
      </c>
      <c r="H736" s="8">
        <v>2.04</v>
      </c>
      <c r="I736" s="4">
        <v>0</v>
      </c>
    </row>
    <row r="737" spans="1:9" x14ac:dyDescent="0.2">
      <c r="A737" s="2">
        <v>17</v>
      </c>
      <c r="B737" s="1" t="s">
        <v>95</v>
      </c>
      <c r="C737" s="4">
        <v>14</v>
      </c>
      <c r="D737" s="8">
        <v>1</v>
      </c>
      <c r="E737" s="4">
        <v>12</v>
      </c>
      <c r="F737" s="8">
        <v>1.35</v>
      </c>
      <c r="G737" s="4">
        <v>2</v>
      </c>
      <c r="H737" s="8">
        <v>0.41</v>
      </c>
      <c r="I737" s="4">
        <v>0</v>
      </c>
    </row>
    <row r="738" spans="1:9" x14ac:dyDescent="0.2">
      <c r="A738" s="1"/>
      <c r="C738" s="4"/>
      <c r="D738" s="8"/>
      <c r="E738" s="4"/>
      <c r="F738" s="8"/>
      <c r="G738" s="4"/>
      <c r="H738" s="8"/>
      <c r="I738" s="4"/>
    </row>
    <row r="739" spans="1:9" x14ac:dyDescent="0.2">
      <c r="A739" s="1" t="s">
        <v>33</v>
      </c>
      <c r="C739" s="4"/>
      <c r="D739" s="8"/>
      <c r="E739" s="4"/>
      <c r="F739" s="8"/>
      <c r="G739" s="4"/>
      <c r="H739" s="8"/>
      <c r="I739" s="4"/>
    </row>
    <row r="740" spans="1:9" x14ac:dyDescent="0.2">
      <c r="A740" s="2">
        <v>1</v>
      </c>
      <c r="B740" s="1" t="s">
        <v>85</v>
      </c>
      <c r="C740" s="4">
        <v>126</v>
      </c>
      <c r="D740" s="8">
        <v>8.81</v>
      </c>
      <c r="E740" s="4">
        <v>118</v>
      </c>
      <c r="F740" s="8">
        <v>13.92</v>
      </c>
      <c r="G740" s="4">
        <v>8</v>
      </c>
      <c r="H740" s="8">
        <v>1.41</v>
      </c>
      <c r="I740" s="4">
        <v>0</v>
      </c>
    </row>
    <row r="741" spans="1:9" x14ac:dyDescent="0.2">
      <c r="A741" s="2">
        <v>2</v>
      </c>
      <c r="B741" s="1" t="s">
        <v>69</v>
      </c>
      <c r="C741" s="4">
        <v>107</v>
      </c>
      <c r="D741" s="8">
        <v>7.48</v>
      </c>
      <c r="E741" s="4">
        <v>57</v>
      </c>
      <c r="F741" s="8">
        <v>6.72</v>
      </c>
      <c r="G741" s="4">
        <v>50</v>
      </c>
      <c r="H741" s="8">
        <v>8.8000000000000007</v>
      </c>
      <c r="I741" s="4">
        <v>0</v>
      </c>
    </row>
    <row r="742" spans="1:9" x14ac:dyDescent="0.2">
      <c r="A742" s="2">
        <v>2</v>
      </c>
      <c r="B742" s="1" t="s">
        <v>84</v>
      </c>
      <c r="C742" s="4">
        <v>107</v>
      </c>
      <c r="D742" s="8">
        <v>7.48</v>
      </c>
      <c r="E742" s="4">
        <v>87</v>
      </c>
      <c r="F742" s="8">
        <v>10.26</v>
      </c>
      <c r="G742" s="4">
        <v>20</v>
      </c>
      <c r="H742" s="8">
        <v>3.52</v>
      </c>
      <c r="I742" s="4">
        <v>0</v>
      </c>
    </row>
    <row r="743" spans="1:9" x14ac:dyDescent="0.2">
      <c r="A743" s="2">
        <v>4</v>
      </c>
      <c r="B743" s="1" t="s">
        <v>79</v>
      </c>
      <c r="C743" s="4">
        <v>105</v>
      </c>
      <c r="D743" s="8">
        <v>7.34</v>
      </c>
      <c r="E743" s="4">
        <v>64</v>
      </c>
      <c r="F743" s="8">
        <v>7.55</v>
      </c>
      <c r="G743" s="4">
        <v>41</v>
      </c>
      <c r="H743" s="8">
        <v>7.22</v>
      </c>
      <c r="I743" s="4">
        <v>0</v>
      </c>
    </row>
    <row r="744" spans="1:9" x14ac:dyDescent="0.2">
      <c r="A744" s="2">
        <v>5</v>
      </c>
      <c r="B744" s="1" t="s">
        <v>97</v>
      </c>
      <c r="C744" s="4">
        <v>102</v>
      </c>
      <c r="D744" s="8">
        <v>7.13</v>
      </c>
      <c r="E744" s="4">
        <v>67</v>
      </c>
      <c r="F744" s="8">
        <v>7.9</v>
      </c>
      <c r="G744" s="4">
        <v>35</v>
      </c>
      <c r="H744" s="8">
        <v>6.16</v>
      </c>
      <c r="I744" s="4">
        <v>0</v>
      </c>
    </row>
    <row r="745" spans="1:9" x14ac:dyDescent="0.2">
      <c r="A745" s="2">
        <v>6</v>
      </c>
      <c r="B745" s="1" t="s">
        <v>70</v>
      </c>
      <c r="C745" s="4">
        <v>101</v>
      </c>
      <c r="D745" s="8">
        <v>7.06</v>
      </c>
      <c r="E745" s="4">
        <v>67</v>
      </c>
      <c r="F745" s="8">
        <v>7.9</v>
      </c>
      <c r="G745" s="4">
        <v>34</v>
      </c>
      <c r="H745" s="8">
        <v>5.99</v>
      </c>
      <c r="I745" s="4">
        <v>0</v>
      </c>
    </row>
    <row r="746" spans="1:9" x14ac:dyDescent="0.2">
      <c r="A746" s="2">
        <v>7</v>
      </c>
      <c r="B746" s="1" t="s">
        <v>77</v>
      </c>
      <c r="C746" s="4">
        <v>83</v>
      </c>
      <c r="D746" s="8">
        <v>5.8</v>
      </c>
      <c r="E746" s="4">
        <v>64</v>
      </c>
      <c r="F746" s="8">
        <v>7.55</v>
      </c>
      <c r="G746" s="4">
        <v>19</v>
      </c>
      <c r="H746" s="8">
        <v>3.35</v>
      </c>
      <c r="I746" s="4">
        <v>0</v>
      </c>
    </row>
    <row r="747" spans="1:9" x14ac:dyDescent="0.2">
      <c r="A747" s="2">
        <v>8</v>
      </c>
      <c r="B747" s="1" t="s">
        <v>78</v>
      </c>
      <c r="C747" s="4">
        <v>54</v>
      </c>
      <c r="D747" s="8">
        <v>3.77</v>
      </c>
      <c r="E747" s="4">
        <v>30</v>
      </c>
      <c r="F747" s="8">
        <v>3.54</v>
      </c>
      <c r="G747" s="4">
        <v>24</v>
      </c>
      <c r="H747" s="8">
        <v>4.2300000000000004</v>
      </c>
      <c r="I747" s="4">
        <v>0</v>
      </c>
    </row>
    <row r="748" spans="1:9" x14ac:dyDescent="0.2">
      <c r="A748" s="2">
        <v>9</v>
      </c>
      <c r="B748" s="1" t="s">
        <v>86</v>
      </c>
      <c r="C748" s="4">
        <v>52</v>
      </c>
      <c r="D748" s="8">
        <v>3.63</v>
      </c>
      <c r="E748" s="4">
        <v>35</v>
      </c>
      <c r="F748" s="8">
        <v>4.13</v>
      </c>
      <c r="G748" s="4">
        <v>13</v>
      </c>
      <c r="H748" s="8">
        <v>2.29</v>
      </c>
      <c r="I748" s="4">
        <v>0</v>
      </c>
    </row>
    <row r="749" spans="1:9" x14ac:dyDescent="0.2">
      <c r="A749" s="2">
        <v>10</v>
      </c>
      <c r="B749" s="1" t="s">
        <v>81</v>
      </c>
      <c r="C749" s="4">
        <v>49</v>
      </c>
      <c r="D749" s="8">
        <v>3.42</v>
      </c>
      <c r="E749" s="4">
        <v>28</v>
      </c>
      <c r="F749" s="8">
        <v>3.3</v>
      </c>
      <c r="G749" s="4">
        <v>21</v>
      </c>
      <c r="H749" s="8">
        <v>3.7</v>
      </c>
      <c r="I749" s="4">
        <v>0</v>
      </c>
    </row>
    <row r="750" spans="1:9" x14ac:dyDescent="0.2">
      <c r="A750" s="2">
        <v>11</v>
      </c>
      <c r="B750" s="1" t="s">
        <v>71</v>
      </c>
      <c r="C750" s="4">
        <v>46</v>
      </c>
      <c r="D750" s="8">
        <v>3.21</v>
      </c>
      <c r="E750" s="4">
        <v>14</v>
      </c>
      <c r="F750" s="8">
        <v>1.65</v>
      </c>
      <c r="G750" s="4">
        <v>32</v>
      </c>
      <c r="H750" s="8">
        <v>5.63</v>
      </c>
      <c r="I750" s="4">
        <v>0</v>
      </c>
    </row>
    <row r="751" spans="1:9" x14ac:dyDescent="0.2">
      <c r="A751" s="2">
        <v>12</v>
      </c>
      <c r="B751" s="1" t="s">
        <v>76</v>
      </c>
      <c r="C751" s="4">
        <v>31</v>
      </c>
      <c r="D751" s="8">
        <v>2.17</v>
      </c>
      <c r="E751" s="4">
        <v>19</v>
      </c>
      <c r="F751" s="8">
        <v>2.2400000000000002</v>
      </c>
      <c r="G751" s="4">
        <v>12</v>
      </c>
      <c r="H751" s="8">
        <v>2.11</v>
      </c>
      <c r="I751" s="4">
        <v>0</v>
      </c>
    </row>
    <row r="752" spans="1:9" x14ac:dyDescent="0.2">
      <c r="A752" s="2">
        <v>13</v>
      </c>
      <c r="B752" s="1" t="s">
        <v>87</v>
      </c>
      <c r="C752" s="4">
        <v>29</v>
      </c>
      <c r="D752" s="8">
        <v>2.0299999999999998</v>
      </c>
      <c r="E752" s="4">
        <v>28</v>
      </c>
      <c r="F752" s="8">
        <v>3.3</v>
      </c>
      <c r="G752" s="4">
        <v>1</v>
      </c>
      <c r="H752" s="8">
        <v>0.18</v>
      </c>
      <c r="I752" s="4">
        <v>0</v>
      </c>
    </row>
    <row r="753" spans="1:9" x14ac:dyDescent="0.2">
      <c r="A753" s="2">
        <v>14</v>
      </c>
      <c r="B753" s="1" t="s">
        <v>72</v>
      </c>
      <c r="C753" s="4">
        <v>24</v>
      </c>
      <c r="D753" s="8">
        <v>1.68</v>
      </c>
      <c r="E753" s="4">
        <v>9</v>
      </c>
      <c r="F753" s="8">
        <v>1.06</v>
      </c>
      <c r="G753" s="4">
        <v>15</v>
      </c>
      <c r="H753" s="8">
        <v>2.64</v>
      </c>
      <c r="I753" s="4">
        <v>0</v>
      </c>
    </row>
    <row r="754" spans="1:9" x14ac:dyDescent="0.2">
      <c r="A754" s="2">
        <v>15</v>
      </c>
      <c r="B754" s="1" t="s">
        <v>107</v>
      </c>
      <c r="C754" s="4">
        <v>23</v>
      </c>
      <c r="D754" s="8">
        <v>1.61</v>
      </c>
      <c r="E754" s="4">
        <v>11</v>
      </c>
      <c r="F754" s="8">
        <v>1.3</v>
      </c>
      <c r="G754" s="4">
        <v>12</v>
      </c>
      <c r="H754" s="8">
        <v>2.11</v>
      </c>
      <c r="I754" s="4">
        <v>0</v>
      </c>
    </row>
    <row r="755" spans="1:9" x14ac:dyDescent="0.2">
      <c r="A755" s="2">
        <v>16</v>
      </c>
      <c r="B755" s="1" t="s">
        <v>90</v>
      </c>
      <c r="C755" s="4">
        <v>21</v>
      </c>
      <c r="D755" s="8">
        <v>1.47</v>
      </c>
      <c r="E755" s="4">
        <v>0</v>
      </c>
      <c r="F755" s="8">
        <v>0</v>
      </c>
      <c r="G755" s="4">
        <v>15</v>
      </c>
      <c r="H755" s="8">
        <v>2.64</v>
      </c>
      <c r="I755" s="4">
        <v>0</v>
      </c>
    </row>
    <row r="756" spans="1:9" x14ac:dyDescent="0.2">
      <c r="A756" s="2">
        <v>17</v>
      </c>
      <c r="B756" s="1" t="s">
        <v>96</v>
      </c>
      <c r="C756" s="4">
        <v>19</v>
      </c>
      <c r="D756" s="8">
        <v>1.33</v>
      </c>
      <c r="E756" s="4">
        <v>12</v>
      </c>
      <c r="F756" s="8">
        <v>1.42</v>
      </c>
      <c r="G756" s="4">
        <v>7</v>
      </c>
      <c r="H756" s="8">
        <v>1.23</v>
      </c>
      <c r="I756" s="4">
        <v>0</v>
      </c>
    </row>
    <row r="757" spans="1:9" x14ac:dyDescent="0.2">
      <c r="A757" s="2">
        <v>17</v>
      </c>
      <c r="B757" s="1" t="s">
        <v>74</v>
      </c>
      <c r="C757" s="4">
        <v>19</v>
      </c>
      <c r="D757" s="8">
        <v>1.33</v>
      </c>
      <c r="E757" s="4">
        <v>4</v>
      </c>
      <c r="F757" s="8">
        <v>0.47</v>
      </c>
      <c r="G757" s="4">
        <v>15</v>
      </c>
      <c r="H757" s="8">
        <v>2.64</v>
      </c>
      <c r="I757" s="4">
        <v>0</v>
      </c>
    </row>
    <row r="758" spans="1:9" x14ac:dyDescent="0.2">
      <c r="A758" s="2">
        <v>17</v>
      </c>
      <c r="B758" s="1" t="s">
        <v>83</v>
      </c>
      <c r="C758" s="4">
        <v>19</v>
      </c>
      <c r="D758" s="8">
        <v>1.33</v>
      </c>
      <c r="E758" s="4">
        <v>11</v>
      </c>
      <c r="F758" s="8">
        <v>1.3</v>
      </c>
      <c r="G758" s="4">
        <v>8</v>
      </c>
      <c r="H758" s="8">
        <v>1.41</v>
      </c>
      <c r="I758" s="4">
        <v>0</v>
      </c>
    </row>
    <row r="759" spans="1:9" x14ac:dyDescent="0.2">
      <c r="A759" s="2">
        <v>20</v>
      </c>
      <c r="B759" s="1" t="s">
        <v>94</v>
      </c>
      <c r="C759" s="4">
        <v>17</v>
      </c>
      <c r="D759" s="8">
        <v>1.19</v>
      </c>
      <c r="E759" s="4">
        <v>4</v>
      </c>
      <c r="F759" s="8">
        <v>0.47</v>
      </c>
      <c r="G759" s="4">
        <v>13</v>
      </c>
      <c r="H759" s="8">
        <v>2.29</v>
      </c>
      <c r="I759" s="4">
        <v>0</v>
      </c>
    </row>
    <row r="760" spans="1:9" x14ac:dyDescent="0.2">
      <c r="A760" s="2">
        <v>20</v>
      </c>
      <c r="B760" s="1" t="s">
        <v>82</v>
      </c>
      <c r="C760" s="4">
        <v>17</v>
      </c>
      <c r="D760" s="8">
        <v>1.19</v>
      </c>
      <c r="E760" s="4">
        <v>13</v>
      </c>
      <c r="F760" s="8">
        <v>1.53</v>
      </c>
      <c r="G760" s="4">
        <v>4</v>
      </c>
      <c r="H760" s="8">
        <v>0.7</v>
      </c>
      <c r="I760" s="4">
        <v>0</v>
      </c>
    </row>
    <row r="761" spans="1:9" x14ac:dyDescent="0.2">
      <c r="A761" s="1"/>
      <c r="C761" s="4"/>
      <c r="D761" s="8"/>
      <c r="E761" s="4"/>
      <c r="F761" s="8"/>
      <c r="G761" s="4"/>
      <c r="H761" s="8"/>
      <c r="I761" s="4"/>
    </row>
    <row r="762" spans="1:9" x14ac:dyDescent="0.2">
      <c r="A762" s="1" t="s">
        <v>34</v>
      </c>
      <c r="C762" s="4"/>
      <c r="D762" s="8"/>
      <c r="E762" s="4"/>
      <c r="F762" s="8"/>
      <c r="G762" s="4"/>
      <c r="H762" s="8"/>
      <c r="I762" s="4"/>
    </row>
    <row r="763" spans="1:9" x14ac:dyDescent="0.2">
      <c r="A763" s="2">
        <v>1</v>
      </c>
      <c r="B763" s="1" t="s">
        <v>84</v>
      </c>
      <c r="C763" s="4">
        <v>57</v>
      </c>
      <c r="D763" s="8">
        <v>11.83</v>
      </c>
      <c r="E763" s="4">
        <v>47</v>
      </c>
      <c r="F763" s="8">
        <v>15.41</v>
      </c>
      <c r="G763" s="4">
        <v>10</v>
      </c>
      <c r="H763" s="8">
        <v>5.78</v>
      </c>
      <c r="I763" s="4">
        <v>0</v>
      </c>
    </row>
    <row r="764" spans="1:9" x14ac:dyDescent="0.2">
      <c r="A764" s="2">
        <v>2</v>
      </c>
      <c r="B764" s="1" t="s">
        <v>81</v>
      </c>
      <c r="C764" s="4">
        <v>56</v>
      </c>
      <c r="D764" s="8">
        <v>11.62</v>
      </c>
      <c r="E764" s="4">
        <v>34</v>
      </c>
      <c r="F764" s="8">
        <v>11.15</v>
      </c>
      <c r="G764" s="4">
        <v>22</v>
      </c>
      <c r="H764" s="8">
        <v>12.72</v>
      </c>
      <c r="I764" s="4">
        <v>0</v>
      </c>
    </row>
    <row r="765" spans="1:9" x14ac:dyDescent="0.2">
      <c r="A765" s="2">
        <v>3</v>
      </c>
      <c r="B765" s="1" t="s">
        <v>85</v>
      </c>
      <c r="C765" s="4">
        <v>49</v>
      </c>
      <c r="D765" s="8">
        <v>10.17</v>
      </c>
      <c r="E765" s="4">
        <v>42</v>
      </c>
      <c r="F765" s="8">
        <v>13.77</v>
      </c>
      <c r="G765" s="4">
        <v>6</v>
      </c>
      <c r="H765" s="8">
        <v>3.47</v>
      </c>
      <c r="I765" s="4">
        <v>1</v>
      </c>
    </row>
    <row r="766" spans="1:9" x14ac:dyDescent="0.2">
      <c r="A766" s="2">
        <v>4</v>
      </c>
      <c r="B766" s="1" t="s">
        <v>77</v>
      </c>
      <c r="C766" s="4">
        <v>43</v>
      </c>
      <c r="D766" s="8">
        <v>8.92</v>
      </c>
      <c r="E766" s="4">
        <v>26</v>
      </c>
      <c r="F766" s="8">
        <v>8.52</v>
      </c>
      <c r="G766" s="4">
        <v>17</v>
      </c>
      <c r="H766" s="8">
        <v>9.83</v>
      </c>
      <c r="I766" s="4">
        <v>0</v>
      </c>
    </row>
    <row r="767" spans="1:9" x14ac:dyDescent="0.2">
      <c r="A767" s="2">
        <v>5</v>
      </c>
      <c r="B767" s="1" t="s">
        <v>79</v>
      </c>
      <c r="C767" s="4">
        <v>38</v>
      </c>
      <c r="D767" s="8">
        <v>7.88</v>
      </c>
      <c r="E767" s="4">
        <v>21</v>
      </c>
      <c r="F767" s="8">
        <v>6.89</v>
      </c>
      <c r="G767" s="4">
        <v>17</v>
      </c>
      <c r="H767" s="8">
        <v>9.83</v>
      </c>
      <c r="I767" s="4">
        <v>0</v>
      </c>
    </row>
    <row r="768" spans="1:9" x14ac:dyDescent="0.2">
      <c r="A768" s="2">
        <v>6</v>
      </c>
      <c r="B768" s="1" t="s">
        <v>69</v>
      </c>
      <c r="C768" s="4">
        <v>34</v>
      </c>
      <c r="D768" s="8">
        <v>7.05</v>
      </c>
      <c r="E768" s="4">
        <v>15</v>
      </c>
      <c r="F768" s="8">
        <v>4.92</v>
      </c>
      <c r="G768" s="4">
        <v>19</v>
      </c>
      <c r="H768" s="8">
        <v>10.98</v>
      </c>
      <c r="I768" s="4">
        <v>0</v>
      </c>
    </row>
    <row r="769" spans="1:9" x14ac:dyDescent="0.2">
      <c r="A769" s="2">
        <v>7</v>
      </c>
      <c r="B769" s="1" t="s">
        <v>70</v>
      </c>
      <c r="C769" s="4">
        <v>32</v>
      </c>
      <c r="D769" s="8">
        <v>6.64</v>
      </c>
      <c r="E769" s="4">
        <v>24</v>
      </c>
      <c r="F769" s="8">
        <v>7.87</v>
      </c>
      <c r="G769" s="4">
        <v>8</v>
      </c>
      <c r="H769" s="8">
        <v>4.62</v>
      </c>
      <c r="I769" s="4">
        <v>0</v>
      </c>
    </row>
    <row r="770" spans="1:9" x14ac:dyDescent="0.2">
      <c r="A770" s="2">
        <v>8</v>
      </c>
      <c r="B770" s="1" t="s">
        <v>99</v>
      </c>
      <c r="C770" s="4">
        <v>29</v>
      </c>
      <c r="D770" s="8">
        <v>6.02</v>
      </c>
      <c r="E770" s="4">
        <v>21</v>
      </c>
      <c r="F770" s="8">
        <v>6.89</v>
      </c>
      <c r="G770" s="4">
        <v>8</v>
      </c>
      <c r="H770" s="8">
        <v>4.62</v>
      </c>
      <c r="I770" s="4">
        <v>0</v>
      </c>
    </row>
    <row r="771" spans="1:9" x14ac:dyDescent="0.2">
      <c r="A771" s="2">
        <v>9</v>
      </c>
      <c r="B771" s="1" t="s">
        <v>71</v>
      </c>
      <c r="C771" s="4">
        <v>19</v>
      </c>
      <c r="D771" s="8">
        <v>3.94</v>
      </c>
      <c r="E771" s="4">
        <v>10</v>
      </c>
      <c r="F771" s="8">
        <v>3.28</v>
      </c>
      <c r="G771" s="4">
        <v>9</v>
      </c>
      <c r="H771" s="8">
        <v>5.2</v>
      </c>
      <c r="I771" s="4">
        <v>0</v>
      </c>
    </row>
    <row r="772" spans="1:9" x14ac:dyDescent="0.2">
      <c r="A772" s="2">
        <v>10</v>
      </c>
      <c r="B772" s="1" t="s">
        <v>76</v>
      </c>
      <c r="C772" s="4">
        <v>10</v>
      </c>
      <c r="D772" s="8">
        <v>2.0699999999999998</v>
      </c>
      <c r="E772" s="4">
        <v>9</v>
      </c>
      <c r="F772" s="8">
        <v>2.95</v>
      </c>
      <c r="G772" s="4">
        <v>1</v>
      </c>
      <c r="H772" s="8">
        <v>0.57999999999999996</v>
      </c>
      <c r="I772" s="4">
        <v>0</v>
      </c>
    </row>
    <row r="773" spans="1:9" x14ac:dyDescent="0.2">
      <c r="A773" s="2">
        <v>10</v>
      </c>
      <c r="B773" s="1" t="s">
        <v>78</v>
      </c>
      <c r="C773" s="4">
        <v>10</v>
      </c>
      <c r="D773" s="8">
        <v>2.0699999999999998</v>
      </c>
      <c r="E773" s="4">
        <v>6</v>
      </c>
      <c r="F773" s="8">
        <v>1.97</v>
      </c>
      <c r="G773" s="4">
        <v>4</v>
      </c>
      <c r="H773" s="8">
        <v>2.31</v>
      </c>
      <c r="I773" s="4">
        <v>0</v>
      </c>
    </row>
    <row r="774" spans="1:9" x14ac:dyDescent="0.2">
      <c r="A774" s="2">
        <v>12</v>
      </c>
      <c r="B774" s="1" t="s">
        <v>93</v>
      </c>
      <c r="C774" s="4">
        <v>8</v>
      </c>
      <c r="D774" s="8">
        <v>1.66</v>
      </c>
      <c r="E774" s="4">
        <v>1</v>
      </c>
      <c r="F774" s="8">
        <v>0.33</v>
      </c>
      <c r="G774" s="4">
        <v>7</v>
      </c>
      <c r="H774" s="8">
        <v>4.05</v>
      </c>
      <c r="I774" s="4">
        <v>0</v>
      </c>
    </row>
    <row r="775" spans="1:9" x14ac:dyDescent="0.2">
      <c r="A775" s="2">
        <v>12</v>
      </c>
      <c r="B775" s="1" t="s">
        <v>102</v>
      </c>
      <c r="C775" s="4">
        <v>8</v>
      </c>
      <c r="D775" s="8">
        <v>1.66</v>
      </c>
      <c r="E775" s="4">
        <v>1</v>
      </c>
      <c r="F775" s="8">
        <v>0.33</v>
      </c>
      <c r="G775" s="4">
        <v>7</v>
      </c>
      <c r="H775" s="8">
        <v>4.05</v>
      </c>
      <c r="I775" s="4">
        <v>0</v>
      </c>
    </row>
    <row r="776" spans="1:9" x14ac:dyDescent="0.2">
      <c r="A776" s="2">
        <v>14</v>
      </c>
      <c r="B776" s="1" t="s">
        <v>83</v>
      </c>
      <c r="C776" s="4">
        <v>7</v>
      </c>
      <c r="D776" s="8">
        <v>1.45</v>
      </c>
      <c r="E776" s="4">
        <v>4</v>
      </c>
      <c r="F776" s="8">
        <v>1.31</v>
      </c>
      <c r="G776" s="4">
        <v>3</v>
      </c>
      <c r="H776" s="8">
        <v>1.73</v>
      </c>
      <c r="I776" s="4">
        <v>0</v>
      </c>
    </row>
    <row r="777" spans="1:9" x14ac:dyDescent="0.2">
      <c r="A777" s="2">
        <v>14</v>
      </c>
      <c r="B777" s="1" t="s">
        <v>95</v>
      </c>
      <c r="C777" s="4">
        <v>7</v>
      </c>
      <c r="D777" s="8">
        <v>1.45</v>
      </c>
      <c r="E777" s="4">
        <v>1</v>
      </c>
      <c r="F777" s="8">
        <v>0.33</v>
      </c>
      <c r="G777" s="4">
        <v>4</v>
      </c>
      <c r="H777" s="8">
        <v>2.31</v>
      </c>
      <c r="I777" s="4">
        <v>2</v>
      </c>
    </row>
    <row r="778" spans="1:9" x14ac:dyDescent="0.2">
      <c r="A778" s="2">
        <v>14</v>
      </c>
      <c r="B778" s="1" t="s">
        <v>101</v>
      </c>
      <c r="C778" s="4">
        <v>7</v>
      </c>
      <c r="D778" s="8">
        <v>1.45</v>
      </c>
      <c r="E778" s="4">
        <v>5</v>
      </c>
      <c r="F778" s="8">
        <v>1.64</v>
      </c>
      <c r="G778" s="4">
        <v>2</v>
      </c>
      <c r="H778" s="8">
        <v>1.1599999999999999</v>
      </c>
      <c r="I778" s="4">
        <v>0</v>
      </c>
    </row>
    <row r="779" spans="1:9" x14ac:dyDescent="0.2">
      <c r="A779" s="2">
        <v>14</v>
      </c>
      <c r="B779" s="1" t="s">
        <v>86</v>
      </c>
      <c r="C779" s="4">
        <v>7</v>
      </c>
      <c r="D779" s="8">
        <v>1.45</v>
      </c>
      <c r="E779" s="4">
        <v>6</v>
      </c>
      <c r="F779" s="8">
        <v>1.97</v>
      </c>
      <c r="G779" s="4">
        <v>1</v>
      </c>
      <c r="H779" s="8">
        <v>0.57999999999999996</v>
      </c>
      <c r="I779" s="4">
        <v>0</v>
      </c>
    </row>
    <row r="780" spans="1:9" x14ac:dyDescent="0.2">
      <c r="A780" s="2">
        <v>14</v>
      </c>
      <c r="B780" s="1" t="s">
        <v>87</v>
      </c>
      <c r="C780" s="4">
        <v>7</v>
      </c>
      <c r="D780" s="8">
        <v>1.45</v>
      </c>
      <c r="E780" s="4">
        <v>7</v>
      </c>
      <c r="F780" s="8">
        <v>2.2999999999999998</v>
      </c>
      <c r="G780" s="4">
        <v>0</v>
      </c>
      <c r="H780" s="8">
        <v>0</v>
      </c>
      <c r="I780" s="4">
        <v>0</v>
      </c>
    </row>
    <row r="781" spans="1:9" x14ac:dyDescent="0.2">
      <c r="A781" s="2">
        <v>19</v>
      </c>
      <c r="B781" s="1" t="s">
        <v>80</v>
      </c>
      <c r="C781" s="4">
        <v>6</v>
      </c>
      <c r="D781" s="8">
        <v>1.24</v>
      </c>
      <c r="E781" s="4">
        <v>1</v>
      </c>
      <c r="F781" s="8">
        <v>0.33</v>
      </c>
      <c r="G781" s="4">
        <v>5</v>
      </c>
      <c r="H781" s="8">
        <v>2.89</v>
      </c>
      <c r="I781" s="4">
        <v>0</v>
      </c>
    </row>
    <row r="782" spans="1:9" x14ac:dyDescent="0.2">
      <c r="A782" s="2">
        <v>20</v>
      </c>
      <c r="B782" s="1" t="s">
        <v>82</v>
      </c>
      <c r="C782" s="4">
        <v>5</v>
      </c>
      <c r="D782" s="8">
        <v>1.04</v>
      </c>
      <c r="E782" s="4">
        <v>5</v>
      </c>
      <c r="F782" s="8">
        <v>1.64</v>
      </c>
      <c r="G782" s="4">
        <v>0</v>
      </c>
      <c r="H782" s="8">
        <v>0</v>
      </c>
      <c r="I782" s="4">
        <v>0</v>
      </c>
    </row>
    <row r="783" spans="1:9" x14ac:dyDescent="0.2">
      <c r="A783" s="2">
        <v>20</v>
      </c>
      <c r="B783" s="1" t="s">
        <v>88</v>
      </c>
      <c r="C783" s="4">
        <v>5</v>
      </c>
      <c r="D783" s="8">
        <v>1.04</v>
      </c>
      <c r="E783" s="4">
        <v>5</v>
      </c>
      <c r="F783" s="8">
        <v>1.64</v>
      </c>
      <c r="G783" s="4">
        <v>0</v>
      </c>
      <c r="H783" s="8">
        <v>0</v>
      </c>
      <c r="I783" s="4">
        <v>0</v>
      </c>
    </row>
    <row r="784" spans="1:9" x14ac:dyDescent="0.2">
      <c r="A784" s="1"/>
      <c r="C784" s="4"/>
      <c r="D784" s="8"/>
      <c r="E784" s="4"/>
      <c r="F784" s="8"/>
      <c r="G784" s="4"/>
      <c r="H784" s="8"/>
      <c r="I784" s="4"/>
    </row>
    <row r="785" spans="1:9" x14ac:dyDescent="0.2">
      <c r="A785" s="1" t="s">
        <v>35</v>
      </c>
      <c r="C785" s="4"/>
      <c r="D785" s="8"/>
      <c r="E785" s="4"/>
      <c r="F785" s="8"/>
      <c r="G785" s="4"/>
      <c r="H785" s="8"/>
      <c r="I785" s="4"/>
    </row>
    <row r="786" spans="1:9" x14ac:dyDescent="0.2">
      <c r="A786" s="2">
        <v>1</v>
      </c>
      <c r="B786" s="1" t="s">
        <v>99</v>
      </c>
      <c r="C786" s="4">
        <v>40</v>
      </c>
      <c r="D786" s="8">
        <v>12.7</v>
      </c>
      <c r="E786" s="4">
        <v>31</v>
      </c>
      <c r="F786" s="8">
        <v>14.03</v>
      </c>
      <c r="G786" s="4">
        <v>9</v>
      </c>
      <c r="H786" s="8">
        <v>9.7799999999999994</v>
      </c>
      <c r="I786" s="4">
        <v>0</v>
      </c>
    </row>
    <row r="787" spans="1:9" x14ac:dyDescent="0.2">
      <c r="A787" s="2">
        <v>2</v>
      </c>
      <c r="B787" s="1" t="s">
        <v>84</v>
      </c>
      <c r="C787" s="4">
        <v>39</v>
      </c>
      <c r="D787" s="8">
        <v>12.38</v>
      </c>
      <c r="E787" s="4">
        <v>36</v>
      </c>
      <c r="F787" s="8">
        <v>16.29</v>
      </c>
      <c r="G787" s="4">
        <v>3</v>
      </c>
      <c r="H787" s="8">
        <v>3.26</v>
      </c>
      <c r="I787" s="4">
        <v>0</v>
      </c>
    </row>
    <row r="788" spans="1:9" x14ac:dyDescent="0.2">
      <c r="A788" s="2">
        <v>3</v>
      </c>
      <c r="B788" s="1" t="s">
        <v>69</v>
      </c>
      <c r="C788" s="4">
        <v>28</v>
      </c>
      <c r="D788" s="8">
        <v>8.89</v>
      </c>
      <c r="E788" s="4">
        <v>20</v>
      </c>
      <c r="F788" s="8">
        <v>9.0500000000000007</v>
      </c>
      <c r="G788" s="4">
        <v>8</v>
      </c>
      <c r="H788" s="8">
        <v>8.6999999999999993</v>
      </c>
      <c r="I788" s="4">
        <v>0</v>
      </c>
    </row>
    <row r="789" spans="1:9" x14ac:dyDescent="0.2">
      <c r="A789" s="2">
        <v>4</v>
      </c>
      <c r="B789" s="1" t="s">
        <v>79</v>
      </c>
      <c r="C789" s="4">
        <v>27</v>
      </c>
      <c r="D789" s="8">
        <v>8.57</v>
      </c>
      <c r="E789" s="4">
        <v>13</v>
      </c>
      <c r="F789" s="8">
        <v>5.88</v>
      </c>
      <c r="G789" s="4">
        <v>14</v>
      </c>
      <c r="H789" s="8">
        <v>15.22</v>
      </c>
      <c r="I789" s="4">
        <v>0</v>
      </c>
    </row>
    <row r="790" spans="1:9" x14ac:dyDescent="0.2">
      <c r="A790" s="2">
        <v>5</v>
      </c>
      <c r="B790" s="1" t="s">
        <v>85</v>
      </c>
      <c r="C790" s="4">
        <v>26</v>
      </c>
      <c r="D790" s="8">
        <v>8.25</v>
      </c>
      <c r="E790" s="4">
        <v>25</v>
      </c>
      <c r="F790" s="8">
        <v>11.31</v>
      </c>
      <c r="G790" s="4">
        <v>1</v>
      </c>
      <c r="H790" s="8">
        <v>1.0900000000000001</v>
      </c>
      <c r="I790" s="4">
        <v>0</v>
      </c>
    </row>
    <row r="791" spans="1:9" x14ac:dyDescent="0.2">
      <c r="A791" s="2">
        <v>6</v>
      </c>
      <c r="B791" s="1" t="s">
        <v>77</v>
      </c>
      <c r="C791" s="4">
        <v>22</v>
      </c>
      <c r="D791" s="8">
        <v>6.98</v>
      </c>
      <c r="E791" s="4">
        <v>19</v>
      </c>
      <c r="F791" s="8">
        <v>8.6</v>
      </c>
      <c r="G791" s="4">
        <v>3</v>
      </c>
      <c r="H791" s="8">
        <v>3.26</v>
      </c>
      <c r="I791" s="4">
        <v>0</v>
      </c>
    </row>
    <row r="792" spans="1:9" x14ac:dyDescent="0.2">
      <c r="A792" s="2">
        <v>7</v>
      </c>
      <c r="B792" s="1" t="s">
        <v>70</v>
      </c>
      <c r="C792" s="4">
        <v>20</v>
      </c>
      <c r="D792" s="8">
        <v>6.35</v>
      </c>
      <c r="E792" s="4">
        <v>11</v>
      </c>
      <c r="F792" s="8">
        <v>4.9800000000000004</v>
      </c>
      <c r="G792" s="4">
        <v>9</v>
      </c>
      <c r="H792" s="8">
        <v>9.7799999999999994</v>
      </c>
      <c r="I792" s="4">
        <v>0</v>
      </c>
    </row>
    <row r="793" spans="1:9" x14ac:dyDescent="0.2">
      <c r="A793" s="2">
        <v>8</v>
      </c>
      <c r="B793" s="1" t="s">
        <v>86</v>
      </c>
      <c r="C793" s="4">
        <v>11</v>
      </c>
      <c r="D793" s="8">
        <v>3.49</v>
      </c>
      <c r="E793" s="4">
        <v>8</v>
      </c>
      <c r="F793" s="8">
        <v>3.62</v>
      </c>
      <c r="G793" s="4">
        <v>3</v>
      </c>
      <c r="H793" s="8">
        <v>3.26</v>
      </c>
      <c r="I793" s="4">
        <v>0</v>
      </c>
    </row>
    <row r="794" spans="1:9" x14ac:dyDescent="0.2">
      <c r="A794" s="2">
        <v>9</v>
      </c>
      <c r="B794" s="1" t="s">
        <v>87</v>
      </c>
      <c r="C794" s="4">
        <v>9</v>
      </c>
      <c r="D794" s="8">
        <v>2.86</v>
      </c>
      <c r="E794" s="4">
        <v>8</v>
      </c>
      <c r="F794" s="8">
        <v>3.62</v>
      </c>
      <c r="G794" s="4">
        <v>1</v>
      </c>
      <c r="H794" s="8">
        <v>1.0900000000000001</v>
      </c>
      <c r="I794" s="4">
        <v>0</v>
      </c>
    </row>
    <row r="795" spans="1:9" x14ac:dyDescent="0.2">
      <c r="A795" s="2">
        <v>10</v>
      </c>
      <c r="B795" s="1" t="s">
        <v>71</v>
      </c>
      <c r="C795" s="4">
        <v>7</v>
      </c>
      <c r="D795" s="8">
        <v>2.2200000000000002</v>
      </c>
      <c r="E795" s="4">
        <v>4</v>
      </c>
      <c r="F795" s="8">
        <v>1.81</v>
      </c>
      <c r="G795" s="4">
        <v>3</v>
      </c>
      <c r="H795" s="8">
        <v>3.26</v>
      </c>
      <c r="I795" s="4">
        <v>0</v>
      </c>
    </row>
    <row r="796" spans="1:9" x14ac:dyDescent="0.2">
      <c r="A796" s="2">
        <v>10</v>
      </c>
      <c r="B796" s="1" t="s">
        <v>76</v>
      </c>
      <c r="C796" s="4">
        <v>7</v>
      </c>
      <c r="D796" s="8">
        <v>2.2200000000000002</v>
      </c>
      <c r="E796" s="4">
        <v>5</v>
      </c>
      <c r="F796" s="8">
        <v>2.2599999999999998</v>
      </c>
      <c r="G796" s="4">
        <v>2</v>
      </c>
      <c r="H796" s="8">
        <v>2.17</v>
      </c>
      <c r="I796" s="4">
        <v>0</v>
      </c>
    </row>
    <row r="797" spans="1:9" x14ac:dyDescent="0.2">
      <c r="A797" s="2">
        <v>10</v>
      </c>
      <c r="B797" s="1" t="s">
        <v>78</v>
      </c>
      <c r="C797" s="4">
        <v>7</v>
      </c>
      <c r="D797" s="8">
        <v>2.2200000000000002</v>
      </c>
      <c r="E797" s="4">
        <v>5</v>
      </c>
      <c r="F797" s="8">
        <v>2.2599999999999998</v>
      </c>
      <c r="G797" s="4">
        <v>2</v>
      </c>
      <c r="H797" s="8">
        <v>2.17</v>
      </c>
      <c r="I797" s="4">
        <v>0</v>
      </c>
    </row>
    <row r="798" spans="1:9" x14ac:dyDescent="0.2">
      <c r="A798" s="2">
        <v>10</v>
      </c>
      <c r="B798" s="1" t="s">
        <v>81</v>
      </c>
      <c r="C798" s="4">
        <v>7</v>
      </c>
      <c r="D798" s="8">
        <v>2.2200000000000002</v>
      </c>
      <c r="E798" s="4">
        <v>6</v>
      </c>
      <c r="F798" s="8">
        <v>2.71</v>
      </c>
      <c r="G798" s="4">
        <v>1</v>
      </c>
      <c r="H798" s="8">
        <v>1.0900000000000001</v>
      </c>
      <c r="I798" s="4">
        <v>0</v>
      </c>
    </row>
    <row r="799" spans="1:9" x14ac:dyDescent="0.2">
      <c r="A799" s="2">
        <v>14</v>
      </c>
      <c r="B799" s="1" t="s">
        <v>83</v>
      </c>
      <c r="C799" s="4">
        <v>6</v>
      </c>
      <c r="D799" s="8">
        <v>1.9</v>
      </c>
      <c r="E799" s="4">
        <v>4</v>
      </c>
      <c r="F799" s="8">
        <v>1.81</v>
      </c>
      <c r="G799" s="4">
        <v>2</v>
      </c>
      <c r="H799" s="8">
        <v>2.17</v>
      </c>
      <c r="I799" s="4">
        <v>0</v>
      </c>
    </row>
    <row r="800" spans="1:9" x14ac:dyDescent="0.2">
      <c r="A800" s="2">
        <v>15</v>
      </c>
      <c r="B800" s="1" t="s">
        <v>100</v>
      </c>
      <c r="C800" s="4">
        <v>5</v>
      </c>
      <c r="D800" s="8">
        <v>1.59</v>
      </c>
      <c r="E800" s="4">
        <v>1</v>
      </c>
      <c r="F800" s="8">
        <v>0.45</v>
      </c>
      <c r="G800" s="4">
        <v>4</v>
      </c>
      <c r="H800" s="8">
        <v>4.3499999999999996</v>
      </c>
      <c r="I800" s="4">
        <v>0</v>
      </c>
    </row>
    <row r="801" spans="1:9" x14ac:dyDescent="0.2">
      <c r="A801" s="2">
        <v>15</v>
      </c>
      <c r="B801" s="1" t="s">
        <v>93</v>
      </c>
      <c r="C801" s="4">
        <v>5</v>
      </c>
      <c r="D801" s="8">
        <v>1.59</v>
      </c>
      <c r="E801" s="4">
        <v>4</v>
      </c>
      <c r="F801" s="8">
        <v>1.81</v>
      </c>
      <c r="G801" s="4">
        <v>1</v>
      </c>
      <c r="H801" s="8">
        <v>1.0900000000000001</v>
      </c>
      <c r="I801" s="4">
        <v>0</v>
      </c>
    </row>
    <row r="802" spans="1:9" x14ac:dyDescent="0.2">
      <c r="A802" s="2">
        <v>15</v>
      </c>
      <c r="B802" s="1" t="s">
        <v>74</v>
      </c>
      <c r="C802" s="4">
        <v>5</v>
      </c>
      <c r="D802" s="8">
        <v>1.59</v>
      </c>
      <c r="E802" s="4">
        <v>2</v>
      </c>
      <c r="F802" s="8">
        <v>0.9</v>
      </c>
      <c r="G802" s="4">
        <v>3</v>
      </c>
      <c r="H802" s="8">
        <v>3.26</v>
      </c>
      <c r="I802" s="4">
        <v>0</v>
      </c>
    </row>
    <row r="803" spans="1:9" x14ac:dyDescent="0.2">
      <c r="A803" s="2">
        <v>18</v>
      </c>
      <c r="B803" s="1" t="s">
        <v>88</v>
      </c>
      <c r="C803" s="4">
        <v>4</v>
      </c>
      <c r="D803" s="8">
        <v>1.27</v>
      </c>
      <c r="E803" s="4">
        <v>3</v>
      </c>
      <c r="F803" s="8">
        <v>1.36</v>
      </c>
      <c r="G803" s="4">
        <v>1</v>
      </c>
      <c r="H803" s="8">
        <v>1.0900000000000001</v>
      </c>
      <c r="I803" s="4">
        <v>0</v>
      </c>
    </row>
    <row r="804" spans="1:9" x14ac:dyDescent="0.2">
      <c r="A804" s="2">
        <v>18</v>
      </c>
      <c r="B804" s="1" t="s">
        <v>102</v>
      </c>
      <c r="C804" s="4">
        <v>4</v>
      </c>
      <c r="D804" s="8">
        <v>1.27</v>
      </c>
      <c r="E804" s="4">
        <v>3</v>
      </c>
      <c r="F804" s="8">
        <v>1.36</v>
      </c>
      <c r="G804" s="4">
        <v>1</v>
      </c>
      <c r="H804" s="8">
        <v>1.0900000000000001</v>
      </c>
      <c r="I804" s="4">
        <v>0</v>
      </c>
    </row>
    <row r="805" spans="1:9" x14ac:dyDescent="0.2">
      <c r="A805" s="2">
        <v>20</v>
      </c>
      <c r="B805" s="1" t="s">
        <v>98</v>
      </c>
      <c r="C805" s="4">
        <v>3</v>
      </c>
      <c r="D805" s="8">
        <v>0.95</v>
      </c>
      <c r="E805" s="4">
        <v>0</v>
      </c>
      <c r="F805" s="8">
        <v>0</v>
      </c>
      <c r="G805" s="4">
        <v>3</v>
      </c>
      <c r="H805" s="8">
        <v>3.26</v>
      </c>
      <c r="I805" s="4">
        <v>0</v>
      </c>
    </row>
    <row r="806" spans="1:9" x14ac:dyDescent="0.2">
      <c r="A806" s="2">
        <v>20</v>
      </c>
      <c r="B806" s="1" t="s">
        <v>91</v>
      </c>
      <c r="C806" s="4">
        <v>3</v>
      </c>
      <c r="D806" s="8">
        <v>0.95</v>
      </c>
      <c r="E806" s="4">
        <v>3</v>
      </c>
      <c r="F806" s="8">
        <v>1.36</v>
      </c>
      <c r="G806" s="4">
        <v>0</v>
      </c>
      <c r="H806" s="8">
        <v>0</v>
      </c>
      <c r="I806" s="4">
        <v>0</v>
      </c>
    </row>
    <row r="807" spans="1:9" x14ac:dyDescent="0.2">
      <c r="A807" s="2">
        <v>20</v>
      </c>
      <c r="B807" s="1" t="s">
        <v>108</v>
      </c>
      <c r="C807" s="4">
        <v>3</v>
      </c>
      <c r="D807" s="8">
        <v>0.95</v>
      </c>
      <c r="E807" s="4">
        <v>0</v>
      </c>
      <c r="F807" s="8">
        <v>0</v>
      </c>
      <c r="G807" s="4">
        <v>3</v>
      </c>
      <c r="H807" s="8">
        <v>3.26</v>
      </c>
      <c r="I807" s="4">
        <v>0</v>
      </c>
    </row>
    <row r="808" spans="1:9" x14ac:dyDescent="0.2">
      <c r="A808" s="2">
        <v>20</v>
      </c>
      <c r="B808" s="1" t="s">
        <v>80</v>
      </c>
      <c r="C808" s="4">
        <v>3</v>
      </c>
      <c r="D808" s="8">
        <v>0.95</v>
      </c>
      <c r="E808" s="4">
        <v>1</v>
      </c>
      <c r="F808" s="8">
        <v>0.45</v>
      </c>
      <c r="G808" s="4">
        <v>2</v>
      </c>
      <c r="H808" s="8">
        <v>2.17</v>
      </c>
      <c r="I808" s="4">
        <v>0</v>
      </c>
    </row>
    <row r="809" spans="1:9" x14ac:dyDescent="0.2">
      <c r="A809" s="2">
        <v>20</v>
      </c>
      <c r="B809" s="1" t="s">
        <v>101</v>
      </c>
      <c r="C809" s="4">
        <v>3</v>
      </c>
      <c r="D809" s="8">
        <v>0.95</v>
      </c>
      <c r="E809" s="4">
        <v>3</v>
      </c>
      <c r="F809" s="8">
        <v>1.36</v>
      </c>
      <c r="G809" s="4">
        <v>0</v>
      </c>
      <c r="H809" s="8">
        <v>0</v>
      </c>
      <c r="I809" s="4">
        <v>0</v>
      </c>
    </row>
    <row r="810" spans="1:9" x14ac:dyDescent="0.2">
      <c r="A810" s="2">
        <v>20</v>
      </c>
      <c r="B810" s="1" t="s">
        <v>109</v>
      </c>
      <c r="C810" s="4">
        <v>3</v>
      </c>
      <c r="D810" s="8">
        <v>0.95</v>
      </c>
      <c r="E810" s="4">
        <v>1</v>
      </c>
      <c r="F810" s="8">
        <v>0.45</v>
      </c>
      <c r="G810" s="4">
        <v>2</v>
      </c>
      <c r="H810" s="8">
        <v>2.17</v>
      </c>
      <c r="I810" s="4">
        <v>0</v>
      </c>
    </row>
    <row r="811" spans="1:9" x14ac:dyDescent="0.2">
      <c r="A811" s="1"/>
      <c r="C811" s="4"/>
      <c r="D811" s="8"/>
      <c r="E811" s="4"/>
      <c r="F811" s="8"/>
      <c r="G811" s="4"/>
      <c r="H811" s="8"/>
      <c r="I811" s="4"/>
    </row>
    <row r="812" spans="1:9" x14ac:dyDescent="0.2">
      <c r="A812" s="1" t="s">
        <v>36</v>
      </c>
      <c r="C812" s="4"/>
      <c r="D812" s="8"/>
      <c r="E812" s="4"/>
      <c r="F812" s="8"/>
      <c r="G812" s="4"/>
      <c r="H812" s="8"/>
      <c r="I812" s="4"/>
    </row>
    <row r="813" spans="1:9" x14ac:dyDescent="0.2">
      <c r="A813" s="2">
        <v>1</v>
      </c>
      <c r="B813" s="1" t="s">
        <v>99</v>
      </c>
      <c r="C813" s="4">
        <v>86</v>
      </c>
      <c r="D813" s="8">
        <v>23.24</v>
      </c>
      <c r="E813" s="4">
        <v>80</v>
      </c>
      <c r="F813" s="8">
        <v>28.37</v>
      </c>
      <c r="G813" s="4">
        <v>6</v>
      </c>
      <c r="H813" s="8">
        <v>7.06</v>
      </c>
      <c r="I813" s="4">
        <v>0</v>
      </c>
    </row>
    <row r="814" spans="1:9" x14ac:dyDescent="0.2">
      <c r="A814" s="2">
        <v>2</v>
      </c>
      <c r="B814" s="1" t="s">
        <v>84</v>
      </c>
      <c r="C814" s="4">
        <v>31</v>
      </c>
      <c r="D814" s="8">
        <v>8.3800000000000008</v>
      </c>
      <c r="E814" s="4">
        <v>28</v>
      </c>
      <c r="F814" s="8">
        <v>9.93</v>
      </c>
      <c r="G814" s="4">
        <v>3</v>
      </c>
      <c r="H814" s="8">
        <v>3.53</v>
      </c>
      <c r="I814" s="4">
        <v>0</v>
      </c>
    </row>
    <row r="815" spans="1:9" x14ac:dyDescent="0.2">
      <c r="A815" s="2">
        <v>3</v>
      </c>
      <c r="B815" s="1" t="s">
        <v>79</v>
      </c>
      <c r="C815" s="4">
        <v>29</v>
      </c>
      <c r="D815" s="8">
        <v>7.84</v>
      </c>
      <c r="E815" s="4">
        <v>17</v>
      </c>
      <c r="F815" s="8">
        <v>6.03</v>
      </c>
      <c r="G815" s="4">
        <v>12</v>
      </c>
      <c r="H815" s="8">
        <v>14.12</v>
      </c>
      <c r="I815" s="4">
        <v>0</v>
      </c>
    </row>
    <row r="816" spans="1:9" x14ac:dyDescent="0.2">
      <c r="A816" s="2">
        <v>4</v>
      </c>
      <c r="B816" s="1" t="s">
        <v>69</v>
      </c>
      <c r="C816" s="4">
        <v>27</v>
      </c>
      <c r="D816" s="8">
        <v>7.3</v>
      </c>
      <c r="E816" s="4">
        <v>11</v>
      </c>
      <c r="F816" s="8">
        <v>3.9</v>
      </c>
      <c r="G816" s="4">
        <v>16</v>
      </c>
      <c r="H816" s="8">
        <v>18.82</v>
      </c>
      <c r="I816" s="4">
        <v>0</v>
      </c>
    </row>
    <row r="817" spans="1:9" x14ac:dyDescent="0.2">
      <c r="A817" s="2">
        <v>4</v>
      </c>
      <c r="B817" s="1" t="s">
        <v>77</v>
      </c>
      <c r="C817" s="4">
        <v>27</v>
      </c>
      <c r="D817" s="8">
        <v>7.3</v>
      </c>
      <c r="E817" s="4">
        <v>25</v>
      </c>
      <c r="F817" s="8">
        <v>8.8699999999999992</v>
      </c>
      <c r="G817" s="4">
        <v>2</v>
      </c>
      <c r="H817" s="8">
        <v>2.35</v>
      </c>
      <c r="I817" s="4">
        <v>0</v>
      </c>
    </row>
    <row r="818" spans="1:9" x14ac:dyDescent="0.2">
      <c r="A818" s="2">
        <v>4</v>
      </c>
      <c r="B818" s="1" t="s">
        <v>85</v>
      </c>
      <c r="C818" s="4">
        <v>27</v>
      </c>
      <c r="D818" s="8">
        <v>7.3</v>
      </c>
      <c r="E818" s="4">
        <v>25</v>
      </c>
      <c r="F818" s="8">
        <v>8.8699999999999992</v>
      </c>
      <c r="G818" s="4">
        <v>2</v>
      </c>
      <c r="H818" s="8">
        <v>2.35</v>
      </c>
      <c r="I818" s="4">
        <v>0</v>
      </c>
    </row>
    <row r="819" spans="1:9" x14ac:dyDescent="0.2">
      <c r="A819" s="2">
        <v>7</v>
      </c>
      <c r="B819" s="1" t="s">
        <v>101</v>
      </c>
      <c r="C819" s="4">
        <v>17</v>
      </c>
      <c r="D819" s="8">
        <v>4.59</v>
      </c>
      <c r="E819" s="4">
        <v>16</v>
      </c>
      <c r="F819" s="8">
        <v>5.67</v>
      </c>
      <c r="G819" s="4">
        <v>1</v>
      </c>
      <c r="H819" s="8">
        <v>1.18</v>
      </c>
      <c r="I819" s="4">
        <v>0</v>
      </c>
    </row>
    <row r="820" spans="1:9" x14ac:dyDescent="0.2">
      <c r="A820" s="2">
        <v>8</v>
      </c>
      <c r="B820" s="1" t="s">
        <v>70</v>
      </c>
      <c r="C820" s="4">
        <v>15</v>
      </c>
      <c r="D820" s="8">
        <v>4.05</v>
      </c>
      <c r="E820" s="4">
        <v>14</v>
      </c>
      <c r="F820" s="8">
        <v>4.96</v>
      </c>
      <c r="G820" s="4">
        <v>1</v>
      </c>
      <c r="H820" s="8">
        <v>1.18</v>
      </c>
      <c r="I820" s="4">
        <v>0</v>
      </c>
    </row>
    <row r="821" spans="1:9" x14ac:dyDescent="0.2">
      <c r="A821" s="2">
        <v>8</v>
      </c>
      <c r="B821" s="1" t="s">
        <v>81</v>
      </c>
      <c r="C821" s="4">
        <v>15</v>
      </c>
      <c r="D821" s="8">
        <v>4.05</v>
      </c>
      <c r="E821" s="4">
        <v>11</v>
      </c>
      <c r="F821" s="8">
        <v>3.9</v>
      </c>
      <c r="G821" s="4">
        <v>4</v>
      </c>
      <c r="H821" s="8">
        <v>4.71</v>
      </c>
      <c r="I821" s="4">
        <v>0</v>
      </c>
    </row>
    <row r="822" spans="1:9" x14ac:dyDescent="0.2">
      <c r="A822" s="2">
        <v>10</v>
      </c>
      <c r="B822" s="1" t="s">
        <v>71</v>
      </c>
      <c r="C822" s="4">
        <v>11</v>
      </c>
      <c r="D822" s="8">
        <v>2.97</v>
      </c>
      <c r="E822" s="4">
        <v>6</v>
      </c>
      <c r="F822" s="8">
        <v>2.13</v>
      </c>
      <c r="G822" s="4">
        <v>5</v>
      </c>
      <c r="H822" s="8">
        <v>5.88</v>
      </c>
      <c r="I822" s="4">
        <v>0</v>
      </c>
    </row>
    <row r="823" spans="1:9" x14ac:dyDescent="0.2">
      <c r="A823" s="2">
        <v>11</v>
      </c>
      <c r="B823" s="1" t="s">
        <v>78</v>
      </c>
      <c r="C823" s="4">
        <v>10</v>
      </c>
      <c r="D823" s="8">
        <v>2.7</v>
      </c>
      <c r="E823" s="4">
        <v>6</v>
      </c>
      <c r="F823" s="8">
        <v>2.13</v>
      </c>
      <c r="G823" s="4">
        <v>4</v>
      </c>
      <c r="H823" s="8">
        <v>4.71</v>
      </c>
      <c r="I823" s="4">
        <v>0</v>
      </c>
    </row>
    <row r="824" spans="1:9" x14ac:dyDescent="0.2">
      <c r="A824" s="2">
        <v>12</v>
      </c>
      <c r="B824" s="1" t="s">
        <v>87</v>
      </c>
      <c r="C824" s="4">
        <v>8</v>
      </c>
      <c r="D824" s="8">
        <v>2.16</v>
      </c>
      <c r="E824" s="4">
        <v>7</v>
      </c>
      <c r="F824" s="8">
        <v>2.48</v>
      </c>
      <c r="G824" s="4">
        <v>1</v>
      </c>
      <c r="H824" s="8">
        <v>1.18</v>
      </c>
      <c r="I824" s="4">
        <v>0</v>
      </c>
    </row>
    <row r="825" spans="1:9" x14ac:dyDescent="0.2">
      <c r="A825" s="2">
        <v>13</v>
      </c>
      <c r="B825" s="1" t="s">
        <v>86</v>
      </c>
      <c r="C825" s="4">
        <v>5</v>
      </c>
      <c r="D825" s="8">
        <v>1.35</v>
      </c>
      <c r="E825" s="4">
        <v>4</v>
      </c>
      <c r="F825" s="8">
        <v>1.42</v>
      </c>
      <c r="G825" s="4">
        <v>1</v>
      </c>
      <c r="H825" s="8">
        <v>1.18</v>
      </c>
      <c r="I825" s="4">
        <v>0</v>
      </c>
    </row>
    <row r="826" spans="1:9" x14ac:dyDescent="0.2">
      <c r="A826" s="2">
        <v>13</v>
      </c>
      <c r="B826" s="1" t="s">
        <v>88</v>
      </c>
      <c r="C826" s="4">
        <v>5</v>
      </c>
      <c r="D826" s="8">
        <v>1.35</v>
      </c>
      <c r="E826" s="4">
        <v>5</v>
      </c>
      <c r="F826" s="8">
        <v>1.77</v>
      </c>
      <c r="G826" s="4">
        <v>0</v>
      </c>
      <c r="H826" s="8">
        <v>0</v>
      </c>
      <c r="I826" s="4">
        <v>0</v>
      </c>
    </row>
    <row r="827" spans="1:9" x14ac:dyDescent="0.2">
      <c r="A827" s="2">
        <v>15</v>
      </c>
      <c r="B827" s="1" t="s">
        <v>100</v>
      </c>
      <c r="C827" s="4">
        <v>4</v>
      </c>
      <c r="D827" s="8">
        <v>1.08</v>
      </c>
      <c r="E827" s="4">
        <v>0</v>
      </c>
      <c r="F827" s="8">
        <v>0</v>
      </c>
      <c r="G827" s="4">
        <v>4</v>
      </c>
      <c r="H827" s="8">
        <v>4.71</v>
      </c>
      <c r="I827" s="4">
        <v>0</v>
      </c>
    </row>
    <row r="828" spans="1:9" x14ac:dyDescent="0.2">
      <c r="A828" s="2">
        <v>15</v>
      </c>
      <c r="B828" s="1" t="s">
        <v>92</v>
      </c>
      <c r="C828" s="4">
        <v>4</v>
      </c>
      <c r="D828" s="8">
        <v>1.08</v>
      </c>
      <c r="E828" s="4">
        <v>2</v>
      </c>
      <c r="F828" s="8">
        <v>0.71</v>
      </c>
      <c r="G828" s="4">
        <v>2</v>
      </c>
      <c r="H828" s="8">
        <v>2.35</v>
      </c>
      <c r="I828" s="4">
        <v>0</v>
      </c>
    </row>
    <row r="829" spans="1:9" x14ac:dyDescent="0.2">
      <c r="A829" s="2">
        <v>15</v>
      </c>
      <c r="B829" s="1" t="s">
        <v>82</v>
      </c>
      <c r="C829" s="4">
        <v>4</v>
      </c>
      <c r="D829" s="8">
        <v>1.08</v>
      </c>
      <c r="E829" s="4">
        <v>4</v>
      </c>
      <c r="F829" s="8">
        <v>1.42</v>
      </c>
      <c r="G829" s="4">
        <v>0</v>
      </c>
      <c r="H829" s="8">
        <v>0</v>
      </c>
      <c r="I829" s="4">
        <v>0</v>
      </c>
    </row>
    <row r="830" spans="1:9" x14ac:dyDescent="0.2">
      <c r="A830" s="2">
        <v>15</v>
      </c>
      <c r="B830" s="1" t="s">
        <v>83</v>
      </c>
      <c r="C830" s="4">
        <v>4</v>
      </c>
      <c r="D830" s="8">
        <v>1.08</v>
      </c>
      <c r="E830" s="4">
        <v>3</v>
      </c>
      <c r="F830" s="8">
        <v>1.06</v>
      </c>
      <c r="G830" s="4">
        <v>1</v>
      </c>
      <c r="H830" s="8">
        <v>1.18</v>
      </c>
      <c r="I830" s="4">
        <v>0</v>
      </c>
    </row>
    <row r="831" spans="1:9" x14ac:dyDescent="0.2">
      <c r="A831" s="2">
        <v>15</v>
      </c>
      <c r="B831" s="1" t="s">
        <v>90</v>
      </c>
      <c r="C831" s="4">
        <v>4</v>
      </c>
      <c r="D831" s="8">
        <v>1.08</v>
      </c>
      <c r="E831" s="4">
        <v>0</v>
      </c>
      <c r="F831" s="8">
        <v>0</v>
      </c>
      <c r="G831" s="4">
        <v>2</v>
      </c>
      <c r="H831" s="8">
        <v>2.35</v>
      </c>
      <c r="I831" s="4">
        <v>0</v>
      </c>
    </row>
    <row r="832" spans="1:9" x14ac:dyDescent="0.2">
      <c r="A832" s="2">
        <v>15</v>
      </c>
      <c r="B832" s="1" t="s">
        <v>102</v>
      </c>
      <c r="C832" s="4">
        <v>4</v>
      </c>
      <c r="D832" s="8">
        <v>1.08</v>
      </c>
      <c r="E832" s="4">
        <v>0</v>
      </c>
      <c r="F832" s="8">
        <v>0</v>
      </c>
      <c r="G832" s="4">
        <v>4</v>
      </c>
      <c r="H832" s="8">
        <v>4.71</v>
      </c>
      <c r="I832" s="4">
        <v>0</v>
      </c>
    </row>
    <row r="833" spans="1:9" x14ac:dyDescent="0.2">
      <c r="A833" s="1"/>
      <c r="C833" s="4"/>
      <c r="D833" s="8"/>
      <c r="E833" s="4"/>
      <c r="F833" s="8"/>
      <c r="G833" s="4"/>
      <c r="H833" s="8"/>
      <c r="I833" s="4"/>
    </row>
    <row r="834" spans="1:9" x14ac:dyDescent="0.2">
      <c r="A834" s="1" t="s">
        <v>37</v>
      </c>
      <c r="C834" s="4"/>
      <c r="D834" s="8"/>
      <c r="E834" s="4"/>
      <c r="F834" s="8"/>
      <c r="G834" s="4"/>
      <c r="H834" s="8"/>
      <c r="I834" s="4"/>
    </row>
    <row r="835" spans="1:9" x14ac:dyDescent="0.2">
      <c r="A835" s="2">
        <v>1</v>
      </c>
      <c r="B835" s="1" t="s">
        <v>99</v>
      </c>
      <c r="C835" s="4">
        <v>51</v>
      </c>
      <c r="D835" s="8">
        <v>15.5</v>
      </c>
      <c r="E835" s="4">
        <v>49</v>
      </c>
      <c r="F835" s="8">
        <v>20.5</v>
      </c>
      <c r="G835" s="4">
        <v>2</v>
      </c>
      <c r="H835" s="8">
        <v>2.2999999999999998</v>
      </c>
      <c r="I835" s="4">
        <v>0</v>
      </c>
    </row>
    <row r="836" spans="1:9" x14ac:dyDescent="0.2">
      <c r="A836" s="2">
        <v>2</v>
      </c>
      <c r="B836" s="1" t="s">
        <v>84</v>
      </c>
      <c r="C836" s="4">
        <v>36</v>
      </c>
      <c r="D836" s="8">
        <v>10.94</v>
      </c>
      <c r="E836" s="4">
        <v>34</v>
      </c>
      <c r="F836" s="8">
        <v>14.23</v>
      </c>
      <c r="G836" s="4">
        <v>2</v>
      </c>
      <c r="H836" s="8">
        <v>2.2999999999999998</v>
      </c>
      <c r="I836" s="4">
        <v>0</v>
      </c>
    </row>
    <row r="837" spans="1:9" x14ac:dyDescent="0.2">
      <c r="A837" s="2">
        <v>3</v>
      </c>
      <c r="B837" s="1" t="s">
        <v>85</v>
      </c>
      <c r="C837" s="4">
        <v>31</v>
      </c>
      <c r="D837" s="8">
        <v>9.42</v>
      </c>
      <c r="E837" s="4">
        <v>28</v>
      </c>
      <c r="F837" s="8">
        <v>11.72</v>
      </c>
      <c r="G837" s="4">
        <v>3</v>
      </c>
      <c r="H837" s="8">
        <v>3.45</v>
      </c>
      <c r="I837" s="4">
        <v>0</v>
      </c>
    </row>
    <row r="838" spans="1:9" x14ac:dyDescent="0.2">
      <c r="A838" s="2">
        <v>4</v>
      </c>
      <c r="B838" s="1" t="s">
        <v>77</v>
      </c>
      <c r="C838" s="4">
        <v>30</v>
      </c>
      <c r="D838" s="8">
        <v>9.1199999999999992</v>
      </c>
      <c r="E838" s="4">
        <v>25</v>
      </c>
      <c r="F838" s="8">
        <v>10.46</v>
      </c>
      <c r="G838" s="4">
        <v>5</v>
      </c>
      <c r="H838" s="8">
        <v>5.75</v>
      </c>
      <c r="I838" s="4">
        <v>0</v>
      </c>
    </row>
    <row r="839" spans="1:9" x14ac:dyDescent="0.2">
      <c r="A839" s="2">
        <v>5</v>
      </c>
      <c r="B839" s="1" t="s">
        <v>79</v>
      </c>
      <c r="C839" s="4">
        <v>21</v>
      </c>
      <c r="D839" s="8">
        <v>6.38</v>
      </c>
      <c r="E839" s="4">
        <v>10</v>
      </c>
      <c r="F839" s="8">
        <v>4.18</v>
      </c>
      <c r="G839" s="4">
        <v>11</v>
      </c>
      <c r="H839" s="8">
        <v>12.64</v>
      </c>
      <c r="I839" s="4">
        <v>0</v>
      </c>
    </row>
    <row r="840" spans="1:9" x14ac:dyDescent="0.2">
      <c r="A840" s="2">
        <v>6</v>
      </c>
      <c r="B840" s="1" t="s">
        <v>86</v>
      </c>
      <c r="C840" s="4">
        <v>17</v>
      </c>
      <c r="D840" s="8">
        <v>5.17</v>
      </c>
      <c r="E840" s="4">
        <v>13</v>
      </c>
      <c r="F840" s="8">
        <v>5.44</v>
      </c>
      <c r="G840" s="4">
        <v>4</v>
      </c>
      <c r="H840" s="8">
        <v>4.5999999999999996</v>
      </c>
      <c r="I840" s="4">
        <v>0</v>
      </c>
    </row>
    <row r="841" spans="1:9" x14ac:dyDescent="0.2">
      <c r="A841" s="2">
        <v>7</v>
      </c>
      <c r="B841" s="1" t="s">
        <v>69</v>
      </c>
      <c r="C841" s="4">
        <v>13</v>
      </c>
      <c r="D841" s="8">
        <v>3.95</v>
      </c>
      <c r="E841" s="4">
        <v>6</v>
      </c>
      <c r="F841" s="8">
        <v>2.5099999999999998</v>
      </c>
      <c r="G841" s="4">
        <v>7</v>
      </c>
      <c r="H841" s="8">
        <v>8.0500000000000007</v>
      </c>
      <c r="I841" s="4">
        <v>0</v>
      </c>
    </row>
    <row r="842" spans="1:9" x14ac:dyDescent="0.2">
      <c r="A842" s="2">
        <v>8</v>
      </c>
      <c r="B842" s="1" t="s">
        <v>70</v>
      </c>
      <c r="C842" s="4">
        <v>12</v>
      </c>
      <c r="D842" s="8">
        <v>3.65</v>
      </c>
      <c r="E842" s="4">
        <v>9</v>
      </c>
      <c r="F842" s="8">
        <v>3.77</v>
      </c>
      <c r="G842" s="4">
        <v>3</v>
      </c>
      <c r="H842" s="8">
        <v>3.45</v>
      </c>
      <c r="I842" s="4">
        <v>0</v>
      </c>
    </row>
    <row r="843" spans="1:9" x14ac:dyDescent="0.2">
      <c r="A843" s="2">
        <v>9</v>
      </c>
      <c r="B843" s="1" t="s">
        <v>76</v>
      </c>
      <c r="C843" s="4">
        <v>10</v>
      </c>
      <c r="D843" s="8">
        <v>3.04</v>
      </c>
      <c r="E843" s="4">
        <v>6</v>
      </c>
      <c r="F843" s="8">
        <v>2.5099999999999998</v>
      </c>
      <c r="G843" s="4">
        <v>4</v>
      </c>
      <c r="H843" s="8">
        <v>4.5999999999999996</v>
      </c>
      <c r="I843" s="4">
        <v>0</v>
      </c>
    </row>
    <row r="844" spans="1:9" x14ac:dyDescent="0.2">
      <c r="A844" s="2">
        <v>10</v>
      </c>
      <c r="B844" s="1" t="s">
        <v>78</v>
      </c>
      <c r="C844" s="4">
        <v>9</v>
      </c>
      <c r="D844" s="8">
        <v>2.74</v>
      </c>
      <c r="E844" s="4">
        <v>3</v>
      </c>
      <c r="F844" s="8">
        <v>1.26</v>
      </c>
      <c r="G844" s="4">
        <v>6</v>
      </c>
      <c r="H844" s="8">
        <v>6.9</v>
      </c>
      <c r="I844" s="4">
        <v>0</v>
      </c>
    </row>
    <row r="845" spans="1:9" x14ac:dyDescent="0.2">
      <c r="A845" s="2">
        <v>11</v>
      </c>
      <c r="B845" s="1" t="s">
        <v>71</v>
      </c>
      <c r="C845" s="4">
        <v>8</v>
      </c>
      <c r="D845" s="8">
        <v>2.4300000000000002</v>
      </c>
      <c r="E845" s="4">
        <v>5</v>
      </c>
      <c r="F845" s="8">
        <v>2.09</v>
      </c>
      <c r="G845" s="4">
        <v>3</v>
      </c>
      <c r="H845" s="8">
        <v>3.45</v>
      </c>
      <c r="I845" s="4">
        <v>0</v>
      </c>
    </row>
    <row r="846" spans="1:9" x14ac:dyDescent="0.2">
      <c r="A846" s="2">
        <v>12</v>
      </c>
      <c r="B846" s="1" t="s">
        <v>81</v>
      </c>
      <c r="C846" s="4">
        <v>7</v>
      </c>
      <c r="D846" s="8">
        <v>2.13</v>
      </c>
      <c r="E846" s="4">
        <v>3</v>
      </c>
      <c r="F846" s="8">
        <v>1.26</v>
      </c>
      <c r="G846" s="4">
        <v>4</v>
      </c>
      <c r="H846" s="8">
        <v>4.5999999999999996</v>
      </c>
      <c r="I846" s="4">
        <v>0</v>
      </c>
    </row>
    <row r="847" spans="1:9" x14ac:dyDescent="0.2">
      <c r="A847" s="2">
        <v>12</v>
      </c>
      <c r="B847" s="1" t="s">
        <v>101</v>
      </c>
      <c r="C847" s="4">
        <v>7</v>
      </c>
      <c r="D847" s="8">
        <v>2.13</v>
      </c>
      <c r="E847" s="4">
        <v>4</v>
      </c>
      <c r="F847" s="8">
        <v>1.67</v>
      </c>
      <c r="G847" s="4">
        <v>3</v>
      </c>
      <c r="H847" s="8">
        <v>3.45</v>
      </c>
      <c r="I847" s="4">
        <v>0</v>
      </c>
    </row>
    <row r="848" spans="1:9" x14ac:dyDescent="0.2">
      <c r="A848" s="2">
        <v>12</v>
      </c>
      <c r="B848" s="1" t="s">
        <v>87</v>
      </c>
      <c r="C848" s="4">
        <v>7</v>
      </c>
      <c r="D848" s="8">
        <v>2.13</v>
      </c>
      <c r="E848" s="4">
        <v>6</v>
      </c>
      <c r="F848" s="8">
        <v>2.5099999999999998</v>
      </c>
      <c r="G848" s="4">
        <v>1</v>
      </c>
      <c r="H848" s="8">
        <v>1.1499999999999999</v>
      </c>
      <c r="I848" s="4">
        <v>0</v>
      </c>
    </row>
    <row r="849" spans="1:9" x14ac:dyDescent="0.2">
      <c r="A849" s="2">
        <v>15</v>
      </c>
      <c r="B849" s="1" t="s">
        <v>83</v>
      </c>
      <c r="C849" s="4">
        <v>6</v>
      </c>
      <c r="D849" s="8">
        <v>1.82</v>
      </c>
      <c r="E849" s="4">
        <v>5</v>
      </c>
      <c r="F849" s="8">
        <v>2.09</v>
      </c>
      <c r="G849" s="4">
        <v>1</v>
      </c>
      <c r="H849" s="8">
        <v>1.1499999999999999</v>
      </c>
      <c r="I849" s="4">
        <v>0</v>
      </c>
    </row>
    <row r="850" spans="1:9" x14ac:dyDescent="0.2">
      <c r="A850" s="2">
        <v>16</v>
      </c>
      <c r="B850" s="1" t="s">
        <v>100</v>
      </c>
      <c r="C850" s="4">
        <v>5</v>
      </c>
      <c r="D850" s="8">
        <v>1.52</v>
      </c>
      <c r="E850" s="4">
        <v>2</v>
      </c>
      <c r="F850" s="8">
        <v>0.84</v>
      </c>
      <c r="G850" s="4">
        <v>3</v>
      </c>
      <c r="H850" s="8">
        <v>3.45</v>
      </c>
      <c r="I850" s="4">
        <v>0</v>
      </c>
    </row>
    <row r="851" spans="1:9" x14ac:dyDescent="0.2">
      <c r="A851" s="2">
        <v>16</v>
      </c>
      <c r="B851" s="1" t="s">
        <v>88</v>
      </c>
      <c r="C851" s="4">
        <v>5</v>
      </c>
      <c r="D851" s="8">
        <v>1.52</v>
      </c>
      <c r="E851" s="4">
        <v>4</v>
      </c>
      <c r="F851" s="8">
        <v>1.67</v>
      </c>
      <c r="G851" s="4">
        <v>1</v>
      </c>
      <c r="H851" s="8">
        <v>1.1499999999999999</v>
      </c>
      <c r="I851" s="4">
        <v>0</v>
      </c>
    </row>
    <row r="852" spans="1:9" x14ac:dyDescent="0.2">
      <c r="A852" s="2">
        <v>18</v>
      </c>
      <c r="B852" s="1" t="s">
        <v>92</v>
      </c>
      <c r="C852" s="4">
        <v>4</v>
      </c>
      <c r="D852" s="8">
        <v>1.22</v>
      </c>
      <c r="E852" s="4">
        <v>4</v>
      </c>
      <c r="F852" s="8">
        <v>1.67</v>
      </c>
      <c r="G852" s="4">
        <v>0</v>
      </c>
      <c r="H852" s="8">
        <v>0</v>
      </c>
      <c r="I852" s="4">
        <v>0</v>
      </c>
    </row>
    <row r="853" spans="1:9" x14ac:dyDescent="0.2">
      <c r="A853" s="2">
        <v>18</v>
      </c>
      <c r="B853" s="1" t="s">
        <v>74</v>
      </c>
      <c r="C853" s="4">
        <v>4</v>
      </c>
      <c r="D853" s="8">
        <v>1.22</v>
      </c>
      <c r="E853" s="4">
        <v>1</v>
      </c>
      <c r="F853" s="8">
        <v>0.42</v>
      </c>
      <c r="G853" s="4">
        <v>3</v>
      </c>
      <c r="H853" s="8">
        <v>3.45</v>
      </c>
      <c r="I853" s="4">
        <v>0</v>
      </c>
    </row>
    <row r="854" spans="1:9" x14ac:dyDescent="0.2">
      <c r="A854" s="2">
        <v>18</v>
      </c>
      <c r="B854" s="1" t="s">
        <v>89</v>
      </c>
      <c r="C854" s="4">
        <v>4</v>
      </c>
      <c r="D854" s="8">
        <v>1.22</v>
      </c>
      <c r="E854" s="4">
        <v>2</v>
      </c>
      <c r="F854" s="8">
        <v>0.84</v>
      </c>
      <c r="G854" s="4">
        <v>2</v>
      </c>
      <c r="H854" s="8">
        <v>2.2999999999999998</v>
      </c>
      <c r="I854" s="4">
        <v>0</v>
      </c>
    </row>
    <row r="855" spans="1:9" x14ac:dyDescent="0.2">
      <c r="A855" s="2">
        <v>18</v>
      </c>
      <c r="B855" s="1" t="s">
        <v>110</v>
      </c>
      <c r="C855" s="4">
        <v>4</v>
      </c>
      <c r="D855" s="8">
        <v>1.22</v>
      </c>
      <c r="E855" s="4">
        <v>3</v>
      </c>
      <c r="F855" s="8">
        <v>1.26</v>
      </c>
      <c r="G855" s="4">
        <v>1</v>
      </c>
      <c r="H855" s="8">
        <v>1.1499999999999999</v>
      </c>
      <c r="I855" s="4">
        <v>0</v>
      </c>
    </row>
    <row r="856" spans="1:9" x14ac:dyDescent="0.2">
      <c r="A856" s="2">
        <v>18</v>
      </c>
      <c r="B856" s="1" t="s">
        <v>95</v>
      </c>
      <c r="C856" s="4">
        <v>4</v>
      </c>
      <c r="D856" s="8">
        <v>1.22</v>
      </c>
      <c r="E856" s="4">
        <v>2</v>
      </c>
      <c r="F856" s="8">
        <v>0.84</v>
      </c>
      <c r="G856" s="4">
        <v>2</v>
      </c>
      <c r="H856" s="8">
        <v>2.2999999999999998</v>
      </c>
      <c r="I856" s="4">
        <v>0</v>
      </c>
    </row>
    <row r="857" spans="1:9" x14ac:dyDescent="0.2">
      <c r="A857" s="1"/>
      <c r="C857" s="4"/>
      <c r="D857" s="8"/>
      <c r="E857" s="4"/>
      <c r="F857" s="8"/>
      <c r="G857" s="4"/>
      <c r="H857" s="8"/>
      <c r="I857" s="4"/>
    </row>
    <row r="858" spans="1:9" x14ac:dyDescent="0.2">
      <c r="A858" s="1" t="s">
        <v>38</v>
      </c>
      <c r="C858" s="4"/>
      <c r="D858" s="8"/>
      <c r="E858" s="4"/>
      <c r="F858" s="8"/>
      <c r="G858" s="4"/>
      <c r="H858" s="8"/>
      <c r="I858" s="4"/>
    </row>
    <row r="859" spans="1:9" x14ac:dyDescent="0.2">
      <c r="A859" s="2">
        <v>1</v>
      </c>
      <c r="B859" s="1" t="s">
        <v>99</v>
      </c>
      <c r="C859" s="4">
        <v>38</v>
      </c>
      <c r="D859" s="8">
        <v>11.08</v>
      </c>
      <c r="E859" s="4">
        <v>32</v>
      </c>
      <c r="F859" s="8">
        <v>13.85</v>
      </c>
      <c r="G859" s="4">
        <v>6</v>
      </c>
      <c r="H859" s="8">
        <v>5.66</v>
      </c>
      <c r="I859" s="4">
        <v>0</v>
      </c>
    </row>
    <row r="860" spans="1:9" x14ac:dyDescent="0.2">
      <c r="A860" s="2">
        <v>2</v>
      </c>
      <c r="B860" s="1" t="s">
        <v>85</v>
      </c>
      <c r="C860" s="4">
        <v>35</v>
      </c>
      <c r="D860" s="8">
        <v>10.199999999999999</v>
      </c>
      <c r="E860" s="4">
        <v>32</v>
      </c>
      <c r="F860" s="8">
        <v>13.85</v>
      </c>
      <c r="G860" s="4">
        <v>0</v>
      </c>
      <c r="H860" s="8">
        <v>0</v>
      </c>
      <c r="I860" s="4">
        <v>0</v>
      </c>
    </row>
    <row r="861" spans="1:9" x14ac:dyDescent="0.2">
      <c r="A861" s="2">
        <v>3</v>
      </c>
      <c r="B861" s="1" t="s">
        <v>79</v>
      </c>
      <c r="C861" s="4">
        <v>29</v>
      </c>
      <c r="D861" s="8">
        <v>8.4499999999999993</v>
      </c>
      <c r="E861" s="4">
        <v>18</v>
      </c>
      <c r="F861" s="8">
        <v>7.79</v>
      </c>
      <c r="G861" s="4">
        <v>11</v>
      </c>
      <c r="H861" s="8">
        <v>10.38</v>
      </c>
      <c r="I861" s="4">
        <v>0</v>
      </c>
    </row>
    <row r="862" spans="1:9" x14ac:dyDescent="0.2">
      <c r="A862" s="2">
        <v>3</v>
      </c>
      <c r="B862" s="1" t="s">
        <v>84</v>
      </c>
      <c r="C862" s="4">
        <v>29</v>
      </c>
      <c r="D862" s="8">
        <v>8.4499999999999993</v>
      </c>
      <c r="E862" s="4">
        <v>26</v>
      </c>
      <c r="F862" s="8">
        <v>11.26</v>
      </c>
      <c r="G862" s="4">
        <v>3</v>
      </c>
      <c r="H862" s="8">
        <v>2.83</v>
      </c>
      <c r="I862" s="4">
        <v>0</v>
      </c>
    </row>
    <row r="863" spans="1:9" x14ac:dyDescent="0.2">
      <c r="A863" s="2">
        <v>5</v>
      </c>
      <c r="B863" s="1" t="s">
        <v>77</v>
      </c>
      <c r="C863" s="4">
        <v>24</v>
      </c>
      <c r="D863" s="8">
        <v>7</v>
      </c>
      <c r="E863" s="4">
        <v>22</v>
      </c>
      <c r="F863" s="8">
        <v>9.52</v>
      </c>
      <c r="G863" s="4">
        <v>2</v>
      </c>
      <c r="H863" s="8">
        <v>1.89</v>
      </c>
      <c r="I863" s="4">
        <v>0</v>
      </c>
    </row>
    <row r="864" spans="1:9" x14ac:dyDescent="0.2">
      <c r="A864" s="2">
        <v>6</v>
      </c>
      <c r="B864" s="1" t="s">
        <v>69</v>
      </c>
      <c r="C864" s="4">
        <v>20</v>
      </c>
      <c r="D864" s="8">
        <v>5.83</v>
      </c>
      <c r="E864" s="4">
        <v>6</v>
      </c>
      <c r="F864" s="8">
        <v>2.6</v>
      </c>
      <c r="G864" s="4">
        <v>14</v>
      </c>
      <c r="H864" s="8">
        <v>13.21</v>
      </c>
      <c r="I864" s="4">
        <v>0</v>
      </c>
    </row>
    <row r="865" spans="1:9" x14ac:dyDescent="0.2">
      <c r="A865" s="2">
        <v>7</v>
      </c>
      <c r="B865" s="1" t="s">
        <v>81</v>
      </c>
      <c r="C865" s="4">
        <v>15</v>
      </c>
      <c r="D865" s="8">
        <v>4.37</v>
      </c>
      <c r="E865" s="4">
        <v>13</v>
      </c>
      <c r="F865" s="8">
        <v>5.63</v>
      </c>
      <c r="G865" s="4">
        <v>2</v>
      </c>
      <c r="H865" s="8">
        <v>1.89</v>
      </c>
      <c r="I865" s="4">
        <v>0</v>
      </c>
    </row>
    <row r="866" spans="1:9" x14ac:dyDescent="0.2">
      <c r="A866" s="2">
        <v>8</v>
      </c>
      <c r="B866" s="1" t="s">
        <v>70</v>
      </c>
      <c r="C866" s="4">
        <v>14</v>
      </c>
      <c r="D866" s="8">
        <v>4.08</v>
      </c>
      <c r="E866" s="4">
        <v>13</v>
      </c>
      <c r="F866" s="8">
        <v>5.63</v>
      </c>
      <c r="G866" s="4">
        <v>1</v>
      </c>
      <c r="H866" s="8">
        <v>0.94</v>
      </c>
      <c r="I866" s="4">
        <v>0</v>
      </c>
    </row>
    <row r="867" spans="1:9" x14ac:dyDescent="0.2">
      <c r="A867" s="2">
        <v>9</v>
      </c>
      <c r="B867" s="1" t="s">
        <v>86</v>
      </c>
      <c r="C867" s="4">
        <v>13</v>
      </c>
      <c r="D867" s="8">
        <v>3.79</v>
      </c>
      <c r="E867" s="4">
        <v>9</v>
      </c>
      <c r="F867" s="8">
        <v>3.9</v>
      </c>
      <c r="G867" s="4">
        <v>4</v>
      </c>
      <c r="H867" s="8">
        <v>3.77</v>
      </c>
      <c r="I867" s="4">
        <v>0</v>
      </c>
    </row>
    <row r="868" spans="1:9" x14ac:dyDescent="0.2">
      <c r="A868" s="2">
        <v>10</v>
      </c>
      <c r="B868" s="1" t="s">
        <v>71</v>
      </c>
      <c r="C868" s="4">
        <v>12</v>
      </c>
      <c r="D868" s="8">
        <v>3.5</v>
      </c>
      <c r="E868" s="4">
        <v>4</v>
      </c>
      <c r="F868" s="8">
        <v>1.73</v>
      </c>
      <c r="G868" s="4">
        <v>8</v>
      </c>
      <c r="H868" s="8">
        <v>7.55</v>
      </c>
      <c r="I868" s="4">
        <v>0</v>
      </c>
    </row>
    <row r="869" spans="1:9" x14ac:dyDescent="0.2">
      <c r="A869" s="2">
        <v>11</v>
      </c>
      <c r="B869" s="1" t="s">
        <v>101</v>
      </c>
      <c r="C869" s="4">
        <v>11</v>
      </c>
      <c r="D869" s="8">
        <v>3.21</v>
      </c>
      <c r="E869" s="4">
        <v>9</v>
      </c>
      <c r="F869" s="8">
        <v>3.9</v>
      </c>
      <c r="G869" s="4">
        <v>2</v>
      </c>
      <c r="H869" s="8">
        <v>1.89</v>
      </c>
      <c r="I869" s="4">
        <v>0</v>
      </c>
    </row>
    <row r="870" spans="1:9" x14ac:dyDescent="0.2">
      <c r="A870" s="2">
        <v>12</v>
      </c>
      <c r="B870" s="1" t="s">
        <v>78</v>
      </c>
      <c r="C870" s="4">
        <v>10</v>
      </c>
      <c r="D870" s="8">
        <v>2.92</v>
      </c>
      <c r="E870" s="4">
        <v>6</v>
      </c>
      <c r="F870" s="8">
        <v>2.6</v>
      </c>
      <c r="G870" s="4">
        <v>4</v>
      </c>
      <c r="H870" s="8">
        <v>3.77</v>
      </c>
      <c r="I870" s="4">
        <v>0</v>
      </c>
    </row>
    <row r="871" spans="1:9" x14ac:dyDescent="0.2">
      <c r="A871" s="2">
        <v>13</v>
      </c>
      <c r="B871" s="1" t="s">
        <v>93</v>
      </c>
      <c r="C871" s="4">
        <v>7</v>
      </c>
      <c r="D871" s="8">
        <v>2.04</v>
      </c>
      <c r="E871" s="4">
        <v>3</v>
      </c>
      <c r="F871" s="8">
        <v>1.3</v>
      </c>
      <c r="G871" s="4">
        <v>4</v>
      </c>
      <c r="H871" s="8">
        <v>3.77</v>
      </c>
      <c r="I871" s="4">
        <v>0</v>
      </c>
    </row>
    <row r="872" spans="1:9" x14ac:dyDescent="0.2">
      <c r="A872" s="2">
        <v>14</v>
      </c>
      <c r="B872" s="1" t="s">
        <v>100</v>
      </c>
      <c r="C872" s="4">
        <v>6</v>
      </c>
      <c r="D872" s="8">
        <v>1.75</v>
      </c>
      <c r="E872" s="4">
        <v>1</v>
      </c>
      <c r="F872" s="8">
        <v>0.43</v>
      </c>
      <c r="G872" s="4">
        <v>5</v>
      </c>
      <c r="H872" s="8">
        <v>4.72</v>
      </c>
      <c r="I872" s="4">
        <v>0</v>
      </c>
    </row>
    <row r="873" spans="1:9" x14ac:dyDescent="0.2">
      <c r="A873" s="2">
        <v>14</v>
      </c>
      <c r="B873" s="1" t="s">
        <v>76</v>
      </c>
      <c r="C873" s="4">
        <v>6</v>
      </c>
      <c r="D873" s="8">
        <v>1.75</v>
      </c>
      <c r="E873" s="4">
        <v>5</v>
      </c>
      <c r="F873" s="8">
        <v>2.16</v>
      </c>
      <c r="G873" s="4">
        <v>1</v>
      </c>
      <c r="H873" s="8">
        <v>0.94</v>
      </c>
      <c r="I873" s="4">
        <v>0</v>
      </c>
    </row>
    <row r="874" spans="1:9" x14ac:dyDescent="0.2">
      <c r="A874" s="2">
        <v>14</v>
      </c>
      <c r="B874" s="1" t="s">
        <v>87</v>
      </c>
      <c r="C874" s="4">
        <v>6</v>
      </c>
      <c r="D874" s="8">
        <v>1.75</v>
      </c>
      <c r="E874" s="4">
        <v>5</v>
      </c>
      <c r="F874" s="8">
        <v>2.16</v>
      </c>
      <c r="G874" s="4">
        <v>1</v>
      </c>
      <c r="H874" s="8">
        <v>0.94</v>
      </c>
      <c r="I874" s="4">
        <v>0</v>
      </c>
    </row>
    <row r="875" spans="1:9" x14ac:dyDescent="0.2">
      <c r="A875" s="2">
        <v>17</v>
      </c>
      <c r="B875" s="1" t="s">
        <v>94</v>
      </c>
      <c r="C875" s="4">
        <v>5</v>
      </c>
      <c r="D875" s="8">
        <v>1.46</v>
      </c>
      <c r="E875" s="4">
        <v>3</v>
      </c>
      <c r="F875" s="8">
        <v>1.3</v>
      </c>
      <c r="G875" s="4">
        <v>2</v>
      </c>
      <c r="H875" s="8">
        <v>1.89</v>
      </c>
      <c r="I875" s="4">
        <v>0</v>
      </c>
    </row>
    <row r="876" spans="1:9" x14ac:dyDescent="0.2">
      <c r="A876" s="2">
        <v>17</v>
      </c>
      <c r="B876" s="1" t="s">
        <v>80</v>
      </c>
      <c r="C876" s="4">
        <v>5</v>
      </c>
      <c r="D876" s="8">
        <v>1.46</v>
      </c>
      <c r="E876" s="4">
        <v>1</v>
      </c>
      <c r="F876" s="8">
        <v>0.43</v>
      </c>
      <c r="G876" s="4">
        <v>4</v>
      </c>
      <c r="H876" s="8">
        <v>3.77</v>
      </c>
      <c r="I876" s="4">
        <v>0</v>
      </c>
    </row>
    <row r="877" spans="1:9" x14ac:dyDescent="0.2">
      <c r="A877" s="2">
        <v>17</v>
      </c>
      <c r="B877" s="1" t="s">
        <v>111</v>
      </c>
      <c r="C877" s="4">
        <v>5</v>
      </c>
      <c r="D877" s="8">
        <v>1.46</v>
      </c>
      <c r="E877" s="4">
        <v>1</v>
      </c>
      <c r="F877" s="8">
        <v>0.43</v>
      </c>
      <c r="G877" s="4">
        <v>3</v>
      </c>
      <c r="H877" s="8">
        <v>2.83</v>
      </c>
      <c r="I877" s="4">
        <v>0</v>
      </c>
    </row>
    <row r="878" spans="1:9" x14ac:dyDescent="0.2">
      <c r="A878" s="2">
        <v>20</v>
      </c>
      <c r="B878" s="1" t="s">
        <v>74</v>
      </c>
      <c r="C878" s="4">
        <v>4</v>
      </c>
      <c r="D878" s="8">
        <v>1.17</v>
      </c>
      <c r="E878" s="4">
        <v>1</v>
      </c>
      <c r="F878" s="8">
        <v>0.43</v>
      </c>
      <c r="G878" s="4">
        <v>3</v>
      </c>
      <c r="H878" s="8">
        <v>2.83</v>
      </c>
      <c r="I878" s="4">
        <v>0</v>
      </c>
    </row>
    <row r="879" spans="1:9" x14ac:dyDescent="0.2">
      <c r="A879" s="1"/>
      <c r="C879" s="4"/>
      <c r="D879" s="8"/>
      <c r="E879" s="4"/>
      <c r="F879" s="8"/>
      <c r="G879" s="4"/>
      <c r="H879" s="8"/>
      <c r="I879" s="4"/>
    </row>
    <row r="880" spans="1:9" x14ac:dyDescent="0.2">
      <c r="A880" s="1" t="s">
        <v>39</v>
      </c>
      <c r="C880" s="4"/>
      <c r="D880" s="8"/>
      <c r="E880" s="4"/>
      <c r="F880" s="8"/>
      <c r="G880" s="4"/>
      <c r="H880" s="8"/>
      <c r="I880" s="4"/>
    </row>
    <row r="881" spans="1:9" x14ac:dyDescent="0.2">
      <c r="A881" s="2">
        <v>1</v>
      </c>
      <c r="B881" s="1" t="s">
        <v>85</v>
      </c>
      <c r="C881" s="4">
        <v>81</v>
      </c>
      <c r="D881" s="8">
        <v>10.18</v>
      </c>
      <c r="E881" s="4">
        <v>69</v>
      </c>
      <c r="F881" s="8">
        <v>15.79</v>
      </c>
      <c r="G881" s="4">
        <v>12</v>
      </c>
      <c r="H881" s="8">
        <v>3.49</v>
      </c>
      <c r="I881" s="4">
        <v>0</v>
      </c>
    </row>
    <row r="882" spans="1:9" x14ac:dyDescent="0.2">
      <c r="A882" s="2">
        <v>2</v>
      </c>
      <c r="B882" s="1" t="s">
        <v>81</v>
      </c>
      <c r="C882" s="4">
        <v>80</v>
      </c>
      <c r="D882" s="8">
        <v>10.050000000000001</v>
      </c>
      <c r="E882" s="4">
        <v>56</v>
      </c>
      <c r="F882" s="8">
        <v>12.81</v>
      </c>
      <c r="G882" s="4">
        <v>24</v>
      </c>
      <c r="H882" s="8">
        <v>6.98</v>
      </c>
      <c r="I882" s="4">
        <v>0</v>
      </c>
    </row>
    <row r="883" spans="1:9" x14ac:dyDescent="0.2">
      <c r="A883" s="2">
        <v>3</v>
      </c>
      <c r="B883" s="1" t="s">
        <v>69</v>
      </c>
      <c r="C883" s="4">
        <v>79</v>
      </c>
      <c r="D883" s="8">
        <v>9.92</v>
      </c>
      <c r="E883" s="4">
        <v>28</v>
      </c>
      <c r="F883" s="8">
        <v>6.41</v>
      </c>
      <c r="G883" s="4">
        <v>51</v>
      </c>
      <c r="H883" s="8">
        <v>14.83</v>
      </c>
      <c r="I883" s="4">
        <v>0</v>
      </c>
    </row>
    <row r="884" spans="1:9" x14ac:dyDescent="0.2">
      <c r="A884" s="2">
        <v>4</v>
      </c>
      <c r="B884" s="1" t="s">
        <v>84</v>
      </c>
      <c r="C884" s="4">
        <v>74</v>
      </c>
      <c r="D884" s="8">
        <v>9.3000000000000007</v>
      </c>
      <c r="E884" s="4">
        <v>67</v>
      </c>
      <c r="F884" s="8">
        <v>15.33</v>
      </c>
      <c r="G884" s="4">
        <v>7</v>
      </c>
      <c r="H884" s="8">
        <v>2.0299999999999998</v>
      </c>
      <c r="I884" s="4">
        <v>0</v>
      </c>
    </row>
    <row r="885" spans="1:9" x14ac:dyDescent="0.2">
      <c r="A885" s="2">
        <v>5</v>
      </c>
      <c r="B885" s="1" t="s">
        <v>70</v>
      </c>
      <c r="C885" s="4">
        <v>48</v>
      </c>
      <c r="D885" s="8">
        <v>6.03</v>
      </c>
      <c r="E885" s="4">
        <v>25</v>
      </c>
      <c r="F885" s="8">
        <v>5.72</v>
      </c>
      <c r="G885" s="4">
        <v>23</v>
      </c>
      <c r="H885" s="8">
        <v>6.69</v>
      </c>
      <c r="I885" s="4">
        <v>0</v>
      </c>
    </row>
    <row r="886" spans="1:9" x14ac:dyDescent="0.2">
      <c r="A886" s="2">
        <v>6</v>
      </c>
      <c r="B886" s="1" t="s">
        <v>71</v>
      </c>
      <c r="C886" s="4">
        <v>40</v>
      </c>
      <c r="D886" s="8">
        <v>5.03</v>
      </c>
      <c r="E886" s="4">
        <v>13</v>
      </c>
      <c r="F886" s="8">
        <v>2.97</v>
      </c>
      <c r="G886" s="4">
        <v>27</v>
      </c>
      <c r="H886" s="8">
        <v>7.85</v>
      </c>
      <c r="I886" s="4">
        <v>0</v>
      </c>
    </row>
    <row r="887" spans="1:9" x14ac:dyDescent="0.2">
      <c r="A887" s="2">
        <v>7</v>
      </c>
      <c r="B887" s="1" t="s">
        <v>79</v>
      </c>
      <c r="C887" s="4">
        <v>39</v>
      </c>
      <c r="D887" s="8">
        <v>4.9000000000000004</v>
      </c>
      <c r="E887" s="4">
        <v>15</v>
      </c>
      <c r="F887" s="8">
        <v>3.43</v>
      </c>
      <c r="G887" s="4">
        <v>24</v>
      </c>
      <c r="H887" s="8">
        <v>6.98</v>
      </c>
      <c r="I887" s="4">
        <v>0</v>
      </c>
    </row>
    <row r="888" spans="1:9" x14ac:dyDescent="0.2">
      <c r="A888" s="2">
        <v>8</v>
      </c>
      <c r="B888" s="1" t="s">
        <v>86</v>
      </c>
      <c r="C888" s="4">
        <v>37</v>
      </c>
      <c r="D888" s="8">
        <v>4.6500000000000004</v>
      </c>
      <c r="E888" s="4">
        <v>26</v>
      </c>
      <c r="F888" s="8">
        <v>5.95</v>
      </c>
      <c r="G888" s="4">
        <v>10</v>
      </c>
      <c r="H888" s="8">
        <v>2.91</v>
      </c>
      <c r="I888" s="4">
        <v>0</v>
      </c>
    </row>
    <row r="889" spans="1:9" x14ac:dyDescent="0.2">
      <c r="A889" s="2">
        <v>9</v>
      </c>
      <c r="B889" s="1" t="s">
        <v>77</v>
      </c>
      <c r="C889" s="4">
        <v>27</v>
      </c>
      <c r="D889" s="8">
        <v>3.39</v>
      </c>
      <c r="E889" s="4">
        <v>19</v>
      </c>
      <c r="F889" s="8">
        <v>4.3499999999999996</v>
      </c>
      <c r="G889" s="4">
        <v>8</v>
      </c>
      <c r="H889" s="8">
        <v>2.33</v>
      </c>
      <c r="I889" s="4">
        <v>0</v>
      </c>
    </row>
    <row r="890" spans="1:9" x14ac:dyDescent="0.2">
      <c r="A890" s="2">
        <v>10</v>
      </c>
      <c r="B890" s="1" t="s">
        <v>78</v>
      </c>
      <c r="C890" s="4">
        <v>24</v>
      </c>
      <c r="D890" s="8">
        <v>3.02</v>
      </c>
      <c r="E890" s="4">
        <v>15</v>
      </c>
      <c r="F890" s="8">
        <v>3.43</v>
      </c>
      <c r="G890" s="4">
        <v>9</v>
      </c>
      <c r="H890" s="8">
        <v>2.62</v>
      </c>
      <c r="I890" s="4">
        <v>0</v>
      </c>
    </row>
    <row r="891" spans="1:9" x14ac:dyDescent="0.2">
      <c r="A891" s="2">
        <v>11</v>
      </c>
      <c r="B891" s="1" t="s">
        <v>87</v>
      </c>
      <c r="C891" s="4">
        <v>21</v>
      </c>
      <c r="D891" s="8">
        <v>2.64</v>
      </c>
      <c r="E891" s="4">
        <v>19</v>
      </c>
      <c r="F891" s="8">
        <v>4.3499999999999996</v>
      </c>
      <c r="G891" s="4">
        <v>2</v>
      </c>
      <c r="H891" s="8">
        <v>0.57999999999999996</v>
      </c>
      <c r="I891" s="4">
        <v>0</v>
      </c>
    </row>
    <row r="892" spans="1:9" x14ac:dyDescent="0.2">
      <c r="A892" s="2">
        <v>12</v>
      </c>
      <c r="B892" s="1" t="s">
        <v>83</v>
      </c>
      <c r="C892" s="4">
        <v>18</v>
      </c>
      <c r="D892" s="8">
        <v>2.2599999999999998</v>
      </c>
      <c r="E892" s="4">
        <v>6</v>
      </c>
      <c r="F892" s="8">
        <v>1.37</v>
      </c>
      <c r="G892" s="4">
        <v>12</v>
      </c>
      <c r="H892" s="8">
        <v>3.49</v>
      </c>
      <c r="I892" s="4">
        <v>0</v>
      </c>
    </row>
    <row r="893" spans="1:9" x14ac:dyDescent="0.2">
      <c r="A893" s="2">
        <v>12</v>
      </c>
      <c r="B893" s="1" t="s">
        <v>90</v>
      </c>
      <c r="C893" s="4">
        <v>18</v>
      </c>
      <c r="D893" s="8">
        <v>2.2599999999999998</v>
      </c>
      <c r="E893" s="4">
        <v>0</v>
      </c>
      <c r="F893" s="8">
        <v>0</v>
      </c>
      <c r="G893" s="4">
        <v>8</v>
      </c>
      <c r="H893" s="8">
        <v>2.33</v>
      </c>
      <c r="I893" s="4">
        <v>0</v>
      </c>
    </row>
    <row r="894" spans="1:9" x14ac:dyDescent="0.2">
      <c r="A894" s="2">
        <v>14</v>
      </c>
      <c r="B894" s="1" t="s">
        <v>82</v>
      </c>
      <c r="C894" s="4">
        <v>15</v>
      </c>
      <c r="D894" s="8">
        <v>1.88</v>
      </c>
      <c r="E894" s="4">
        <v>8</v>
      </c>
      <c r="F894" s="8">
        <v>1.83</v>
      </c>
      <c r="G894" s="4">
        <v>7</v>
      </c>
      <c r="H894" s="8">
        <v>2.0299999999999998</v>
      </c>
      <c r="I894" s="4">
        <v>0</v>
      </c>
    </row>
    <row r="895" spans="1:9" x14ac:dyDescent="0.2">
      <c r="A895" s="2">
        <v>15</v>
      </c>
      <c r="B895" s="1" t="s">
        <v>88</v>
      </c>
      <c r="C895" s="4">
        <v>14</v>
      </c>
      <c r="D895" s="8">
        <v>1.76</v>
      </c>
      <c r="E895" s="4">
        <v>7</v>
      </c>
      <c r="F895" s="8">
        <v>1.6</v>
      </c>
      <c r="G895" s="4">
        <v>7</v>
      </c>
      <c r="H895" s="8">
        <v>2.0299999999999998</v>
      </c>
      <c r="I895" s="4">
        <v>0</v>
      </c>
    </row>
    <row r="896" spans="1:9" x14ac:dyDescent="0.2">
      <c r="A896" s="2">
        <v>16</v>
      </c>
      <c r="B896" s="1" t="s">
        <v>73</v>
      </c>
      <c r="C896" s="4">
        <v>10</v>
      </c>
      <c r="D896" s="8">
        <v>1.26</v>
      </c>
      <c r="E896" s="4">
        <v>5</v>
      </c>
      <c r="F896" s="8">
        <v>1.1399999999999999</v>
      </c>
      <c r="G896" s="4">
        <v>5</v>
      </c>
      <c r="H896" s="8">
        <v>1.45</v>
      </c>
      <c r="I896" s="4">
        <v>0</v>
      </c>
    </row>
    <row r="897" spans="1:9" x14ac:dyDescent="0.2">
      <c r="A897" s="2">
        <v>16</v>
      </c>
      <c r="B897" s="1" t="s">
        <v>75</v>
      </c>
      <c r="C897" s="4">
        <v>10</v>
      </c>
      <c r="D897" s="8">
        <v>1.26</v>
      </c>
      <c r="E897" s="4">
        <v>4</v>
      </c>
      <c r="F897" s="8">
        <v>0.92</v>
      </c>
      <c r="G897" s="4">
        <v>6</v>
      </c>
      <c r="H897" s="8">
        <v>1.74</v>
      </c>
      <c r="I897" s="4">
        <v>0</v>
      </c>
    </row>
    <row r="898" spans="1:9" x14ac:dyDescent="0.2">
      <c r="A898" s="2">
        <v>16</v>
      </c>
      <c r="B898" s="1" t="s">
        <v>95</v>
      </c>
      <c r="C898" s="4">
        <v>10</v>
      </c>
      <c r="D898" s="8">
        <v>1.26</v>
      </c>
      <c r="E898" s="4">
        <v>7</v>
      </c>
      <c r="F898" s="8">
        <v>1.6</v>
      </c>
      <c r="G898" s="4">
        <v>3</v>
      </c>
      <c r="H898" s="8">
        <v>0.87</v>
      </c>
      <c r="I898" s="4">
        <v>0</v>
      </c>
    </row>
    <row r="899" spans="1:9" x14ac:dyDescent="0.2">
      <c r="A899" s="2">
        <v>19</v>
      </c>
      <c r="B899" s="1" t="s">
        <v>94</v>
      </c>
      <c r="C899" s="4">
        <v>9</v>
      </c>
      <c r="D899" s="8">
        <v>1.1299999999999999</v>
      </c>
      <c r="E899" s="4">
        <v>4</v>
      </c>
      <c r="F899" s="8">
        <v>0.92</v>
      </c>
      <c r="G899" s="4">
        <v>5</v>
      </c>
      <c r="H899" s="8">
        <v>1.45</v>
      </c>
      <c r="I899" s="4">
        <v>0</v>
      </c>
    </row>
    <row r="900" spans="1:9" x14ac:dyDescent="0.2">
      <c r="A900" s="2">
        <v>19</v>
      </c>
      <c r="B900" s="1" t="s">
        <v>76</v>
      </c>
      <c r="C900" s="4">
        <v>9</v>
      </c>
      <c r="D900" s="8">
        <v>1.1299999999999999</v>
      </c>
      <c r="E900" s="4">
        <v>4</v>
      </c>
      <c r="F900" s="8">
        <v>0.92</v>
      </c>
      <c r="G900" s="4">
        <v>5</v>
      </c>
      <c r="H900" s="8">
        <v>1.45</v>
      </c>
      <c r="I900" s="4">
        <v>0</v>
      </c>
    </row>
    <row r="901" spans="1:9" x14ac:dyDescent="0.2">
      <c r="A901" s="1"/>
      <c r="C901" s="4"/>
      <c r="D901" s="8"/>
      <c r="E901" s="4"/>
      <c r="F901" s="8"/>
      <c r="G901" s="4"/>
      <c r="H901" s="8"/>
      <c r="I901" s="4"/>
    </row>
    <row r="902" spans="1:9" x14ac:dyDescent="0.2">
      <c r="A902" s="1" t="s">
        <v>40</v>
      </c>
      <c r="C902" s="4"/>
      <c r="D902" s="8"/>
      <c r="E902" s="4"/>
      <c r="F902" s="8"/>
      <c r="G902" s="4"/>
      <c r="H902" s="8"/>
      <c r="I902" s="4"/>
    </row>
    <row r="903" spans="1:9" x14ac:dyDescent="0.2">
      <c r="A903" s="2">
        <v>1</v>
      </c>
      <c r="B903" s="1" t="s">
        <v>85</v>
      </c>
      <c r="C903" s="4">
        <v>95</v>
      </c>
      <c r="D903" s="8">
        <v>11.3</v>
      </c>
      <c r="E903" s="4">
        <v>82</v>
      </c>
      <c r="F903" s="8">
        <v>20.5</v>
      </c>
      <c r="G903" s="4">
        <v>13</v>
      </c>
      <c r="H903" s="8">
        <v>2.97</v>
      </c>
      <c r="I903" s="4">
        <v>0</v>
      </c>
    </row>
    <row r="904" spans="1:9" x14ac:dyDescent="0.2">
      <c r="A904" s="2">
        <v>2</v>
      </c>
      <c r="B904" s="1" t="s">
        <v>84</v>
      </c>
      <c r="C904" s="4">
        <v>70</v>
      </c>
      <c r="D904" s="8">
        <v>8.32</v>
      </c>
      <c r="E904" s="4">
        <v>60</v>
      </c>
      <c r="F904" s="8">
        <v>15</v>
      </c>
      <c r="G904" s="4">
        <v>10</v>
      </c>
      <c r="H904" s="8">
        <v>2.2799999999999998</v>
      </c>
      <c r="I904" s="4">
        <v>0</v>
      </c>
    </row>
    <row r="905" spans="1:9" x14ac:dyDescent="0.2">
      <c r="A905" s="2">
        <v>3</v>
      </c>
      <c r="B905" s="1" t="s">
        <v>79</v>
      </c>
      <c r="C905" s="4">
        <v>51</v>
      </c>
      <c r="D905" s="8">
        <v>6.06</v>
      </c>
      <c r="E905" s="4">
        <v>23</v>
      </c>
      <c r="F905" s="8">
        <v>5.75</v>
      </c>
      <c r="G905" s="4">
        <v>28</v>
      </c>
      <c r="H905" s="8">
        <v>6.39</v>
      </c>
      <c r="I905" s="4">
        <v>0</v>
      </c>
    </row>
    <row r="906" spans="1:9" x14ac:dyDescent="0.2">
      <c r="A906" s="2">
        <v>4</v>
      </c>
      <c r="B906" s="1" t="s">
        <v>69</v>
      </c>
      <c r="C906" s="4">
        <v>46</v>
      </c>
      <c r="D906" s="8">
        <v>5.47</v>
      </c>
      <c r="E906" s="4">
        <v>8</v>
      </c>
      <c r="F906" s="8">
        <v>2</v>
      </c>
      <c r="G906" s="4">
        <v>38</v>
      </c>
      <c r="H906" s="8">
        <v>8.68</v>
      </c>
      <c r="I906" s="4">
        <v>0</v>
      </c>
    </row>
    <row r="907" spans="1:9" x14ac:dyDescent="0.2">
      <c r="A907" s="2">
        <v>5</v>
      </c>
      <c r="B907" s="1" t="s">
        <v>81</v>
      </c>
      <c r="C907" s="4">
        <v>44</v>
      </c>
      <c r="D907" s="8">
        <v>5.23</v>
      </c>
      <c r="E907" s="4">
        <v>14</v>
      </c>
      <c r="F907" s="8">
        <v>3.5</v>
      </c>
      <c r="G907" s="4">
        <v>30</v>
      </c>
      <c r="H907" s="8">
        <v>6.85</v>
      </c>
      <c r="I907" s="4">
        <v>0</v>
      </c>
    </row>
    <row r="908" spans="1:9" x14ac:dyDescent="0.2">
      <c r="A908" s="2">
        <v>6</v>
      </c>
      <c r="B908" s="1" t="s">
        <v>70</v>
      </c>
      <c r="C908" s="4">
        <v>43</v>
      </c>
      <c r="D908" s="8">
        <v>5.1100000000000003</v>
      </c>
      <c r="E908" s="4">
        <v>23</v>
      </c>
      <c r="F908" s="8">
        <v>5.75</v>
      </c>
      <c r="G908" s="4">
        <v>20</v>
      </c>
      <c r="H908" s="8">
        <v>4.57</v>
      </c>
      <c r="I908" s="4">
        <v>0</v>
      </c>
    </row>
    <row r="909" spans="1:9" x14ac:dyDescent="0.2">
      <c r="A909" s="2">
        <v>7</v>
      </c>
      <c r="B909" s="1" t="s">
        <v>87</v>
      </c>
      <c r="C909" s="4">
        <v>41</v>
      </c>
      <c r="D909" s="8">
        <v>4.88</v>
      </c>
      <c r="E909" s="4">
        <v>35</v>
      </c>
      <c r="F909" s="8">
        <v>8.75</v>
      </c>
      <c r="G909" s="4">
        <v>6</v>
      </c>
      <c r="H909" s="8">
        <v>1.37</v>
      </c>
      <c r="I909" s="4">
        <v>0</v>
      </c>
    </row>
    <row r="910" spans="1:9" x14ac:dyDescent="0.2">
      <c r="A910" s="2">
        <v>8</v>
      </c>
      <c r="B910" s="1" t="s">
        <v>77</v>
      </c>
      <c r="C910" s="4">
        <v>37</v>
      </c>
      <c r="D910" s="8">
        <v>4.4000000000000004</v>
      </c>
      <c r="E910" s="4">
        <v>21</v>
      </c>
      <c r="F910" s="8">
        <v>5.25</v>
      </c>
      <c r="G910" s="4">
        <v>16</v>
      </c>
      <c r="H910" s="8">
        <v>3.65</v>
      </c>
      <c r="I910" s="4">
        <v>0</v>
      </c>
    </row>
    <row r="911" spans="1:9" x14ac:dyDescent="0.2">
      <c r="A911" s="2">
        <v>9</v>
      </c>
      <c r="B911" s="1" t="s">
        <v>71</v>
      </c>
      <c r="C911" s="4">
        <v>34</v>
      </c>
      <c r="D911" s="8">
        <v>4.04</v>
      </c>
      <c r="E911" s="4">
        <v>8</v>
      </c>
      <c r="F911" s="8">
        <v>2</v>
      </c>
      <c r="G911" s="4">
        <v>26</v>
      </c>
      <c r="H911" s="8">
        <v>5.94</v>
      </c>
      <c r="I911" s="4">
        <v>0</v>
      </c>
    </row>
    <row r="912" spans="1:9" x14ac:dyDescent="0.2">
      <c r="A912" s="2">
        <v>10</v>
      </c>
      <c r="B912" s="1" t="s">
        <v>86</v>
      </c>
      <c r="C912" s="4">
        <v>33</v>
      </c>
      <c r="D912" s="8">
        <v>3.92</v>
      </c>
      <c r="E912" s="4">
        <v>21</v>
      </c>
      <c r="F912" s="8">
        <v>5.25</v>
      </c>
      <c r="G912" s="4">
        <v>12</v>
      </c>
      <c r="H912" s="8">
        <v>2.74</v>
      </c>
      <c r="I912" s="4">
        <v>0</v>
      </c>
    </row>
    <row r="913" spans="1:9" x14ac:dyDescent="0.2">
      <c r="A913" s="2">
        <v>11</v>
      </c>
      <c r="B913" s="1" t="s">
        <v>78</v>
      </c>
      <c r="C913" s="4">
        <v>31</v>
      </c>
      <c r="D913" s="8">
        <v>3.69</v>
      </c>
      <c r="E913" s="4">
        <v>14</v>
      </c>
      <c r="F913" s="8">
        <v>3.5</v>
      </c>
      <c r="G913" s="4">
        <v>17</v>
      </c>
      <c r="H913" s="8">
        <v>3.88</v>
      </c>
      <c r="I913" s="4">
        <v>0</v>
      </c>
    </row>
    <row r="914" spans="1:9" x14ac:dyDescent="0.2">
      <c r="A914" s="2">
        <v>12</v>
      </c>
      <c r="B914" s="1" t="s">
        <v>83</v>
      </c>
      <c r="C914" s="4">
        <v>23</v>
      </c>
      <c r="D914" s="8">
        <v>2.73</v>
      </c>
      <c r="E914" s="4">
        <v>7</v>
      </c>
      <c r="F914" s="8">
        <v>1.75</v>
      </c>
      <c r="G914" s="4">
        <v>16</v>
      </c>
      <c r="H914" s="8">
        <v>3.65</v>
      </c>
      <c r="I914" s="4">
        <v>0</v>
      </c>
    </row>
    <row r="915" spans="1:9" x14ac:dyDescent="0.2">
      <c r="A915" s="2">
        <v>13</v>
      </c>
      <c r="B915" s="1" t="s">
        <v>80</v>
      </c>
      <c r="C915" s="4">
        <v>21</v>
      </c>
      <c r="D915" s="8">
        <v>2.5</v>
      </c>
      <c r="E915" s="4">
        <v>3</v>
      </c>
      <c r="F915" s="8">
        <v>0.75</v>
      </c>
      <c r="G915" s="4">
        <v>18</v>
      </c>
      <c r="H915" s="8">
        <v>4.1100000000000003</v>
      </c>
      <c r="I915" s="4">
        <v>0</v>
      </c>
    </row>
    <row r="916" spans="1:9" x14ac:dyDescent="0.2">
      <c r="A916" s="2">
        <v>14</v>
      </c>
      <c r="B916" s="1" t="s">
        <v>76</v>
      </c>
      <c r="C916" s="4">
        <v>20</v>
      </c>
      <c r="D916" s="8">
        <v>2.38</v>
      </c>
      <c r="E916" s="4">
        <v>4</v>
      </c>
      <c r="F916" s="8">
        <v>1</v>
      </c>
      <c r="G916" s="4">
        <v>16</v>
      </c>
      <c r="H916" s="8">
        <v>3.65</v>
      </c>
      <c r="I916" s="4">
        <v>0</v>
      </c>
    </row>
    <row r="917" spans="1:9" x14ac:dyDescent="0.2">
      <c r="A917" s="2">
        <v>15</v>
      </c>
      <c r="B917" s="1" t="s">
        <v>82</v>
      </c>
      <c r="C917" s="4">
        <v>17</v>
      </c>
      <c r="D917" s="8">
        <v>2.02</v>
      </c>
      <c r="E917" s="4">
        <v>9</v>
      </c>
      <c r="F917" s="8">
        <v>2.25</v>
      </c>
      <c r="G917" s="4">
        <v>8</v>
      </c>
      <c r="H917" s="8">
        <v>1.83</v>
      </c>
      <c r="I917" s="4">
        <v>0</v>
      </c>
    </row>
    <row r="918" spans="1:9" x14ac:dyDescent="0.2">
      <c r="A918" s="2">
        <v>16</v>
      </c>
      <c r="B918" s="1" t="s">
        <v>73</v>
      </c>
      <c r="C918" s="4">
        <v>16</v>
      </c>
      <c r="D918" s="8">
        <v>1.9</v>
      </c>
      <c r="E918" s="4">
        <v>4</v>
      </c>
      <c r="F918" s="8">
        <v>1</v>
      </c>
      <c r="G918" s="4">
        <v>12</v>
      </c>
      <c r="H918" s="8">
        <v>2.74</v>
      </c>
      <c r="I918" s="4">
        <v>0</v>
      </c>
    </row>
    <row r="919" spans="1:9" x14ac:dyDescent="0.2">
      <c r="A919" s="2">
        <v>16</v>
      </c>
      <c r="B919" s="1" t="s">
        <v>94</v>
      </c>
      <c r="C919" s="4">
        <v>16</v>
      </c>
      <c r="D919" s="8">
        <v>1.9</v>
      </c>
      <c r="E919" s="4">
        <v>5</v>
      </c>
      <c r="F919" s="8">
        <v>1.25</v>
      </c>
      <c r="G919" s="4">
        <v>11</v>
      </c>
      <c r="H919" s="8">
        <v>2.5099999999999998</v>
      </c>
      <c r="I919" s="4">
        <v>0</v>
      </c>
    </row>
    <row r="920" spans="1:9" x14ac:dyDescent="0.2">
      <c r="A920" s="2">
        <v>18</v>
      </c>
      <c r="B920" s="1" t="s">
        <v>93</v>
      </c>
      <c r="C920" s="4">
        <v>15</v>
      </c>
      <c r="D920" s="8">
        <v>1.78</v>
      </c>
      <c r="E920" s="4">
        <v>5</v>
      </c>
      <c r="F920" s="8">
        <v>1.25</v>
      </c>
      <c r="G920" s="4">
        <v>10</v>
      </c>
      <c r="H920" s="8">
        <v>2.2799999999999998</v>
      </c>
      <c r="I920" s="4">
        <v>0</v>
      </c>
    </row>
    <row r="921" spans="1:9" x14ac:dyDescent="0.2">
      <c r="A921" s="2">
        <v>19</v>
      </c>
      <c r="B921" s="1" t="s">
        <v>72</v>
      </c>
      <c r="C921" s="4">
        <v>14</v>
      </c>
      <c r="D921" s="8">
        <v>1.66</v>
      </c>
      <c r="E921" s="4">
        <v>4</v>
      </c>
      <c r="F921" s="8">
        <v>1</v>
      </c>
      <c r="G921" s="4">
        <v>10</v>
      </c>
      <c r="H921" s="8">
        <v>2.2799999999999998</v>
      </c>
      <c r="I921" s="4">
        <v>0</v>
      </c>
    </row>
    <row r="922" spans="1:9" x14ac:dyDescent="0.2">
      <c r="A922" s="2">
        <v>19</v>
      </c>
      <c r="B922" s="1" t="s">
        <v>75</v>
      </c>
      <c r="C922" s="4">
        <v>14</v>
      </c>
      <c r="D922" s="8">
        <v>1.66</v>
      </c>
      <c r="E922" s="4">
        <v>3</v>
      </c>
      <c r="F922" s="8">
        <v>0.75</v>
      </c>
      <c r="G922" s="4">
        <v>11</v>
      </c>
      <c r="H922" s="8">
        <v>2.5099999999999998</v>
      </c>
      <c r="I922" s="4">
        <v>0</v>
      </c>
    </row>
    <row r="923" spans="1:9" x14ac:dyDescent="0.2">
      <c r="A923" s="2">
        <v>19</v>
      </c>
      <c r="B923" s="1" t="s">
        <v>88</v>
      </c>
      <c r="C923" s="4">
        <v>14</v>
      </c>
      <c r="D923" s="8">
        <v>1.66</v>
      </c>
      <c r="E923" s="4">
        <v>11</v>
      </c>
      <c r="F923" s="8">
        <v>2.75</v>
      </c>
      <c r="G923" s="4">
        <v>3</v>
      </c>
      <c r="H923" s="8">
        <v>0.68</v>
      </c>
      <c r="I923" s="4">
        <v>0</v>
      </c>
    </row>
    <row r="924" spans="1:9" x14ac:dyDescent="0.2">
      <c r="A924" s="1"/>
      <c r="C924" s="4"/>
      <c r="D924" s="8"/>
      <c r="E924" s="4"/>
      <c r="F924" s="8"/>
      <c r="G924" s="4"/>
      <c r="H924" s="8"/>
      <c r="I924" s="4"/>
    </row>
    <row r="925" spans="1:9" x14ac:dyDescent="0.2">
      <c r="A925" s="1" t="s">
        <v>41</v>
      </c>
      <c r="C925" s="4"/>
      <c r="D925" s="8"/>
      <c r="E925" s="4"/>
      <c r="F925" s="8"/>
      <c r="G925" s="4"/>
      <c r="H925" s="8"/>
      <c r="I925" s="4"/>
    </row>
    <row r="926" spans="1:9" x14ac:dyDescent="0.2">
      <c r="A926" s="2">
        <v>1</v>
      </c>
      <c r="B926" s="1" t="s">
        <v>81</v>
      </c>
      <c r="C926" s="4">
        <v>115</v>
      </c>
      <c r="D926" s="8">
        <v>14.01</v>
      </c>
      <c r="E926" s="4">
        <v>60</v>
      </c>
      <c r="F926" s="8">
        <v>16.260000000000002</v>
      </c>
      <c r="G926" s="4">
        <v>55</v>
      </c>
      <c r="H926" s="8">
        <v>12.28</v>
      </c>
      <c r="I926" s="4">
        <v>0</v>
      </c>
    </row>
    <row r="927" spans="1:9" x14ac:dyDescent="0.2">
      <c r="A927" s="2">
        <v>2</v>
      </c>
      <c r="B927" s="1" t="s">
        <v>85</v>
      </c>
      <c r="C927" s="4">
        <v>77</v>
      </c>
      <c r="D927" s="8">
        <v>9.3800000000000008</v>
      </c>
      <c r="E927" s="4">
        <v>66</v>
      </c>
      <c r="F927" s="8">
        <v>17.89</v>
      </c>
      <c r="G927" s="4">
        <v>11</v>
      </c>
      <c r="H927" s="8">
        <v>2.46</v>
      </c>
      <c r="I927" s="4">
        <v>0</v>
      </c>
    </row>
    <row r="928" spans="1:9" x14ac:dyDescent="0.2">
      <c r="A928" s="2">
        <v>3</v>
      </c>
      <c r="B928" s="1" t="s">
        <v>69</v>
      </c>
      <c r="C928" s="4">
        <v>49</v>
      </c>
      <c r="D928" s="8">
        <v>5.97</v>
      </c>
      <c r="E928" s="4">
        <v>8</v>
      </c>
      <c r="F928" s="8">
        <v>2.17</v>
      </c>
      <c r="G928" s="4">
        <v>41</v>
      </c>
      <c r="H928" s="8">
        <v>9.15</v>
      </c>
      <c r="I928" s="4">
        <v>0</v>
      </c>
    </row>
    <row r="929" spans="1:9" x14ac:dyDescent="0.2">
      <c r="A929" s="2">
        <v>4</v>
      </c>
      <c r="B929" s="1" t="s">
        <v>86</v>
      </c>
      <c r="C929" s="4">
        <v>48</v>
      </c>
      <c r="D929" s="8">
        <v>5.85</v>
      </c>
      <c r="E929" s="4">
        <v>33</v>
      </c>
      <c r="F929" s="8">
        <v>8.94</v>
      </c>
      <c r="G929" s="4">
        <v>13</v>
      </c>
      <c r="H929" s="8">
        <v>2.9</v>
      </c>
      <c r="I929" s="4">
        <v>0</v>
      </c>
    </row>
    <row r="930" spans="1:9" x14ac:dyDescent="0.2">
      <c r="A930" s="2">
        <v>5</v>
      </c>
      <c r="B930" s="1" t="s">
        <v>84</v>
      </c>
      <c r="C930" s="4">
        <v>42</v>
      </c>
      <c r="D930" s="8">
        <v>5.12</v>
      </c>
      <c r="E930" s="4">
        <v>34</v>
      </c>
      <c r="F930" s="8">
        <v>9.2100000000000009</v>
      </c>
      <c r="G930" s="4">
        <v>8</v>
      </c>
      <c r="H930" s="8">
        <v>1.79</v>
      </c>
      <c r="I930" s="4">
        <v>0</v>
      </c>
    </row>
    <row r="931" spans="1:9" x14ac:dyDescent="0.2">
      <c r="A931" s="2">
        <v>6</v>
      </c>
      <c r="B931" s="1" t="s">
        <v>79</v>
      </c>
      <c r="C931" s="4">
        <v>40</v>
      </c>
      <c r="D931" s="8">
        <v>4.87</v>
      </c>
      <c r="E931" s="4">
        <v>19</v>
      </c>
      <c r="F931" s="8">
        <v>5.15</v>
      </c>
      <c r="G931" s="4">
        <v>21</v>
      </c>
      <c r="H931" s="8">
        <v>4.6900000000000004</v>
      </c>
      <c r="I931" s="4">
        <v>0</v>
      </c>
    </row>
    <row r="932" spans="1:9" x14ac:dyDescent="0.2">
      <c r="A932" s="2">
        <v>7</v>
      </c>
      <c r="B932" s="1" t="s">
        <v>71</v>
      </c>
      <c r="C932" s="4">
        <v>37</v>
      </c>
      <c r="D932" s="8">
        <v>4.51</v>
      </c>
      <c r="E932" s="4">
        <v>9</v>
      </c>
      <c r="F932" s="8">
        <v>2.44</v>
      </c>
      <c r="G932" s="4">
        <v>28</v>
      </c>
      <c r="H932" s="8">
        <v>6.25</v>
      </c>
      <c r="I932" s="4">
        <v>0</v>
      </c>
    </row>
    <row r="933" spans="1:9" x14ac:dyDescent="0.2">
      <c r="A933" s="2">
        <v>8</v>
      </c>
      <c r="B933" s="1" t="s">
        <v>70</v>
      </c>
      <c r="C933" s="4">
        <v>33</v>
      </c>
      <c r="D933" s="8">
        <v>4.0199999999999996</v>
      </c>
      <c r="E933" s="4">
        <v>14</v>
      </c>
      <c r="F933" s="8">
        <v>3.79</v>
      </c>
      <c r="G933" s="4">
        <v>19</v>
      </c>
      <c r="H933" s="8">
        <v>4.24</v>
      </c>
      <c r="I933" s="4">
        <v>0</v>
      </c>
    </row>
    <row r="934" spans="1:9" x14ac:dyDescent="0.2">
      <c r="A934" s="2">
        <v>9</v>
      </c>
      <c r="B934" s="1" t="s">
        <v>78</v>
      </c>
      <c r="C934" s="4">
        <v>30</v>
      </c>
      <c r="D934" s="8">
        <v>3.65</v>
      </c>
      <c r="E934" s="4">
        <v>14</v>
      </c>
      <c r="F934" s="8">
        <v>3.79</v>
      </c>
      <c r="G934" s="4">
        <v>16</v>
      </c>
      <c r="H934" s="8">
        <v>3.57</v>
      </c>
      <c r="I934" s="4">
        <v>0</v>
      </c>
    </row>
    <row r="935" spans="1:9" x14ac:dyDescent="0.2">
      <c r="A935" s="2">
        <v>10</v>
      </c>
      <c r="B935" s="1" t="s">
        <v>77</v>
      </c>
      <c r="C935" s="4">
        <v>28</v>
      </c>
      <c r="D935" s="8">
        <v>3.41</v>
      </c>
      <c r="E935" s="4">
        <v>19</v>
      </c>
      <c r="F935" s="8">
        <v>5.15</v>
      </c>
      <c r="G935" s="4">
        <v>9</v>
      </c>
      <c r="H935" s="8">
        <v>2.0099999999999998</v>
      </c>
      <c r="I935" s="4">
        <v>0</v>
      </c>
    </row>
    <row r="936" spans="1:9" x14ac:dyDescent="0.2">
      <c r="A936" s="2">
        <v>11</v>
      </c>
      <c r="B936" s="1" t="s">
        <v>87</v>
      </c>
      <c r="C936" s="4">
        <v>26</v>
      </c>
      <c r="D936" s="8">
        <v>3.17</v>
      </c>
      <c r="E936" s="4">
        <v>24</v>
      </c>
      <c r="F936" s="8">
        <v>6.5</v>
      </c>
      <c r="G936" s="4">
        <v>2</v>
      </c>
      <c r="H936" s="8">
        <v>0.45</v>
      </c>
      <c r="I936" s="4">
        <v>0</v>
      </c>
    </row>
    <row r="937" spans="1:9" x14ac:dyDescent="0.2">
      <c r="A937" s="2">
        <v>12</v>
      </c>
      <c r="B937" s="1" t="s">
        <v>73</v>
      </c>
      <c r="C937" s="4">
        <v>25</v>
      </c>
      <c r="D937" s="8">
        <v>3.05</v>
      </c>
      <c r="E937" s="4">
        <v>6</v>
      </c>
      <c r="F937" s="8">
        <v>1.63</v>
      </c>
      <c r="G937" s="4">
        <v>19</v>
      </c>
      <c r="H937" s="8">
        <v>4.24</v>
      </c>
      <c r="I937" s="4">
        <v>0</v>
      </c>
    </row>
    <row r="938" spans="1:9" x14ac:dyDescent="0.2">
      <c r="A938" s="2">
        <v>13</v>
      </c>
      <c r="B938" s="1" t="s">
        <v>75</v>
      </c>
      <c r="C938" s="4">
        <v>21</v>
      </c>
      <c r="D938" s="8">
        <v>2.56</v>
      </c>
      <c r="E938" s="4">
        <v>1</v>
      </c>
      <c r="F938" s="8">
        <v>0.27</v>
      </c>
      <c r="G938" s="4">
        <v>20</v>
      </c>
      <c r="H938" s="8">
        <v>4.46</v>
      </c>
      <c r="I938" s="4">
        <v>0</v>
      </c>
    </row>
    <row r="939" spans="1:9" x14ac:dyDescent="0.2">
      <c r="A939" s="2">
        <v>14</v>
      </c>
      <c r="B939" s="1" t="s">
        <v>82</v>
      </c>
      <c r="C939" s="4">
        <v>20</v>
      </c>
      <c r="D939" s="8">
        <v>2.44</v>
      </c>
      <c r="E939" s="4">
        <v>13</v>
      </c>
      <c r="F939" s="8">
        <v>3.52</v>
      </c>
      <c r="G939" s="4">
        <v>7</v>
      </c>
      <c r="H939" s="8">
        <v>1.56</v>
      </c>
      <c r="I939" s="4">
        <v>0</v>
      </c>
    </row>
    <row r="940" spans="1:9" x14ac:dyDescent="0.2">
      <c r="A940" s="2">
        <v>15</v>
      </c>
      <c r="B940" s="1" t="s">
        <v>83</v>
      </c>
      <c r="C940" s="4">
        <v>17</v>
      </c>
      <c r="D940" s="8">
        <v>2.0699999999999998</v>
      </c>
      <c r="E940" s="4">
        <v>9</v>
      </c>
      <c r="F940" s="8">
        <v>2.44</v>
      </c>
      <c r="G940" s="4">
        <v>8</v>
      </c>
      <c r="H940" s="8">
        <v>1.79</v>
      </c>
      <c r="I940" s="4">
        <v>0</v>
      </c>
    </row>
    <row r="941" spans="1:9" x14ac:dyDescent="0.2">
      <c r="A941" s="2">
        <v>16</v>
      </c>
      <c r="B941" s="1" t="s">
        <v>80</v>
      </c>
      <c r="C941" s="4">
        <v>16</v>
      </c>
      <c r="D941" s="8">
        <v>1.95</v>
      </c>
      <c r="E941" s="4">
        <v>0</v>
      </c>
      <c r="F941" s="8">
        <v>0</v>
      </c>
      <c r="G941" s="4">
        <v>16</v>
      </c>
      <c r="H941" s="8">
        <v>3.57</v>
      </c>
      <c r="I941" s="4">
        <v>0</v>
      </c>
    </row>
    <row r="942" spans="1:9" x14ac:dyDescent="0.2">
      <c r="A942" s="2">
        <v>17</v>
      </c>
      <c r="B942" s="1" t="s">
        <v>72</v>
      </c>
      <c r="C942" s="4">
        <v>14</v>
      </c>
      <c r="D942" s="8">
        <v>1.71</v>
      </c>
      <c r="E942" s="4">
        <v>1</v>
      </c>
      <c r="F942" s="8">
        <v>0.27</v>
      </c>
      <c r="G942" s="4">
        <v>13</v>
      </c>
      <c r="H942" s="8">
        <v>2.9</v>
      </c>
      <c r="I942" s="4">
        <v>0</v>
      </c>
    </row>
    <row r="943" spans="1:9" x14ac:dyDescent="0.2">
      <c r="A943" s="2">
        <v>18</v>
      </c>
      <c r="B943" s="1" t="s">
        <v>102</v>
      </c>
      <c r="C943" s="4">
        <v>13</v>
      </c>
      <c r="D943" s="8">
        <v>1.58</v>
      </c>
      <c r="E943" s="4">
        <v>3</v>
      </c>
      <c r="F943" s="8">
        <v>0.81</v>
      </c>
      <c r="G943" s="4">
        <v>10</v>
      </c>
      <c r="H943" s="8">
        <v>2.23</v>
      </c>
      <c r="I943" s="4">
        <v>0</v>
      </c>
    </row>
    <row r="944" spans="1:9" x14ac:dyDescent="0.2">
      <c r="A944" s="2">
        <v>19</v>
      </c>
      <c r="B944" s="1" t="s">
        <v>112</v>
      </c>
      <c r="C944" s="4">
        <v>12</v>
      </c>
      <c r="D944" s="8">
        <v>1.46</v>
      </c>
      <c r="E944" s="4">
        <v>3</v>
      </c>
      <c r="F944" s="8">
        <v>0.81</v>
      </c>
      <c r="G944" s="4">
        <v>9</v>
      </c>
      <c r="H944" s="8">
        <v>2.0099999999999998</v>
      </c>
      <c r="I944" s="4">
        <v>0</v>
      </c>
    </row>
    <row r="945" spans="1:9" x14ac:dyDescent="0.2">
      <c r="A945" s="2">
        <v>19</v>
      </c>
      <c r="B945" s="1" t="s">
        <v>88</v>
      </c>
      <c r="C945" s="4">
        <v>12</v>
      </c>
      <c r="D945" s="8">
        <v>1.46</v>
      </c>
      <c r="E945" s="4">
        <v>9</v>
      </c>
      <c r="F945" s="8">
        <v>2.44</v>
      </c>
      <c r="G945" s="4">
        <v>3</v>
      </c>
      <c r="H945" s="8">
        <v>0.67</v>
      </c>
      <c r="I945" s="4">
        <v>0</v>
      </c>
    </row>
    <row r="946" spans="1:9" x14ac:dyDescent="0.2">
      <c r="A946" s="2">
        <v>19</v>
      </c>
      <c r="B946" s="1" t="s">
        <v>109</v>
      </c>
      <c r="C946" s="4">
        <v>12</v>
      </c>
      <c r="D946" s="8">
        <v>1.46</v>
      </c>
      <c r="E946" s="4">
        <v>2</v>
      </c>
      <c r="F946" s="8">
        <v>0.54</v>
      </c>
      <c r="G946" s="4">
        <v>10</v>
      </c>
      <c r="H946" s="8">
        <v>2.23</v>
      </c>
      <c r="I946" s="4">
        <v>0</v>
      </c>
    </row>
    <row r="947" spans="1:9" x14ac:dyDescent="0.2">
      <c r="A947" s="1"/>
      <c r="C947" s="4"/>
      <c r="D947" s="8"/>
      <c r="E947" s="4"/>
      <c r="F947" s="8"/>
      <c r="G947" s="4"/>
      <c r="H947" s="8"/>
      <c r="I947" s="4"/>
    </row>
    <row r="948" spans="1:9" x14ac:dyDescent="0.2">
      <c r="A948" s="1" t="s">
        <v>42</v>
      </c>
      <c r="C948" s="4"/>
      <c r="D948" s="8"/>
      <c r="E948" s="4"/>
      <c r="F948" s="8"/>
      <c r="G948" s="4"/>
      <c r="H948" s="8"/>
      <c r="I948" s="4"/>
    </row>
    <row r="949" spans="1:9" x14ac:dyDescent="0.2">
      <c r="A949" s="2">
        <v>1</v>
      </c>
      <c r="B949" s="1" t="s">
        <v>84</v>
      </c>
      <c r="C949" s="4">
        <v>42</v>
      </c>
      <c r="D949" s="8">
        <v>11.14</v>
      </c>
      <c r="E949" s="4">
        <v>36</v>
      </c>
      <c r="F949" s="8">
        <v>18.95</v>
      </c>
      <c r="G949" s="4">
        <v>6</v>
      </c>
      <c r="H949" s="8">
        <v>3.37</v>
      </c>
      <c r="I949" s="4">
        <v>0</v>
      </c>
    </row>
    <row r="950" spans="1:9" x14ac:dyDescent="0.2">
      <c r="A950" s="2">
        <v>2</v>
      </c>
      <c r="B950" s="1" t="s">
        <v>69</v>
      </c>
      <c r="C950" s="4">
        <v>35</v>
      </c>
      <c r="D950" s="8">
        <v>9.2799999999999994</v>
      </c>
      <c r="E950" s="4">
        <v>8</v>
      </c>
      <c r="F950" s="8">
        <v>4.21</v>
      </c>
      <c r="G950" s="4">
        <v>27</v>
      </c>
      <c r="H950" s="8">
        <v>15.17</v>
      </c>
      <c r="I950" s="4">
        <v>0</v>
      </c>
    </row>
    <row r="951" spans="1:9" x14ac:dyDescent="0.2">
      <c r="A951" s="2">
        <v>3</v>
      </c>
      <c r="B951" s="1" t="s">
        <v>77</v>
      </c>
      <c r="C951" s="4">
        <v>33</v>
      </c>
      <c r="D951" s="8">
        <v>8.75</v>
      </c>
      <c r="E951" s="4">
        <v>26</v>
      </c>
      <c r="F951" s="8">
        <v>13.68</v>
      </c>
      <c r="G951" s="4">
        <v>7</v>
      </c>
      <c r="H951" s="8">
        <v>3.93</v>
      </c>
      <c r="I951" s="4">
        <v>0</v>
      </c>
    </row>
    <row r="952" spans="1:9" x14ac:dyDescent="0.2">
      <c r="A952" s="2">
        <v>3</v>
      </c>
      <c r="B952" s="1" t="s">
        <v>85</v>
      </c>
      <c r="C952" s="4">
        <v>33</v>
      </c>
      <c r="D952" s="8">
        <v>8.75</v>
      </c>
      <c r="E952" s="4">
        <v>28</v>
      </c>
      <c r="F952" s="8">
        <v>14.74</v>
      </c>
      <c r="G952" s="4">
        <v>4</v>
      </c>
      <c r="H952" s="8">
        <v>2.25</v>
      </c>
      <c r="I952" s="4">
        <v>0</v>
      </c>
    </row>
    <row r="953" spans="1:9" x14ac:dyDescent="0.2">
      <c r="A953" s="2">
        <v>5</v>
      </c>
      <c r="B953" s="1" t="s">
        <v>79</v>
      </c>
      <c r="C953" s="4">
        <v>29</v>
      </c>
      <c r="D953" s="8">
        <v>7.69</v>
      </c>
      <c r="E953" s="4">
        <v>13</v>
      </c>
      <c r="F953" s="8">
        <v>6.84</v>
      </c>
      <c r="G953" s="4">
        <v>16</v>
      </c>
      <c r="H953" s="8">
        <v>8.99</v>
      </c>
      <c r="I953" s="4">
        <v>0</v>
      </c>
    </row>
    <row r="954" spans="1:9" x14ac:dyDescent="0.2">
      <c r="A954" s="2">
        <v>6</v>
      </c>
      <c r="B954" s="1" t="s">
        <v>81</v>
      </c>
      <c r="C954" s="4">
        <v>26</v>
      </c>
      <c r="D954" s="8">
        <v>6.9</v>
      </c>
      <c r="E954" s="4">
        <v>15</v>
      </c>
      <c r="F954" s="8">
        <v>7.89</v>
      </c>
      <c r="G954" s="4">
        <v>9</v>
      </c>
      <c r="H954" s="8">
        <v>5.0599999999999996</v>
      </c>
      <c r="I954" s="4">
        <v>0</v>
      </c>
    </row>
    <row r="955" spans="1:9" x14ac:dyDescent="0.2">
      <c r="A955" s="2">
        <v>7</v>
      </c>
      <c r="B955" s="1" t="s">
        <v>99</v>
      </c>
      <c r="C955" s="4">
        <v>14</v>
      </c>
      <c r="D955" s="8">
        <v>3.71</v>
      </c>
      <c r="E955" s="4">
        <v>4</v>
      </c>
      <c r="F955" s="8">
        <v>2.11</v>
      </c>
      <c r="G955" s="4">
        <v>10</v>
      </c>
      <c r="H955" s="8">
        <v>5.62</v>
      </c>
      <c r="I955" s="4">
        <v>0</v>
      </c>
    </row>
    <row r="956" spans="1:9" x14ac:dyDescent="0.2">
      <c r="A956" s="2">
        <v>8</v>
      </c>
      <c r="B956" s="1" t="s">
        <v>70</v>
      </c>
      <c r="C956" s="4">
        <v>13</v>
      </c>
      <c r="D956" s="8">
        <v>3.45</v>
      </c>
      <c r="E956" s="4">
        <v>7</v>
      </c>
      <c r="F956" s="8">
        <v>3.68</v>
      </c>
      <c r="G956" s="4">
        <v>6</v>
      </c>
      <c r="H956" s="8">
        <v>3.37</v>
      </c>
      <c r="I956" s="4">
        <v>0</v>
      </c>
    </row>
    <row r="957" spans="1:9" x14ac:dyDescent="0.2">
      <c r="A957" s="2">
        <v>8</v>
      </c>
      <c r="B957" s="1" t="s">
        <v>86</v>
      </c>
      <c r="C957" s="4">
        <v>13</v>
      </c>
      <c r="D957" s="8">
        <v>3.45</v>
      </c>
      <c r="E957" s="4">
        <v>12</v>
      </c>
      <c r="F957" s="8">
        <v>6.32</v>
      </c>
      <c r="G957" s="4">
        <v>1</v>
      </c>
      <c r="H957" s="8">
        <v>0.56000000000000005</v>
      </c>
      <c r="I957" s="4">
        <v>0</v>
      </c>
    </row>
    <row r="958" spans="1:9" x14ac:dyDescent="0.2">
      <c r="A958" s="2">
        <v>10</v>
      </c>
      <c r="B958" s="1" t="s">
        <v>78</v>
      </c>
      <c r="C958" s="4">
        <v>10</v>
      </c>
      <c r="D958" s="8">
        <v>2.65</v>
      </c>
      <c r="E958" s="4">
        <v>4</v>
      </c>
      <c r="F958" s="8">
        <v>2.11</v>
      </c>
      <c r="G958" s="4">
        <v>6</v>
      </c>
      <c r="H958" s="8">
        <v>3.37</v>
      </c>
      <c r="I958" s="4">
        <v>0</v>
      </c>
    </row>
    <row r="959" spans="1:9" x14ac:dyDescent="0.2">
      <c r="A959" s="2">
        <v>11</v>
      </c>
      <c r="B959" s="1" t="s">
        <v>82</v>
      </c>
      <c r="C959" s="4">
        <v>9</v>
      </c>
      <c r="D959" s="8">
        <v>2.39</v>
      </c>
      <c r="E959" s="4">
        <v>4</v>
      </c>
      <c r="F959" s="8">
        <v>2.11</v>
      </c>
      <c r="G959" s="4">
        <v>5</v>
      </c>
      <c r="H959" s="8">
        <v>2.81</v>
      </c>
      <c r="I959" s="4">
        <v>0</v>
      </c>
    </row>
    <row r="960" spans="1:9" x14ac:dyDescent="0.2">
      <c r="A960" s="2">
        <v>12</v>
      </c>
      <c r="B960" s="1" t="s">
        <v>83</v>
      </c>
      <c r="C960" s="4">
        <v>8</v>
      </c>
      <c r="D960" s="8">
        <v>2.12</v>
      </c>
      <c r="E960" s="4">
        <v>3</v>
      </c>
      <c r="F960" s="8">
        <v>1.58</v>
      </c>
      <c r="G960" s="4">
        <v>3</v>
      </c>
      <c r="H960" s="8">
        <v>1.69</v>
      </c>
      <c r="I960" s="4">
        <v>0</v>
      </c>
    </row>
    <row r="961" spans="1:9" x14ac:dyDescent="0.2">
      <c r="A961" s="2">
        <v>12</v>
      </c>
      <c r="B961" s="1" t="s">
        <v>88</v>
      </c>
      <c r="C961" s="4">
        <v>8</v>
      </c>
      <c r="D961" s="8">
        <v>2.12</v>
      </c>
      <c r="E961" s="4">
        <v>4</v>
      </c>
      <c r="F961" s="8">
        <v>2.11</v>
      </c>
      <c r="G961" s="4">
        <v>4</v>
      </c>
      <c r="H961" s="8">
        <v>2.25</v>
      </c>
      <c r="I961" s="4">
        <v>0</v>
      </c>
    </row>
    <row r="962" spans="1:9" x14ac:dyDescent="0.2">
      <c r="A962" s="2">
        <v>14</v>
      </c>
      <c r="B962" s="1" t="s">
        <v>94</v>
      </c>
      <c r="C962" s="4">
        <v>7</v>
      </c>
      <c r="D962" s="8">
        <v>1.86</v>
      </c>
      <c r="E962" s="4">
        <v>0</v>
      </c>
      <c r="F962" s="8">
        <v>0</v>
      </c>
      <c r="G962" s="4">
        <v>7</v>
      </c>
      <c r="H962" s="8">
        <v>3.93</v>
      </c>
      <c r="I962" s="4">
        <v>0</v>
      </c>
    </row>
    <row r="963" spans="1:9" x14ac:dyDescent="0.2">
      <c r="A963" s="2">
        <v>15</v>
      </c>
      <c r="B963" s="1" t="s">
        <v>91</v>
      </c>
      <c r="C963" s="4">
        <v>6</v>
      </c>
      <c r="D963" s="8">
        <v>1.59</v>
      </c>
      <c r="E963" s="4">
        <v>2</v>
      </c>
      <c r="F963" s="8">
        <v>1.05</v>
      </c>
      <c r="G963" s="4">
        <v>4</v>
      </c>
      <c r="H963" s="8">
        <v>2.25</v>
      </c>
      <c r="I963" s="4">
        <v>0</v>
      </c>
    </row>
    <row r="964" spans="1:9" x14ac:dyDescent="0.2">
      <c r="A964" s="2">
        <v>15</v>
      </c>
      <c r="B964" s="1" t="s">
        <v>76</v>
      </c>
      <c r="C964" s="4">
        <v>6</v>
      </c>
      <c r="D964" s="8">
        <v>1.59</v>
      </c>
      <c r="E964" s="4">
        <v>3</v>
      </c>
      <c r="F964" s="8">
        <v>1.58</v>
      </c>
      <c r="G964" s="4">
        <v>3</v>
      </c>
      <c r="H964" s="8">
        <v>1.69</v>
      </c>
      <c r="I964" s="4">
        <v>0</v>
      </c>
    </row>
    <row r="965" spans="1:9" x14ac:dyDescent="0.2">
      <c r="A965" s="2">
        <v>15</v>
      </c>
      <c r="B965" s="1" t="s">
        <v>102</v>
      </c>
      <c r="C965" s="4">
        <v>6</v>
      </c>
      <c r="D965" s="8">
        <v>1.59</v>
      </c>
      <c r="E965" s="4">
        <v>2</v>
      </c>
      <c r="F965" s="8">
        <v>1.05</v>
      </c>
      <c r="G965" s="4">
        <v>4</v>
      </c>
      <c r="H965" s="8">
        <v>2.25</v>
      </c>
      <c r="I965" s="4">
        <v>0</v>
      </c>
    </row>
    <row r="966" spans="1:9" x14ac:dyDescent="0.2">
      <c r="A966" s="2">
        <v>18</v>
      </c>
      <c r="B966" s="1" t="s">
        <v>93</v>
      </c>
      <c r="C966" s="4">
        <v>5</v>
      </c>
      <c r="D966" s="8">
        <v>1.33</v>
      </c>
      <c r="E966" s="4">
        <v>0</v>
      </c>
      <c r="F966" s="8">
        <v>0</v>
      </c>
      <c r="G966" s="4">
        <v>5</v>
      </c>
      <c r="H966" s="8">
        <v>2.81</v>
      </c>
      <c r="I966" s="4">
        <v>0</v>
      </c>
    </row>
    <row r="967" spans="1:9" x14ac:dyDescent="0.2">
      <c r="A967" s="2">
        <v>18</v>
      </c>
      <c r="B967" s="1" t="s">
        <v>110</v>
      </c>
      <c r="C967" s="4">
        <v>5</v>
      </c>
      <c r="D967" s="8">
        <v>1.33</v>
      </c>
      <c r="E967" s="4">
        <v>1</v>
      </c>
      <c r="F967" s="8">
        <v>0.53</v>
      </c>
      <c r="G967" s="4">
        <v>4</v>
      </c>
      <c r="H967" s="8">
        <v>2.25</v>
      </c>
      <c r="I967" s="4">
        <v>0</v>
      </c>
    </row>
    <row r="968" spans="1:9" x14ac:dyDescent="0.2">
      <c r="A968" s="2">
        <v>18</v>
      </c>
      <c r="B968" s="1" t="s">
        <v>95</v>
      </c>
      <c r="C968" s="4">
        <v>5</v>
      </c>
      <c r="D968" s="8">
        <v>1.33</v>
      </c>
      <c r="E968" s="4">
        <v>3</v>
      </c>
      <c r="F968" s="8">
        <v>1.58</v>
      </c>
      <c r="G968" s="4">
        <v>2</v>
      </c>
      <c r="H968" s="8">
        <v>1.1200000000000001</v>
      </c>
      <c r="I968" s="4">
        <v>0</v>
      </c>
    </row>
    <row r="969" spans="1:9" x14ac:dyDescent="0.2">
      <c r="A969" s="2">
        <v>18</v>
      </c>
      <c r="B969" s="1" t="s">
        <v>90</v>
      </c>
      <c r="C969" s="4">
        <v>5</v>
      </c>
      <c r="D969" s="8">
        <v>1.33</v>
      </c>
      <c r="E969" s="4">
        <v>0</v>
      </c>
      <c r="F969" s="8">
        <v>0</v>
      </c>
      <c r="G969" s="4">
        <v>3</v>
      </c>
      <c r="H969" s="8">
        <v>1.69</v>
      </c>
      <c r="I969" s="4">
        <v>2</v>
      </c>
    </row>
    <row r="970" spans="1:9" x14ac:dyDescent="0.2">
      <c r="A970" s="1"/>
      <c r="C970" s="4"/>
      <c r="D970" s="8"/>
      <c r="E970" s="4"/>
      <c r="F970" s="8"/>
      <c r="G970" s="4"/>
      <c r="H970" s="8"/>
      <c r="I970" s="4"/>
    </row>
    <row r="971" spans="1:9" x14ac:dyDescent="0.2">
      <c r="A971" s="1" t="s">
        <v>43</v>
      </c>
      <c r="C971" s="4"/>
      <c r="D971" s="8"/>
      <c r="E971" s="4"/>
      <c r="F971" s="8"/>
      <c r="G971" s="4"/>
      <c r="H971" s="8"/>
      <c r="I971" s="4"/>
    </row>
    <row r="972" spans="1:9" x14ac:dyDescent="0.2">
      <c r="A972" s="2">
        <v>1</v>
      </c>
      <c r="B972" s="1" t="s">
        <v>85</v>
      </c>
      <c r="C972" s="4">
        <v>75</v>
      </c>
      <c r="D972" s="8">
        <v>9.93</v>
      </c>
      <c r="E972" s="4">
        <v>63</v>
      </c>
      <c r="F972" s="8">
        <v>16.670000000000002</v>
      </c>
      <c r="G972" s="4">
        <v>12</v>
      </c>
      <c r="H972" s="8">
        <v>3.4</v>
      </c>
      <c r="I972" s="4">
        <v>0</v>
      </c>
    </row>
    <row r="973" spans="1:9" x14ac:dyDescent="0.2">
      <c r="A973" s="2">
        <v>2</v>
      </c>
      <c r="B973" s="1" t="s">
        <v>84</v>
      </c>
      <c r="C973" s="4">
        <v>56</v>
      </c>
      <c r="D973" s="8">
        <v>7.42</v>
      </c>
      <c r="E973" s="4">
        <v>49</v>
      </c>
      <c r="F973" s="8">
        <v>12.96</v>
      </c>
      <c r="G973" s="4">
        <v>7</v>
      </c>
      <c r="H973" s="8">
        <v>1.98</v>
      </c>
      <c r="I973" s="4">
        <v>0</v>
      </c>
    </row>
    <row r="974" spans="1:9" x14ac:dyDescent="0.2">
      <c r="A974" s="2">
        <v>3</v>
      </c>
      <c r="B974" s="1" t="s">
        <v>69</v>
      </c>
      <c r="C974" s="4">
        <v>50</v>
      </c>
      <c r="D974" s="8">
        <v>6.62</v>
      </c>
      <c r="E974" s="4">
        <v>21</v>
      </c>
      <c r="F974" s="8">
        <v>5.56</v>
      </c>
      <c r="G974" s="4">
        <v>29</v>
      </c>
      <c r="H974" s="8">
        <v>8.2200000000000006</v>
      </c>
      <c r="I974" s="4">
        <v>0</v>
      </c>
    </row>
    <row r="975" spans="1:9" x14ac:dyDescent="0.2">
      <c r="A975" s="2">
        <v>4</v>
      </c>
      <c r="B975" s="1" t="s">
        <v>77</v>
      </c>
      <c r="C975" s="4">
        <v>42</v>
      </c>
      <c r="D975" s="8">
        <v>5.56</v>
      </c>
      <c r="E975" s="4">
        <v>31</v>
      </c>
      <c r="F975" s="8">
        <v>8.1999999999999993</v>
      </c>
      <c r="G975" s="4">
        <v>11</v>
      </c>
      <c r="H975" s="8">
        <v>3.12</v>
      </c>
      <c r="I975" s="4">
        <v>0</v>
      </c>
    </row>
    <row r="976" spans="1:9" x14ac:dyDescent="0.2">
      <c r="A976" s="2">
        <v>4</v>
      </c>
      <c r="B976" s="1" t="s">
        <v>79</v>
      </c>
      <c r="C976" s="4">
        <v>42</v>
      </c>
      <c r="D976" s="8">
        <v>5.56</v>
      </c>
      <c r="E976" s="4">
        <v>21</v>
      </c>
      <c r="F976" s="8">
        <v>5.56</v>
      </c>
      <c r="G976" s="4">
        <v>20</v>
      </c>
      <c r="H976" s="8">
        <v>5.67</v>
      </c>
      <c r="I976" s="4">
        <v>0</v>
      </c>
    </row>
    <row r="977" spans="1:9" x14ac:dyDescent="0.2">
      <c r="A977" s="2">
        <v>6</v>
      </c>
      <c r="B977" s="1" t="s">
        <v>70</v>
      </c>
      <c r="C977" s="4">
        <v>36</v>
      </c>
      <c r="D977" s="8">
        <v>4.7699999999999996</v>
      </c>
      <c r="E977" s="4">
        <v>17</v>
      </c>
      <c r="F977" s="8">
        <v>4.5</v>
      </c>
      <c r="G977" s="4">
        <v>19</v>
      </c>
      <c r="H977" s="8">
        <v>5.38</v>
      </c>
      <c r="I977" s="4">
        <v>0</v>
      </c>
    </row>
    <row r="978" spans="1:9" x14ac:dyDescent="0.2">
      <c r="A978" s="2">
        <v>7</v>
      </c>
      <c r="B978" s="1" t="s">
        <v>71</v>
      </c>
      <c r="C978" s="4">
        <v>34</v>
      </c>
      <c r="D978" s="8">
        <v>4.5</v>
      </c>
      <c r="E978" s="4">
        <v>8</v>
      </c>
      <c r="F978" s="8">
        <v>2.12</v>
      </c>
      <c r="G978" s="4">
        <v>26</v>
      </c>
      <c r="H978" s="8">
        <v>7.37</v>
      </c>
      <c r="I978" s="4">
        <v>0</v>
      </c>
    </row>
    <row r="979" spans="1:9" x14ac:dyDescent="0.2">
      <c r="A979" s="2">
        <v>8</v>
      </c>
      <c r="B979" s="1" t="s">
        <v>81</v>
      </c>
      <c r="C979" s="4">
        <v>31</v>
      </c>
      <c r="D979" s="8">
        <v>4.1100000000000003</v>
      </c>
      <c r="E979" s="4">
        <v>10</v>
      </c>
      <c r="F979" s="8">
        <v>2.65</v>
      </c>
      <c r="G979" s="4">
        <v>21</v>
      </c>
      <c r="H979" s="8">
        <v>5.95</v>
      </c>
      <c r="I979" s="4">
        <v>0</v>
      </c>
    </row>
    <row r="980" spans="1:9" x14ac:dyDescent="0.2">
      <c r="A980" s="2">
        <v>9</v>
      </c>
      <c r="B980" s="1" t="s">
        <v>73</v>
      </c>
      <c r="C980" s="4">
        <v>25</v>
      </c>
      <c r="D980" s="8">
        <v>3.31</v>
      </c>
      <c r="E980" s="4">
        <v>9</v>
      </c>
      <c r="F980" s="8">
        <v>2.38</v>
      </c>
      <c r="G980" s="4">
        <v>16</v>
      </c>
      <c r="H980" s="8">
        <v>4.53</v>
      </c>
      <c r="I980" s="4">
        <v>0</v>
      </c>
    </row>
    <row r="981" spans="1:9" x14ac:dyDescent="0.2">
      <c r="A981" s="2">
        <v>10</v>
      </c>
      <c r="B981" s="1" t="s">
        <v>86</v>
      </c>
      <c r="C981" s="4">
        <v>23</v>
      </c>
      <c r="D981" s="8">
        <v>3.05</v>
      </c>
      <c r="E981" s="4">
        <v>15</v>
      </c>
      <c r="F981" s="8">
        <v>3.97</v>
      </c>
      <c r="G981" s="4">
        <v>5</v>
      </c>
      <c r="H981" s="8">
        <v>1.42</v>
      </c>
      <c r="I981" s="4">
        <v>0</v>
      </c>
    </row>
    <row r="982" spans="1:9" x14ac:dyDescent="0.2">
      <c r="A982" s="2">
        <v>11</v>
      </c>
      <c r="B982" s="1" t="s">
        <v>78</v>
      </c>
      <c r="C982" s="4">
        <v>22</v>
      </c>
      <c r="D982" s="8">
        <v>2.91</v>
      </c>
      <c r="E982" s="4">
        <v>13</v>
      </c>
      <c r="F982" s="8">
        <v>3.44</v>
      </c>
      <c r="G982" s="4">
        <v>9</v>
      </c>
      <c r="H982" s="8">
        <v>2.5499999999999998</v>
      </c>
      <c r="I982" s="4">
        <v>0</v>
      </c>
    </row>
    <row r="983" spans="1:9" x14ac:dyDescent="0.2">
      <c r="A983" s="2">
        <v>12</v>
      </c>
      <c r="B983" s="1" t="s">
        <v>100</v>
      </c>
      <c r="C983" s="4">
        <v>21</v>
      </c>
      <c r="D983" s="8">
        <v>2.78</v>
      </c>
      <c r="E983" s="4">
        <v>9</v>
      </c>
      <c r="F983" s="8">
        <v>2.38</v>
      </c>
      <c r="G983" s="4">
        <v>12</v>
      </c>
      <c r="H983" s="8">
        <v>3.4</v>
      </c>
      <c r="I983" s="4">
        <v>0</v>
      </c>
    </row>
    <row r="984" spans="1:9" x14ac:dyDescent="0.2">
      <c r="A984" s="2">
        <v>13</v>
      </c>
      <c r="B984" s="1" t="s">
        <v>96</v>
      </c>
      <c r="C984" s="4">
        <v>19</v>
      </c>
      <c r="D984" s="8">
        <v>2.52</v>
      </c>
      <c r="E984" s="4">
        <v>11</v>
      </c>
      <c r="F984" s="8">
        <v>2.91</v>
      </c>
      <c r="G984" s="4">
        <v>8</v>
      </c>
      <c r="H984" s="8">
        <v>2.27</v>
      </c>
      <c r="I984" s="4">
        <v>0</v>
      </c>
    </row>
    <row r="985" spans="1:9" x14ac:dyDescent="0.2">
      <c r="A985" s="2">
        <v>13</v>
      </c>
      <c r="B985" s="1" t="s">
        <v>76</v>
      </c>
      <c r="C985" s="4">
        <v>19</v>
      </c>
      <c r="D985" s="8">
        <v>2.52</v>
      </c>
      <c r="E985" s="4">
        <v>11</v>
      </c>
      <c r="F985" s="8">
        <v>2.91</v>
      </c>
      <c r="G985" s="4">
        <v>8</v>
      </c>
      <c r="H985" s="8">
        <v>2.27</v>
      </c>
      <c r="I985" s="4">
        <v>0</v>
      </c>
    </row>
    <row r="986" spans="1:9" x14ac:dyDescent="0.2">
      <c r="A986" s="2">
        <v>13</v>
      </c>
      <c r="B986" s="1" t="s">
        <v>87</v>
      </c>
      <c r="C986" s="4">
        <v>19</v>
      </c>
      <c r="D986" s="8">
        <v>2.52</v>
      </c>
      <c r="E986" s="4">
        <v>17</v>
      </c>
      <c r="F986" s="8">
        <v>4.5</v>
      </c>
      <c r="G986" s="4">
        <v>2</v>
      </c>
      <c r="H986" s="8">
        <v>0.56999999999999995</v>
      </c>
      <c r="I986" s="4">
        <v>0</v>
      </c>
    </row>
    <row r="987" spans="1:9" x14ac:dyDescent="0.2">
      <c r="A987" s="2">
        <v>13</v>
      </c>
      <c r="B987" s="1" t="s">
        <v>90</v>
      </c>
      <c r="C987" s="4">
        <v>19</v>
      </c>
      <c r="D987" s="8">
        <v>2.52</v>
      </c>
      <c r="E987" s="4">
        <v>0</v>
      </c>
      <c r="F987" s="8">
        <v>0</v>
      </c>
      <c r="G987" s="4">
        <v>2</v>
      </c>
      <c r="H987" s="8">
        <v>0.56999999999999995</v>
      </c>
      <c r="I987" s="4">
        <v>0</v>
      </c>
    </row>
    <row r="988" spans="1:9" x14ac:dyDescent="0.2">
      <c r="A988" s="2">
        <v>17</v>
      </c>
      <c r="B988" s="1" t="s">
        <v>83</v>
      </c>
      <c r="C988" s="4">
        <v>14</v>
      </c>
      <c r="D988" s="8">
        <v>1.85</v>
      </c>
      <c r="E988" s="4">
        <v>7</v>
      </c>
      <c r="F988" s="8">
        <v>1.85</v>
      </c>
      <c r="G988" s="4">
        <v>6</v>
      </c>
      <c r="H988" s="8">
        <v>1.7</v>
      </c>
      <c r="I988" s="4">
        <v>0</v>
      </c>
    </row>
    <row r="989" spans="1:9" x14ac:dyDescent="0.2">
      <c r="A989" s="2">
        <v>18</v>
      </c>
      <c r="B989" s="1" t="s">
        <v>97</v>
      </c>
      <c r="C989" s="4">
        <v>12</v>
      </c>
      <c r="D989" s="8">
        <v>1.59</v>
      </c>
      <c r="E989" s="4">
        <v>1</v>
      </c>
      <c r="F989" s="8">
        <v>0.26</v>
      </c>
      <c r="G989" s="4">
        <v>11</v>
      </c>
      <c r="H989" s="8">
        <v>3.12</v>
      </c>
      <c r="I989" s="4">
        <v>0</v>
      </c>
    </row>
    <row r="990" spans="1:9" x14ac:dyDescent="0.2">
      <c r="A990" s="2">
        <v>18</v>
      </c>
      <c r="B990" s="1" t="s">
        <v>92</v>
      </c>
      <c r="C990" s="4">
        <v>12</v>
      </c>
      <c r="D990" s="8">
        <v>1.59</v>
      </c>
      <c r="E990" s="4">
        <v>7</v>
      </c>
      <c r="F990" s="8">
        <v>1.85</v>
      </c>
      <c r="G990" s="4">
        <v>5</v>
      </c>
      <c r="H990" s="8">
        <v>1.42</v>
      </c>
      <c r="I990" s="4">
        <v>0</v>
      </c>
    </row>
    <row r="991" spans="1:9" x14ac:dyDescent="0.2">
      <c r="A991" s="2">
        <v>20</v>
      </c>
      <c r="B991" s="1" t="s">
        <v>107</v>
      </c>
      <c r="C991" s="4">
        <v>11</v>
      </c>
      <c r="D991" s="8">
        <v>1.46</v>
      </c>
      <c r="E991" s="4">
        <v>5</v>
      </c>
      <c r="F991" s="8">
        <v>1.32</v>
      </c>
      <c r="G991" s="4">
        <v>6</v>
      </c>
      <c r="H991" s="8">
        <v>1.7</v>
      </c>
      <c r="I991" s="4">
        <v>0</v>
      </c>
    </row>
    <row r="992" spans="1:9" x14ac:dyDescent="0.2">
      <c r="A992" s="2">
        <v>20</v>
      </c>
      <c r="B992" s="1" t="s">
        <v>75</v>
      </c>
      <c r="C992" s="4">
        <v>11</v>
      </c>
      <c r="D992" s="8">
        <v>1.46</v>
      </c>
      <c r="E992" s="4">
        <v>1</v>
      </c>
      <c r="F992" s="8">
        <v>0.26</v>
      </c>
      <c r="G992" s="4">
        <v>10</v>
      </c>
      <c r="H992" s="8">
        <v>2.83</v>
      </c>
      <c r="I992" s="4">
        <v>0</v>
      </c>
    </row>
    <row r="993" spans="1:9" x14ac:dyDescent="0.2">
      <c r="A993" s="1"/>
      <c r="C993" s="4"/>
      <c r="D993" s="8"/>
      <c r="E993" s="4"/>
      <c r="F993" s="8"/>
      <c r="G993" s="4"/>
      <c r="H993" s="8"/>
      <c r="I993" s="4"/>
    </row>
    <row r="994" spans="1:9" x14ac:dyDescent="0.2">
      <c r="A994" s="1" t="s">
        <v>44</v>
      </c>
      <c r="C994" s="4"/>
      <c r="D994" s="8"/>
      <c r="E994" s="4"/>
      <c r="F994" s="8"/>
      <c r="G994" s="4"/>
      <c r="H994" s="8"/>
      <c r="I994" s="4"/>
    </row>
    <row r="995" spans="1:9" x14ac:dyDescent="0.2">
      <c r="A995" s="2">
        <v>1</v>
      </c>
      <c r="B995" s="1" t="s">
        <v>77</v>
      </c>
      <c r="C995" s="4">
        <v>45</v>
      </c>
      <c r="D995" s="8">
        <v>15.25</v>
      </c>
      <c r="E995" s="4">
        <v>37</v>
      </c>
      <c r="F995" s="8">
        <v>17.79</v>
      </c>
      <c r="G995" s="4">
        <v>6</v>
      </c>
      <c r="H995" s="8">
        <v>7.69</v>
      </c>
      <c r="I995" s="4">
        <v>2</v>
      </c>
    </row>
    <row r="996" spans="1:9" x14ac:dyDescent="0.2">
      <c r="A996" s="2">
        <v>2</v>
      </c>
      <c r="B996" s="1" t="s">
        <v>84</v>
      </c>
      <c r="C996" s="4">
        <v>29</v>
      </c>
      <c r="D996" s="8">
        <v>9.83</v>
      </c>
      <c r="E996" s="4">
        <v>26</v>
      </c>
      <c r="F996" s="8">
        <v>12.5</v>
      </c>
      <c r="G996" s="4">
        <v>3</v>
      </c>
      <c r="H996" s="8">
        <v>3.85</v>
      </c>
      <c r="I996" s="4">
        <v>0</v>
      </c>
    </row>
    <row r="997" spans="1:9" x14ac:dyDescent="0.2">
      <c r="A997" s="2">
        <v>3</v>
      </c>
      <c r="B997" s="1" t="s">
        <v>85</v>
      </c>
      <c r="C997" s="4">
        <v>26</v>
      </c>
      <c r="D997" s="8">
        <v>8.81</v>
      </c>
      <c r="E997" s="4">
        <v>26</v>
      </c>
      <c r="F997" s="8">
        <v>12.5</v>
      </c>
      <c r="G997" s="4">
        <v>0</v>
      </c>
      <c r="H997" s="8">
        <v>0</v>
      </c>
      <c r="I997" s="4">
        <v>0</v>
      </c>
    </row>
    <row r="998" spans="1:9" x14ac:dyDescent="0.2">
      <c r="A998" s="2">
        <v>4</v>
      </c>
      <c r="B998" s="1" t="s">
        <v>69</v>
      </c>
      <c r="C998" s="4">
        <v>23</v>
      </c>
      <c r="D998" s="8">
        <v>7.8</v>
      </c>
      <c r="E998" s="4">
        <v>8</v>
      </c>
      <c r="F998" s="8">
        <v>3.85</v>
      </c>
      <c r="G998" s="4">
        <v>15</v>
      </c>
      <c r="H998" s="8">
        <v>19.23</v>
      </c>
      <c r="I998" s="4">
        <v>0</v>
      </c>
    </row>
    <row r="999" spans="1:9" x14ac:dyDescent="0.2">
      <c r="A999" s="2">
        <v>4</v>
      </c>
      <c r="B999" s="1" t="s">
        <v>97</v>
      </c>
      <c r="C999" s="4">
        <v>23</v>
      </c>
      <c r="D999" s="8">
        <v>7.8</v>
      </c>
      <c r="E999" s="4">
        <v>12</v>
      </c>
      <c r="F999" s="8">
        <v>5.77</v>
      </c>
      <c r="G999" s="4">
        <v>8</v>
      </c>
      <c r="H999" s="8">
        <v>10.26</v>
      </c>
      <c r="I999" s="4">
        <v>3</v>
      </c>
    </row>
    <row r="1000" spans="1:9" x14ac:dyDescent="0.2">
      <c r="A1000" s="2">
        <v>6</v>
      </c>
      <c r="B1000" s="1" t="s">
        <v>79</v>
      </c>
      <c r="C1000" s="4">
        <v>22</v>
      </c>
      <c r="D1000" s="8">
        <v>7.46</v>
      </c>
      <c r="E1000" s="4">
        <v>14</v>
      </c>
      <c r="F1000" s="8">
        <v>6.73</v>
      </c>
      <c r="G1000" s="4">
        <v>8</v>
      </c>
      <c r="H1000" s="8">
        <v>10.26</v>
      </c>
      <c r="I1000" s="4">
        <v>0</v>
      </c>
    </row>
    <row r="1001" spans="1:9" x14ac:dyDescent="0.2">
      <c r="A1001" s="2">
        <v>7</v>
      </c>
      <c r="B1001" s="1" t="s">
        <v>99</v>
      </c>
      <c r="C1001" s="4">
        <v>21</v>
      </c>
      <c r="D1001" s="8">
        <v>7.12</v>
      </c>
      <c r="E1001" s="4">
        <v>19</v>
      </c>
      <c r="F1001" s="8">
        <v>9.1300000000000008</v>
      </c>
      <c r="G1001" s="4">
        <v>2</v>
      </c>
      <c r="H1001" s="8">
        <v>2.56</v>
      </c>
      <c r="I1001" s="4">
        <v>0</v>
      </c>
    </row>
    <row r="1002" spans="1:9" x14ac:dyDescent="0.2">
      <c r="A1002" s="2">
        <v>8</v>
      </c>
      <c r="B1002" s="1" t="s">
        <v>70</v>
      </c>
      <c r="C1002" s="4">
        <v>13</v>
      </c>
      <c r="D1002" s="8">
        <v>4.41</v>
      </c>
      <c r="E1002" s="4">
        <v>10</v>
      </c>
      <c r="F1002" s="8">
        <v>4.8099999999999996</v>
      </c>
      <c r="G1002" s="4">
        <v>3</v>
      </c>
      <c r="H1002" s="8">
        <v>3.85</v>
      </c>
      <c r="I1002" s="4">
        <v>0</v>
      </c>
    </row>
    <row r="1003" spans="1:9" x14ac:dyDescent="0.2">
      <c r="A1003" s="2">
        <v>9</v>
      </c>
      <c r="B1003" s="1" t="s">
        <v>71</v>
      </c>
      <c r="C1003" s="4">
        <v>10</v>
      </c>
      <c r="D1003" s="8">
        <v>3.39</v>
      </c>
      <c r="E1003" s="4">
        <v>4</v>
      </c>
      <c r="F1003" s="8">
        <v>1.92</v>
      </c>
      <c r="G1003" s="4">
        <v>6</v>
      </c>
      <c r="H1003" s="8">
        <v>7.69</v>
      </c>
      <c r="I1003" s="4">
        <v>0</v>
      </c>
    </row>
    <row r="1004" spans="1:9" x14ac:dyDescent="0.2">
      <c r="A1004" s="2">
        <v>10</v>
      </c>
      <c r="B1004" s="1" t="s">
        <v>87</v>
      </c>
      <c r="C1004" s="4">
        <v>9</v>
      </c>
      <c r="D1004" s="8">
        <v>3.05</v>
      </c>
      <c r="E1004" s="4">
        <v>8</v>
      </c>
      <c r="F1004" s="8">
        <v>3.85</v>
      </c>
      <c r="G1004" s="4">
        <v>1</v>
      </c>
      <c r="H1004" s="8">
        <v>1.28</v>
      </c>
      <c r="I1004" s="4">
        <v>0</v>
      </c>
    </row>
    <row r="1005" spans="1:9" x14ac:dyDescent="0.2">
      <c r="A1005" s="2">
        <v>11</v>
      </c>
      <c r="B1005" s="1" t="s">
        <v>78</v>
      </c>
      <c r="C1005" s="4">
        <v>8</v>
      </c>
      <c r="D1005" s="8">
        <v>2.71</v>
      </c>
      <c r="E1005" s="4">
        <v>7</v>
      </c>
      <c r="F1005" s="8">
        <v>3.37</v>
      </c>
      <c r="G1005" s="4">
        <v>1</v>
      </c>
      <c r="H1005" s="8">
        <v>1.28</v>
      </c>
      <c r="I1005" s="4">
        <v>0</v>
      </c>
    </row>
    <row r="1006" spans="1:9" x14ac:dyDescent="0.2">
      <c r="A1006" s="2">
        <v>12</v>
      </c>
      <c r="B1006" s="1" t="s">
        <v>76</v>
      </c>
      <c r="C1006" s="4">
        <v>7</v>
      </c>
      <c r="D1006" s="8">
        <v>2.37</v>
      </c>
      <c r="E1006" s="4">
        <v>7</v>
      </c>
      <c r="F1006" s="8">
        <v>3.37</v>
      </c>
      <c r="G1006" s="4">
        <v>0</v>
      </c>
      <c r="H1006" s="8">
        <v>0</v>
      </c>
      <c r="I1006" s="4">
        <v>0</v>
      </c>
    </row>
    <row r="1007" spans="1:9" x14ac:dyDescent="0.2">
      <c r="A1007" s="2">
        <v>13</v>
      </c>
      <c r="B1007" s="1" t="s">
        <v>90</v>
      </c>
      <c r="C1007" s="4">
        <v>6</v>
      </c>
      <c r="D1007" s="8">
        <v>2.0299999999999998</v>
      </c>
      <c r="E1007" s="4">
        <v>0</v>
      </c>
      <c r="F1007" s="8">
        <v>0</v>
      </c>
      <c r="G1007" s="4">
        <v>4</v>
      </c>
      <c r="H1007" s="8">
        <v>5.13</v>
      </c>
      <c r="I1007" s="4">
        <v>0</v>
      </c>
    </row>
    <row r="1008" spans="1:9" x14ac:dyDescent="0.2">
      <c r="A1008" s="2">
        <v>14</v>
      </c>
      <c r="B1008" s="1" t="s">
        <v>110</v>
      </c>
      <c r="C1008" s="4">
        <v>5</v>
      </c>
      <c r="D1008" s="8">
        <v>1.69</v>
      </c>
      <c r="E1008" s="4">
        <v>4</v>
      </c>
      <c r="F1008" s="8">
        <v>1.92</v>
      </c>
      <c r="G1008" s="4">
        <v>1</v>
      </c>
      <c r="H1008" s="8">
        <v>1.28</v>
      </c>
      <c r="I1008" s="4">
        <v>0</v>
      </c>
    </row>
    <row r="1009" spans="1:9" x14ac:dyDescent="0.2">
      <c r="A1009" s="2">
        <v>14</v>
      </c>
      <c r="B1009" s="1" t="s">
        <v>86</v>
      </c>
      <c r="C1009" s="4">
        <v>5</v>
      </c>
      <c r="D1009" s="8">
        <v>1.69</v>
      </c>
      <c r="E1009" s="4">
        <v>4</v>
      </c>
      <c r="F1009" s="8">
        <v>1.92</v>
      </c>
      <c r="G1009" s="4">
        <v>0</v>
      </c>
      <c r="H1009" s="8">
        <v>0</v>
      </c>
      <c r="I1009" s="4">
        <v>0</v>
      </c>
    </row>
    <row r="1010" spans="1:9" x14ac:dyDescent="0.2">
      <c r="A1010" s="2">
        <v>14</v>
      </c>
      <c r="B1010" s="1" t="s">
        <v>111</v>
      </c>
      <c r="C1010" s="4">
        <v>5</v>
      </c>
      <c r="D1010" s="8">
        <v>1.69</v>
      </c>
      <c r="E1010" s="4">
        <v>1</v>
      </c>
      <c r="F1010" s="8">
        <v>0.48</v>
      </c>
      <c r="G1010" s="4">
        <v>4</v>
      </c>
      <c r="H1010" s="8">
        <v>5.13</v>
      </c>
      <c r="I1010" s="4">
        <v>0</v>
      </c>
    </row>
    <row r="1011" spans="1:9" x14ac:dyDescent="0.2">
      <c r="A1011" s="2">
        <v>17</v>
      </c>
      <c r="B1011" s="1" t="s">
        <v>98</v>
      </c>
      <c r="C1011" s="4">
        <v>3</v>
      </c>
      <c r="D1011" s="8">
        <v>1.02</v>
      </c>
      <c r="E1011" s="4">
        <v>2</v>
      </c>
      <c r="F1011" s="8">
        <v>0.96</v>
      </c>
      <c r="G1011" s="4">
        <v>1</v>
      </c>
      <c r="H1011" s="8">
        <v>1.28</v>
      </c>
      <c r="I1011" s="4">
        <v>0</v>
      </c>
    </row>
    <row r="1012" spans="1:9" x14ac:dyDescent="0.2">
      <c r="A1012" s="2">
        <v>17</v>
      </c>
      <c r="B1012" s="1" t="s">
        <v>108</v>
      </c>
      <c r="C1012" s="4">
        <v>3</v>
      </c>
      <c r="D1012" s="8">
        <v>1.02</v>
      </c>
      <c r="E1012" s="4">
        <v>0</v>
      </c>
      <c r="F1012" s="8">
        <v>0</v>
      </c>
      <c r="G1012" s="4">
        <v>3</v>
      </c>
      <c r="H1012" s="8">
        <v>3.85</v>
      </c>
      <c r="I1012" s="4">
        <v>0</v>
      </c>
    </row>
    <row r="1013" spans="1:9" x14ac:dyDescent="0.2">
      <c r="A1013" s="2">
        <v>17</v>
      </c>
      <c r="B1013" s="1" t="s">
        <v>82</v>
      </c>
      <c r="C1013" s="4">
        <v>3</v>
      </c>
      <c r="D1013" s="8">
        <v>1.02</v>
      </c>
      <c r="E1013" s="4">
        <v>2</v>
      </c>
      <c r="F1013" s="8">
        <v>0.96</v>
      </c>
      <c r="G1013" s="4">
        <v>1</v>
      </c>
      <c r="H1013" s="8">
        <v>1.28</v>
      </c>
      <c r="I1013" s="4">
        <v>0</v>
      </c>
    </row>
    <row r="1014" spans="1:9" x14ac:dyDescent="0.2">
      <c r="A1014" s="2">
        <v>20</v>
      </c>
      <c r="B1014" s="1" t="s">
        <v>100</v>
      </c>
      <c r="C1014" s="4">
        <v>2</v>
      </c>
      <c r="D1014" s="8">
        <v>0.68</v>
      </c>
      <c r="E1014" s="4">
        <v>1</v>
      </c>
      <c r="F1014" s="8">
        <v>0.48</v>
      </c>
      <c r="G1014" s="4">
        <v>1</v>
      </c>
      <c r="H1014" s="8">
        <v>1.28</v>
      </c>
      <c r="I1014" s="4">
        <v>0</v>
      </c>
    </row>
    <row r="1015" spans="1:9" x14ac:dyDescent="0.2">
      <c r="A1015" s="2">
        <v>20</v>
      </c>
      <c r="B1015" s="1" t="s">
        <v>91</v>
      </c>
      <c r="C1015" s="4">
        <v>2</v>
      </c>
      <c r="D1015" s="8">
        <v>0.68</v>
      </c>
      <c r="E1015" s="4">
        <v>1</v>
      </c>
      <c r="F1015" s="8">
        <v>0.48</v>
      </c>
      <c r="G1015" s="4">
        <v>1</v>
      </c>
      <c r="H1015" s="8">
        <v>1.28</v>
      </c>
      <c r="I1015" s="4">
        <v>0</v>
      </c>
    </row>
    <row r="1016" spans="1:9" x14ac:dyDescent="0.2">
      <c r="A1016" s="2">
        <v>20</v>
      </c>
      <c r="B1016" s="1" t="s">
        <v>113</v>
      </c>
      <c r="C1016" s="4">
        <v>2</v>
      </c>
      <c r="D1016" s="8">
        <v>0.68</v>
      </c>
      <c r="E1016" s="4">
        <v>2</v>
      </c>
      <c r="F1016" s="8">
        <v>0.96</v>
      </c>
      <c r="G1016" s="4">
        <v>0</v>
      </c>
      <c r="H1016" s="8">
        <v>0</v>
      </c>
      <c r="I1016" s="4">
        <v>0</v>
      </c>
    </row>
    <row r="1017" spans="1:9" x14ac:dyDescent="0.2">
      <c r="A1017" s="2">
        <v>20</v>
      </c>
      <c r="B1017" s="1" t="s">
        <v>92</v>
      </c>
      <c r="C1017" s="4">
        <v>2</v>
      </c>
      <c r="D1017" s="8">
        <v>0.68</v>
      </c>
      <c r="E1017" s="4">
        <v>2</v>
      </c>
      <c r="F1017" s="8">
        <v>0.96</v>
      </c>
      <c r="G1017" s="4">
        <v>0</v>
      </c>
      <c r="H1017" s="8">
        <v>0</v>
      </c>
      <c r="I1017" s="4">
        <v>0</v>
      </c>
    </row>
    <row r="1018" spans="1:9" x14ac:dyDescent="0.2">
      <c r="A1018" s="2">
        <v>20</v>
      </c>
      <c r="B1018" s="1" t="s">
        <v>74</v>
      </c>
      <c r="C1018" s="4">
        <v>2</v>
      </c>
      <c r="D1018" s="8">
        <v>0.68</v>
      </c>
      <c r="E1018" s="4">
        <v>1</v>
      </c>
      <c r="F1018" s="8">
        <v>0.48</v>
      </c>
      <c r="G1018" s="4">
        <v>1</v>
      </c>
      <c r="H1018" s="8">
        <v>1.28</v>
      </c>
      <c r="I1018" s="4">
        <v>0</v>
      </c>
    </row>
    <row r="1019" spans="1:9" x14ac:dyDescent="0.2">
      <c r="A1019" s="2">
        <v>20</v>
      </c>
      <c r="B1019" s="1" t="s">
        <v>109</v>
      </c>
      <c r="C1019" s="4">
        <v>2</v>
      </c>
      <c r="D1019" s="8">
        <v>0.68</v>
      </c>
      <c r="E1019" s="4">
        <v>2</v>
      </c>
      <c r="F1019" s="8">
        <v>0.96</v>
      </c>
      <c r="G1019" s="4">
        <v>0</v>
      </c>
      <c r="H1019" s="8">
        <v>0</v>
      </c>
      <c r="I1019" s="4">
        <v>0</v>
      </c>
    </row>
    <row r="1020" spans="1:9" x14ac:dyDescent="0.2">
      <c r="A1020" s="1"/>
      <c r="C1020" s="4"/>
      <c r="D1020" s="8"/>
      <c r="E1020" s="4"/>
      <c r="F1020" s="8"/>
      <c r="G1020" s="4"/>
      <c r="H1020" s="8"/>
      <c r="I1020" s="4"/>
    </row>
    <row r="1021" spans="1:9" x14ac:dyDescent="0.2">
      <c r="A1021" s="1" t="s">
        <v>45</v>
      </c>
      <c r="C1021" s="4"/>
      <c r="D1021" s="8"/>
      <c r="E1021" s="4"/>
      <c r="F1021" s="8"/>
      <c r="G1021" s="4"/>
      <c r="H1021" s="8"/>
      <c r="I1021" s="4"/>
    </row>
    <row r="1022" spans="1:9" x14ac:dyDescent="0.2">
      <c r="A1022" s="2">
        <v>1</v>
      </c>
      <c r="B1022" s="1" t="s">
        <v>69</v>
      </c>
      <c r="C1022" s="4">
        <v>53</v>
      </c>
      <c r="D1022" s="8">
        <v>11.23</v>
      </c>
      <c r="E1022" s="4">
        <v>22</v>
      </c>
      <c r="F1022" s="8">
        <v>7.46</v>
      </c>
      <c r="G1022" s="4">
        <v>31</v>
      </c>
      <c r="H1022" s="8">
        <v>18.34</v>
      </c>
      <c r="I1022" s="4">
        <v>0</v>
      </c>
    </row>
    <row r="1023" spans="1:9" x14ac:dyDescent="0.2">
      <c r="A1023" s="2">
        <v>2</v>
      </c>
      <c r="B1023" s="1" t="s">
        <v>85</v>
      </c>
      <c r="C1023" s="4">
        <v>48</v>
      </c>
      <c r="D1023" s="8">
        <v>10.17</v>
      </c>
      <c r="E1023" s="4">
        <v>46</v>
      </c>
      <c r="F1023" s="8">
        <v>15.59</v>
      </c>
      <c r="G1023" s="4">
        <v>2</v>
      </c>
      <c r="H1023" s="8">
        <v>1.18</v>
      </c>
      <c r="I1023" s="4">
        <v>0</v>
      </c>
    </row>
    <row r="1024" spans="1:9" x14ac:dyDescent="0.2">
      <c r="A1024" s="2">
        <v>3</v>
      </c>
      <c r="B1024" s="1" t="s">
        <v>79</v>
      </c>
      <c r="C1024" s="4">
        <v>38</v>
      </c>
      <c r="D1024" s="8">
        <v>8.0500000000000007</v>
      </c>
      <c r="E1024" s="4">
        <v>24</v>
      </c>
      <c r="F1024" s="8">
        <v>8.14</v>
      </c>
      <c r="G1024" s="4">
        <v>13</v>
      </c>
      <c r="H1024" s="8">
        <v>7.69</v>
      </c>
      <c r="I1024" s="4">
        <v>1</v>
      </c>
    </row>
    <row r="1025" spans="1:9" x14ac:dyDescent="0.2">
      <c r="A1025" s="2">
        <v>4</v>
      </c>
      <c r="B1025" s="1" t="s">
        <v>77</v>
      </c>
      <c r="C1025" s="4">
        <v>37</v>
      </c>
      <c r="D1025" s="8">
        <v>7.84</v>
      </c>
      <c r="E1025" s="4">
        <v>29</v>
      </c>
      <c r="F1025" s="8">
        <v>9.83</v>
      </c>
      <c r="G1025" s="4">
        <v>8</v>
      </c>
      <c r="H1025" s="8">
        <v>4.7300000000000004</v>
      </c>
      <c r="I1025" s="4">
        <v>0</v>
      </c>
    </row>
    <row r="1026" spans="1:9" x14ac:dyDescent="0.2">
      <c r="A1026" s="2">
        <v>5</v>
      </c>
      <c r="B1026" s="1" t="s">
        <v>70</v>
      </c>
      <c r="C1026" s="4">
        <v>31</v>
      </c>
      <c r="D1026" s="8">
        <v>6.57</v>
      </c>
      <c r="E1026" s="4">
        <v>19</v>
      </c>
      <c r="F1026" s="8">
        <v>6.44</v>
      </c>
      <c r="G1026" s="4">
        <v>12</v>
      </c>
      <c r="H1026" s="8">
        <v>7.1</v>
      </c>
      <c r="I1026" s="4">
        <v>0</v>
      </c>
    </row>
    <row r="1027" spans="1:9" x14ac:dyDescent="0.2">
      <c r="A1027" s="2">
        <v>6</v>
      </c>
      <c r="B1027" s="1" t="s">
        <v>84</v>
      </c>
      <c r="C1027" s="4">
        <v>24</v>
      </c>
      <c r="D1027" s="8">
        <v>5.08</v>
      </c>
      <c r="E1027" s="4">
        <v>23</v>
      </c>
      <c r="F1027" s="8">
        <v>7.8</v>
      </c>
      <c r="G1027" s="4">
        <v>1</v>
      </c>
      <c r="H1027" s="8">
        <v>0.59</v>
      </c>
      <c r="I1027" s="4">
        <v>0</v>
      </c>
    </row>
    <row r="1028" spans="1:9" x14ac:dyDescent="0.2">
      <c r="A1028" s="2">
        <v>7</v>
      </c>
      <c r="B1028" s="1" t="s">
        <v>71</v>
      </c>
      <c r="C1028" s="4">
        <v>21</v>
      </c>
      <c r="D1028" s="8">
        <v>4.45</v>
      </c>
      <c r="E1028" s="4">
        <v>11</v>
      </c>
      <c r="F1028" s="8">
        <v>3.73</v>
      </c>
      <c r="G1028" s="4">
        <v>10</v>
      </c>
      <c r="H1028" s="8">
        <v>5.92</v>
      </c>
      <c r="I1028" s="4">
        <v>0</v>
      </c>
    </row>
    <row r="1029" spans="1:9" x14ac:dyDescent="0.2">
      <c r="A1029" s="2">
        <v>8</v>
      </c>
      <c r="B1029" s="1" t="s">
        <v>86</v>
      </c>
      <c r="C1029" s="4">
        <v>19</v>
      </c>
      <c r="D1029" s="8">
        <v>4.03</v>
      </c>
      <c r="E1029" s="4">
        <v>18</v>
      </c>
      <c r="F1029" s="8">
        <v>6.1</v>
      </c>
      <c r="G1029" s="4">
        <v>0</v>
      </c>
      <c r="H1029" s="8">
        <v>0</v>
      </c>
      <c r="I1029" s="4">
        <v>0</v>
      </c>
    </row>
    <row r="1030" spans="1:9" x14ac:dyDescent="0.2">
      <c r="A1030" s="2">
        <v>9</v>
      </c>
      <c r="B1030" s="1" t="s">
        <v>87</v>
      </c>
      <c r="C1030" s="4">
        <v>18</v>
      </c>
      <c r="D1030" s="8">
        <v>3.81</v>
      </c>
      <c r="E1030" s="4">
        <v>18</v>
      </c>
      <c r="F1030" s="8">
        <v>6.1</v>
      </c>
      <c r="G1030" s="4">
        <v>0</v>
      </c>
      <c r="H1030" s="8">
        <v>0</v>
      </c>
      <c r="I1030" s="4">
        <v>0</v>
      </c>
    </row>
    <row r="1031" spans="1:9" x14ac:dyDescent="0.2">
      <c r="A1031" s="2">
        <v>10</v>
      </c>
      <c r="B1031" s="1" t="s">
        <v>78</v>
      </c>
      <c r="C1031" s="4">
        <v>13</v>
      </c>
      <c r="D1031" s="8">
        <v>2.75</v>
      </c>
      <c r="E1031" s="4">
        <v>6</v>
      </c>
      <c r="F1031" s="8">
        <v>2.0299999999999998</v>
      </c>
      <c r="G1031" s="4">
        <v>7</v>
      </c>
      <c r="H1031" s="8">
        <v>4.1399999999999997</v>
      </c>
      <c r="I1031" s="4">
        <v>0</v>
      </c>
    </row>
    <row r="1032" spans="1:9" x14ac:dyDescent="0.2">
      <c r="A1032" s="2">
        <v>11</v>
      </c>
      <c r="B1032" s="1" t="s">
        <v>81</v>
      </c>
      <c r="C1032" s="4">
        <v>12</v>
      </c>
      <c r="D1032" s="8">
        <v>2.54</v>
      </c>
      <c r="E1032" s="4">
        <v>6</v>
      </c>
      <c r="F1032" s="8">
        <v>2.0299999999999998</v>
      </c>
      <c r="G1032" s="4">
        <v>5</v>
      </c>
      <c r="H1032" s="8">
        <v>2.96</v>
      </c>
      <c r="I1032" s="4">
        <v>0</v>
      </c>
    </row>
    <row r="1033" spans="1:9" x14ac:dyDescent="0.2">
      <c r="A1033" s="2">
        <v>12</v>
      </c>
      <c r="B1033" s="1" t="s">
        <v>83</v>
      </c>
      <c r="C1033" s="4">
        <v>11</v>
      </c>
      <c r="D1033" s="8">
        <v>2.33</v>
      </c>
      <c r="E1033" s="4">
        <v>6</v>
      </c>
      <c r="F1033" s="8">
        <v>2.0299999999999998</v>
      </c>
      <c r="G1033" s="4">
        <v>5</v>
      </c>
      <c r="H1033" s="8">
        <v>2.96</v>
      </c>
      <c r="I1033" s="4">
        <v>0</v>
      </c>
    </row>
    <row r="1034" spans="1:9" x14ac:dyDescent="0.2">
      <c r="A1034" s="2">
        <v>13</v>
      </c>
      <c r="B1034" s="1" t="s">
        <v>82</v>
      </c>
      <c r="C1034" s="4">
        <v>10</v>
      </c>
      <c r="D1034" s="8">
        <v>2.12</v>
      </c>
      <c r="E1034" s="4">
        <v>8</v>
      </c>
      <c r="F1034" s="8">
        <v>2.71</v>
      </c>
      <c r="G1034" s="4">
        <v>2</v>
      </c>
      <c r="H1034" s="8">
        <v>1.18</v>
      </c>
      <c r="I1034" s="4">
        <v>0</v>
      </c>
    </row>
    <row r="1035" spans="1:9" x14ac:dyDescent="0.2">
      <c r="A1035" s="2">
        <v>14</v>
      </c>
      <c r="B1035" s="1" t="s">
        <v>97</v>
      </c>
      <c r="C1035" s="4">
        <v>9</v>
      </c>
      <c r="D1035" s="8">
        <v>1.91</v>
      </c>
      <c r="E1035" s="4">
        <v>4</v>
      </c>
      <c r="F1035" s="8">
        <v>1.36</v>
      </c>
      <c r="G1035" s="4">
        <v>5</v>
      </c>
      <c r="H1035" s="8">
        <v>2.96</v>
      </c>
      <c r="I1035" s="4">
        <v>0</v>
      </c>
    </row>
    <row r="1036" spans="1:9" x14ac:dyDescent="0.2">
      <c r="A1036" s="2">
        <v>14</v>
      </c>
      <c r="B1036" s="1" t="s">
        <v>74</v>
      </c>
      <c r="C1036" s="4">
        <v>9</v>
      </c>
      <c r="D1036" s="8">
        <v>1.91</v>
      </c>
      <c r="E1036" s="4">
        <v>4</v>
      </c>
      <c r="F1036" s="8">
        <v>1.36</v>
      </c>
      <c r="G1036" s="4">
        <v>5</v>
      </c>
      <c r="H1036" s="8">
        <v>2.96</v>
      </c>
      <c r="I1036" s="4">
        <v>0</v>
      </c>
    </row>
    <row r="1037" spans="1:9" x14ac:dyDescent="0.2">
      <c r="A1037" s="2">
        <v>16</v>
      </c>
      <c r="B1037" s="1" t="s">
        <v>72</v>
      </c>
      <c r="C1037" s="4">
        <v>8</v>
      </c>
      <c r="D1037" s="8">
        <v>1.69</v>
      </c>
      <c r="E1037" s="4">
        <v>2</v>
      </c>
      <c r="F1037" s="8">
        <v>0.68</v>
      </c>
      <c r="G1037" s="4">
        <v>6</v>
      </c>
      <c r="H1037" s="8">
        <v>3.55</v>
      </c>
      <c r="I1037" s="4">
        <v>0</v>
      </c>
    </row>
    <row r="1038" spans="1:9" x14ac:dyDescent="0.2">
      <c r="A1038" s="2">
        <v>16</v>
      </c>
      <c r="B1038" s="1" t="s">
        <v>76</v>
      </c>
      <c r="C1038" s="4">
        <v>8</v>
      </c>
      <c r="D1038" s="8">
        <v>1.69</v>
      </c>
      <c r="E1038" s="4">
        <v>6</v>
      </c>
      <c r="F1038" s="8">
        <v>2.0299999999999998</v>
      </c>
      <c r="G1038" s="4">
        <v>2</v>
      </c>
      <c r="H1038" s="8">
        <v>1.18</v>
      </c>
      <c r="I1038" s="4">
        <v>0</v>
      </c>
    </row>
    <row r="1039" spans="1:9" x14ac:dyDescent="0.2">
      <c r="A1039" s="2">
        <v>18</v>
      </c>
      <c r="B1039" s="1" t="s">
        <v>100</v>
      </c>
      <c r="C1039" s="4">
        <v>6</v>
      </c>
      <c r="D1039" s="8">
        <v>1.27</v>
      </c>
      <c r="E1039" s="4">
        <v>5</v>
      </c>
      <c r="F1039" s="8">
        <v>1.69</v>
      </c>
      <c r="G1039" s="4">
        <v>1</v>
      </c>
      <c r="H1039" s="8">
        <v>0.59</v>
      </c>
      <c r="I1039" s="4">
        <v>0</v>
      </c>
    </row>
    <row r="1040" spans="1:9" x14ac:dyDescent="0.2">
      <c r="A1040" s="2">
        <v>18</v>
      </c>
      <c r="B1040" s="1" t="s">
        <v>98</v>
      </c>
      <c r="C1040" s="4">
        <v>6</v>
      </c>
      <c r="D1040" s="8">
        <v>1.27</v>
      </c>
      <c r="E1040" s="4">
        <v>1</v>
      </c>
      <c r="F1040" s="8">
        <v>0.34</v>
      </c>
      <c r="G1040" s="4">
        <v>5</v>
      </c>
      <c r="H1040" s="8">
        <v>2.96</v>
      </c>
      <c r="I1040" s="4">
        <v>0</v>
      </c>
    </row>
    <row r="1041" spans="1:9" x14ac:dyDescent="0.2">
      <c r="A1041" s="2">
        <v>18</v>
      </c>
      <c r="B1041" s="1" t="s">
        <v>88</v>
      </c>
      <c r="C1041" s="4">
        <v>6</v>
      </c>
      <c r="D1041" s="8">
        <v>1.27</v>
      </c>
      <c r="E1041" s="4">
        <v>5</v>
      </c>
      <c r="F1041" s="8">
        <v>1.69</v>
      </c>
      <c r="G1041" s="4">
        <v>1</v>
      </c>
      <c r="H1041" s="8">
        <v>0.59</v>
      </c>
      <c r="I1041" s="4">
        <v>0</v>
      </c>
    </row>
    <row r="1042" spans="1:9" x14ac:dyDescent="0.2">
      <c r="A1042" s="1"/>
      <c r="C1042" s="4"/>
      <c r="D1042" s="8"/>
      <c r="E1042" s="4"/>
      <c r="F1042" s="8"/>
      <c r="G1042" s="4"/>
      <c r="H1042" s="8"/>
      <c r="I1042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産業中分類トップ２０</oddHeader>
    <oddFooter>&amp;C&amp;P /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B74A-7480-4D4A-8931-D9595C5D9EE5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219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0.05</v>
      </c>
      <c r="E5" s="12">
        <v>0</v>
      </c>
      <c r="F5" s="8">
        <v>0</v>
      </c>
      <c r="G5" s="12">
        <v>1</v>
      </c>
      <c r="H5" s="8">
        <v>0.13</v>
      </c>
      <c r="I5" s="12">
        <v>0</v>
      </c>
    </row>
    <row r="6" spans="2:9" ht="15" customHeight="1" x14ac:dyDescent="0.2">
      <c r="B6" t="s">
        <v>47</v>
      </c>
      <c r="C6" s="12">
        <v>297</v>
      </c>
      <c r="D6" s="8">
        <v>15.91</v>
      </c>
      <c r="E6" s="12">
        <v>143</v>
      </c>
      <c r="F6" s="8">
        <v>13.13</v>
      </c>
      <c r="G6" s="12">
        <v>154</v>
      </c>
      <c r="H6" s="8">
        <v>20.32</v>
      </c>
      <c r="I6" s="12">
        <v>0</v>
      </c>
    </row>
    <row r="7" spans="2:9" ht="15" customHeight="1" x14ac:dyDescent="0.2">
      <c r="B7" t="s">
        <v>48</v>
      </c>
      <c r="C7" s="12">
        <v>182</v>
      </c>
      <c r="D7" s="8">
        <v>9.75</v>
      </c>
      <c r="E7" s="12">
        <v>72</v>
      </c>
      <c r="F7" s="8">
        <v>6.61</v>
      </c>
      <c r="G7" s="12">
        <v>110</v>
      </c>
      <c r="H7" s="8">
        <v>14.51</v>
      </c>
      <c r="I7" s="12">
        <v>0</v>
      </c>
    </row>
    <row r="8" spans="2:9" ht="15" customHeight="1" x14ac:dyDescent="0.2">
      <c r="B8" t="s">
        <v>49</v>
      </c>
      <c r="C8" s="12">
        <v>8</v>
      </c>
      <c r="D8" s="8">
        <v>0.43</v>
      </c>
      <c r="E8" s="12">
        <v>0</v>
      </c>
      <c r="F8" s="8">
        <v>0</v>
      </c>
      <c r="G8" s="12">
        <v>8</v>
      </c>
      <c r="H8" s="8">
        <v>1.06</v>
      </c>
      <c r="I8" s="12">
        <v>0</v>
      </c>
    </row>
    <row r="9" spans="2:9" ht="15" customHeight="1" x14ac:dyDescent="0.2">
      <c r="B9" t="s">
        <v>50</v>
      </c>
      <c r="C9" s="12">
        <v>10</v>
      </c>
      <c r="D9" s="8">
        <v>0.54</v>
      </c>
      <c r="E9" s="12">
        <v>1</v>
      </c>
      <c r="F9" s="8">
        <v>0.09</v>
      </c>
      <c r="G9" s="12">
        <v>9</v>
      </c>
      <c r="H9" s="8">
        <v>1.19</v>
      </c>
      <c r="I9" s="12">
        <v>0</v>
      </c>
    </row>
    <row r="10" spans="2:9" ht="15" customHeight="1" x14ac:dyDescent="0.2">
      <c r="B10" t="s">
        <v>51</v>
      </c>
      <c r="C10" s="12">
        <v>37</v>
      </c>
      <c r="D10" s="8">
        <v>1.98</v>
      </c>
      <c r="E10" s="12">
        <v>3</v>
      </c>
      <c r="F10" s="8">
        <v>0.28000000000000003</v>
      </c>
      <c r="G10" s="12">
        <v>33</v>
      </c>
      <c r="H10" s="8">
        <v>4.3499999999999996</v>
      </c>
      <c r="I10" s="12">
        <v>1</v>
      </c>
    </row>
    <row r="11" spans="2:9" ht="15" customHeight="1" x14ac:dyDescent="0.2">
      <c r="B11" t="s">
        <v>52</v>
      </c>
      <c r="C11" s="12">
        <v>367</v>
      </c>
      <c r="D11" s="8">
        <v>19.66</v>
      </c>
      <c r="E11" s="12">
        <v>183</v>
      </c>
      <c r="F11" s="8">
        <v>16.8</v>
      </c>
      <c r="G11" s="12">
        <v>183</v>
      </c>
      <c r="H11" s="8">
        <v>24.14</v>
      </c>
      <c r="I11" s="12">
        <v>1</v>
      </c>
    </row>
    <row r="12" spans="2:9" ht="15" customHeight="1" x14ac:dyDescent="0.2">
      <c r="B12" t="s">
        <v>53</v>
      </c>
      <c r="C12" s="12">
        <v>9</v>
      </c>
      <c r="D12" s="8">
        <v>0.48</v>
      </c>
      <c r="E12" s="12">
        <v>1</v>
      </c>
      <c r="F12" s="8">
        <v>0.09</v>
      </c>
      <c r="G12" s="12">
        <v>8</v>
      </c>
      <c r="H12" s="8">
        <v>1.06</v>
      </c>
      <c r="I12" s="12">
        <v>0</v>
      </c>
    </row>
    <row r="13" spans="2:9" ht="15" customHeight="1" x14ac:dyDescent="0.2">
      <c r="B13" t="s">
        <v>54</v>
      </c>
      <c r="C13" s="12">
        <v>222</v>
      </c>
      <c r="D13" s="8">
        <v>11.89</v>
      </c>
      <c r="E13" s="12">
        <v>159</v>
      </c>
      <c r="F13" s="8">
        <v>14.6</v>
      </c>
      <c r="G13" s="12">
        <v>63</v>
      </c>
      <c r="H13" s="8">
        <v>8.31</v>
      </c>
      <c r="I13" s="12">
        <v>0</v>
      </c>
    </row>
    <row r="14" spans="2:9" ht="15" customHeight="1" x14ac:dyDescent="0.2">
      <c r="B14" t="s">
        <v>55</v>
      </c>
      <c r="C14" s="12">
        <v>90</v>
      </c>
      <c r="D14" s="8">
        <v>4.82</v>
      </c>
      <c r="E14" s="12">
        <v>56</v>
      </c>
      <c r="F14" s="8">
        <v>5.14</v>
      </c>
      <c r="G14" s="12">
        <v>34</v>
      </c>
      <c r="H14" s="8">
        <v>4.49</v>
      </c>
      <c r="I14" s="12">
        <v>0</v>
      </c>
    </row>
    <row r="15" spans="2:9" ht="15" customHeight="1" x14ac:dyDescent="0.2">
      <c r="B15" t="s">
        <v>56</v>
      </c>
      <c r="C15" s="12">
        <v>188</v>
      </c>
      <c r="D15" s="8">
        <v>10.07</v>
      </c>
      <c r="E15" s="12">
        <v>155</v>
      </c>
      <c r="F15" s="8">
        <v>14.23</v>
      </c>
      <c r="G15" s="12">
        <v>32</v>
      </c>
      <c r="H15" s="8">
        <v>4.22</v>
      </c>
      <c r="I15" s="12">
        <v>0</v>
      </c>
    </row>
    <row r="16" spans="2:9" ht="15" customHeight="1" x14ac:dyDescent="0.2">
      <c r="B16" t="s">
        <v>57</v>
      </c>
      <c r="C16" s="12">
        <v>237</v>
      </c>
      <c r="D16" s="8">
        <v>12.69</v>
      </c>
      <c r="E16" s="12">
        <v>190</v>
      </c>
      <c r="F16" s="8">
        <v>17.45</v>
      </c>
      <c r="G16" s="12">
        <v>45</v>
      </c>
      <c r="H16" s="8">
        <v>5.94</v>
      </c>
      <c r="I16" s="12">
        <v>2</v>
      </c>
    </row>
    <row r="17" spans="2:9" ht="15" customHeight="1" x14ac:dyDescent="0.2">
      <c r="B17" t="s">
        <v>58</v>
      </c>
      <c r="C17" s="12">
        <v>66</v>
      </c>
      <c r="D17" s="8">
        <v>3.54</v>
      </c>
      <c r="E17" s="12">
        <v>51</v>
      </c>
      <c r="F17" s="8">
        <v>4.68</v>
      </c>
      <c r="G17" s="12">
        <v>15</v>
      </c>
      <c r="H17" s="8">
        <v>1.98</v>
      </c>
      <c r="I17" s="12">
        <v>0</v>
      </c>
    </row>
    <row r="18" spans="2:9" ht="15" customHeight="1" x14ac:dyDescent="0.2">
      <c r="B18" t="s">
        <v>59</v>
      </c>
      <c r="C18" s="12">
        <v>75</v>
      </c>
      <c r="D18" s="8">
        <v>4.0199999999999996</v>
      </c>
      <c r="E18" s="12">
        <v>40</v>
      </c>
      <c r="F18" s="8">
        <v>3.67</v>
      </c>
      <c r="G18" s="12">
        <v>34</v>
      </c>
      <c r="H18" s="8">
        <v>4.49</v>
      </c>
      <c r="I18" s="12">
        <v>0</v>
      </c>
    </row>
    <row r="19" spans="2:9" ht="15" customHeight="1" x14ac:dyDescent="0.2">
      <c r="B19" t="s">
        <v>60</v>
      </c>
      <c r="C19" s="12">
        <v>78</v>
      </c>
      <c r="D19" s="8">
        <v>4.18</v>
      </c>
      <c r="E19" s="12">
        <v>35</v>
      </c>
      <c r="F19" s="8">
        <v>3.21</v>
      </c>
      <c r="G19" s="12">
        <v>29</v>
      </c>
      <c r="H19" s="8">
        <v>3.83</v>
      </c>
      <c r="I19" s="12">
        <v>0</v>
      </c>
    </row>
    <row r="20" spans="2:9" ht="15" customHeight="1" x14ac:dyDescent="0.2">
      <c r="B20" s="9" t="s">
        <v>191</v>
      </c>
      <c r="C20" s="12">
        <f>SUM(LTBL_22216[総数／事業所数])</f>
        <v>1867</v>
      </c>
      <c r="E20" s="12">
        <f>SUBTOTAL(109,LTBL_22216[個人／事業所数])</f>
        <v>1089</v>
      </c>
      <c r="G20" s="12">
        <f>SUBTOTAL(109,LTBL_22216[法人／事業所数])</f>
        <v>758</v>
      </c>
      <c r="I20" s="12">
        <f>SUBTOTAL(109,LTBL_22216[法人以外の団体／事業所数])</f>
        <v>4</v>
      </c>
    </row>
    <row r="21" spans="2:9" ht="15" customHeight="1" x14ac:dyDescent="0.2">
      <c r="E21" s="11">
        <f>LTBL_22216[[#Totals],[個人／事業所数]]/LTBL_22216[[#Totals],[総数／事業所数]]</f>
        <v>0.58328869844670594</v>
      </c>
      <c r="G21" s="11">
        <f>LTBL_22216[[#Totals],[法人／事業所数]]/LTBL_22216[[#Totals],[総数／事業所数]]</f>
        <v>0.40599892876272092</v>
      </c>
      <c r="I21" s="11">
        <f>LTBL_22216[[#Totals],[法人以外の団体／事業所数]]/LTBL_22216[[#Totals],[総数／事業所数]]</f>
        <v>2.1424745581146223E-3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202</v>
      </c>
      <c r="D24" s="8">
        <v>10.82</v>
      </c>
      <c r="E24" s="12">
        <v>176</v>
      </c>
      <c r="F24" s="8">
        <v>16.16</v>
      </c>
      <c r="G24" s="12">
        <v>25</v>
      </c>
      <c r="H24" s="8">
        <v>3.3</v>
      </c>
      <c r="I24" s="12">
        <v>1</v>
      </c>
    </row>
    <row r="25" spans="2:9" ht="15" customHeight="1" x14ac:dyDescent="0.2">
      <c r="B25" t="s">
        <v>81</v>
      </c>
      <c r="C25" s="12">
        <v>191</v>
      </c>
      <c r="D25" s="8">
        <v>10.23</v>
      </c>
      <c r="E25" s="12">
        <v>152</v>
      </c>
      <c r="F25" s="8">
        <v>13.96</v>
      </c>
      <c r="G25" s="12">
        <v>39</v>
      </c>
      <c r="H25" s="8">
        <v>5.15</v>
      </c>
      <c r="I25" s="12">
        <v>0</v>
      </c>
    </row>
    <row r="26" spans="2:9" ht="15" customHeight="1" x14ac:dyDescent="0.2">
      <c r="B26" t="s">
        <v>84</v>
      </c>
      <c r="C26" s="12">
        <v>174</v>
      </c>
      <c r="D26" s="8">
        <v>9.32</v>
      </c>
      <c r="E26" s="12">
        <v>151</v>
      </c>
      <c r="F26" s="8">
        <v>13.87</v>
      </c>
      <c r="G26" s="12">
        <v>23</v>
      </c>
      <c r="H26" s="8">
        <v>3.03</v>
      </c>
      <c r="I26" s="12">
        <v>0</v>
      </c>
    </row>
    <row r="27" spans="2:9" ht="15" customHeight="1" x14ac:dyDescent="0.2">
      <c r="B27" t="s">
        <v>69</v>
      </c>
      <c r="C27" s="12">
        <v>138</v>
      </c>
      <c r="D27" s="8">
        <v>7.39</v>
      </c>
      <c r="E27" s="12">
        <v>61</v>
      </c>
      <c r="F27" s="8">
        <v>5.6</v>
      </c>
      <c r="G27" s="12">
        <v>77</v>
      </c>
      <c r="H27" s="8">
        <v>10.16</v>
      </c>
      <c r="I27" s="12">
        <v>0</v>
      </c>
    </row>
    <row r="28" spans="2:9" ht="15" customHeight="1" x14ac:dyDescent="0.2">
      <c r="B28" t="s">
        <v>79</v>
      </c>
      <c r="C28" s="12">
        <v>104</v>
      </c>
      <c r="D28" s="8">
        <v>5.57</v>
      </c>
      <c r="E28" s="12">
        <v>49</v>
      </c>
      <c r="F28" s="8">
        <v>4.5</v>
      </c>
      <c r="G28" s="12">
        <v>54</v>
      </c>
      <c r="H28" s="8">
        <v>7.12</v>
      </c>
      <c r="I28" s="12">
        <v>1</v>
      </c>
    </row>
    <row r="29" spans="2:9" ht="15" customHeight="1" x14ac:dyDescent="0.2">
      <c r="B29" t="s">
        <v>70</v>
      </c>
      <c r="C29" s="12">
        <v>101</v>
      </c>
      <c r="D29" s="8">
        <v>5.41</v>
      </c>
      <c r="E29" s="12">
        <v>63</v>
      </c>
      <c r="F29" s="8">
        <v>5.79</v>
      </c>
      <c r="G29" s="12">
        <v>38</v>
      </c>
      <c r="H29" s="8">
        <v>5.01</v>
      </c>
      <c r="I29" s="12">
        <v>0</v>
      </c>
    </row>
    <row r="30" spans="2:9" ht="15" customHeight="1" x14ac:dyDescent="0.2">
      <c r="B30" t="s">
        <v>78</v>
      </c>
      <c r="C30" s="12">
        <v>72</v>
      </c>
      <c r="D30" s="8">
        <v>3.86</v>
      </c>
      <c r="E30" s="12">
        <v>49</v>
      </c>
      <c r="F30" s="8">
        <v>4.5</v>
      </c>
      <c r="G30" s="12">
        <v>23</v>
      </c>
      <c r="H30" s="8">
        <v>3.03</v>
      </c>
      <c r="I30" s="12">
        <v>0</v>
      </c>
    </row>
    <row r="31" spans="2:9" ht="15" customHeight="1" x14ac:dyDescent="0.2">
      <c r="B31" t="s">
        <v>86</v>
      </c>
      <c r="C31" s="12">
        <v>66</v>
      </c>
      <c r="D31" s="8">
        <v>3.54</v>
      </c>
      <c r="E31" s="12">
        <v>51</v>
      </c>
      <c r="F31" s="8">
        <v>4.68</v>
      </c>
      <c r="G31" s="12">
        <v>15</v>
      </c>
      <c r="H31" s="8">
        <v>1.98</v>
      </c>
      <c r="I31" s="12">
        <v>0</v>
      </c>
    </row>
    <row r="32" spans="2:9" ht="15" customHeight="1" x14ac:dyDescent="0.2">
      <c r="B32" t="s">
        <v>77</v>
      </c>
      <c r="C32" s="12">
        <v>65</v>
      </c>
      <c r="D32" s="8">
        <v>3.48</v>
      </c>
      <c r="E32" s="12">
        <v>46</v>
      </c>
      <c r="F32" s="8">
        <v>4.22</v>
      </c>
      <c r="G32" s="12">
        <v>19</v>
      </c>
      <c r="H32" s="8">
        <v>2.5099999999999998</v>
      </c>
      <c r="I32" s="12">
        <v>0</v>
      </c>
    </row>
    <row r="33" spans="2:9" ht="15" customHeight="1" x14ac:dyDescent="0.2">
      <c r="B33" t="s">
        <v>71</v>
      </c>
      <c r="C33" s="12">
        <v>58</v>
      </c>
      <c r="D33" s="8">
        <v>3.11</v>
      </c>
      <c r="E33" s="12">
        <v>19</v>
      </c>
      <c r="F33" s="8">
        <v>1.74</v>
      </c>
      <c r="G33" s="12">
        <v>39</v>
      </c>
      <c r="H33" s="8">
        <v>5.15</v>
      </c>
      <c r="I33" s="12">
        <v>0</v>
      </c>
    </row>
    <row r="34" spans="2:9" ht="15" customHeight="1" x14ac:dyDescent="0.2">
      <c r="B34" t="s">
        <v>87</v>
      </c>
      <c r="C34" s="12">
        <v>47</v>
      </c>
      <c r="D34" s="8">
        <v>2.52</v>
      </c>
      <c r="E34" s="12">
        <v>40</v>
      </c>
      <c r="F34" s="8">
        <v>3.67</v>
      </c>
      <c r="G34" s="12">
        <v>7</v>
      </c>
      <c r="H34" s="8">
        <v>0.92</v>
      </c>
      <c r="I34" s="12">
        <v>0</v>
      </c>
    </row>
    <row r="35" spans="2:9" ht="15" customHeight="1" x14ac:dyDescent="0.2">
      <c r="B35" t="s">
        <v>83</v>
      </c>
      <c r="C35" s="12">
        <v>45</v>
      </c>
      <c r="D35" s="8">
        <v>2.41</v>
      </c>
      <c r="E35" s="12">
        <v>22</v>
      </c>
      <c r="F35" s="8">
        <v>2.02</v>
      </c>
      <c r="G35" s="12">
        <v>23</v>
      </c>
      <c r="H35" s="8">
        <v>3.03</v>
      </c>
      <c r="I35" s="12">
        <v>0</v>
      </c>
    </row>
    <row r="36" spans="2:9" ht="15" customHeight="1" x14ac:dyDescent="0.2">
      <c r="B36" t="s">
        <v>82</v>
      </c>
      <c r="C36" s="12">
        <v>42</v>
      </c>
      <c r="D36" s="8">
        <v>2.25</v>
      </c>
      <c r="E36" s="12">
        <v>34</v>
      </c>
      <c r="F36" s="8">
        <v>3.12</v>
      </c>
      <c r="G36" s="12">
        <v>8</v>
      </c>
      <c r="H36" s="8">
        <v>1.06</v>
      </c>
      <c r="I36" s="12">
        <v>0</v>
      </c>
    </row>
    <row r="37" spans="2:9" ht="15" customHeight="1" x14ac:dyDescent="0.2">
      <c r="B37" t="s">
        <v>76</v>
      </c>
      <c r="C37" s="12">
        <v>36</v>
      </c>
      <c r="D37" s="8">
        <v>1.93</v>
      </c>
      <c r="E37" s="12">
        <v>22</v>
      </c>
      <c r="F37" s="8">
        <v>2.02</v>
      </c>
      <c r="G37" s="12">
        <v>14</v>
      </c>
      <c r="H37" s="8">
        <v>1.85</v>
      </c>
      <c r="I37" s="12">
        <v>0</v>
      </c>
    </row>
    <row r="38" spans="2:9" ht="15" customHeight="1" x14ac:dyDescent="0.2">
      <c r="B38" t="s">
        <v>88</v>
      </c>
      <c r="C38" s="12">
        <v>35</v>
      </c>
      <c r="D38" s="8">
        <v>1.87</v>
      </c>
      <c r="E38" s="12">
        <v>27</v>
      </c>
      <c r="F38" s="8">
        <v>2.48</v>
      </c>
      <c r="G38" s="12">
        <v>8</v>
      </c>
      <c r="H38" s="8">
        <v>1.06</v>
      </c>
      <c r="I38" s="12">
        <v>0</v>
      </c>
    </row>
    <row r="39" spans="2:9" ht="15" customHeight="1" x14ac:dyDescent="0.2">
      <c r="B39" t="s">
        <v>90</v>
      </c>
      <c r="C39" s="12">
        <v>28</v>
      </c>
      <c r="D39" s="8">
        <v>1.5</v>
      </c>
      <c r="E39" s="12">
        <v>0</v>
      </c>
      <c r="F39" s="8">
        <v>0</v>
      </c>
      <c r="G39" s="12">
        <v>27</v>
      </c>
      <c r="H39" s="8">
        <v>3.56</v>
      </c>
      <c r="I39" s="12">
        <v>0</v>
      </c>
    </row>
    <row r="40" spans="2:9" ht="15" customHeight="1" x14ac:dyDescent="0.2">
      <c r="B40" t="s">
        <v>80</v>
      </c>
      <c r="C40" s="12">
        <v>24</v>
      </c>
      <c r="D40" s="8">
        <v>1.29</v>
      </c>
      <c r="E40" s="12">
        <v>6</v>
      </c>
      <c r="F40" s="8">
        <v>0.55000000000000004</v>
      </c>
      <c r="G40" s="12">
        <v>18</v>
      </c>
      <c r="H40" s="8">
        <v>2.37</v>
      </c>
      <c r="I40" s="12">
        <v>0</v>
      </c>
    </row>
    <row r="41" spans="2:9" ht="15" customHeight="1" x14ac:dyDescent="0.2">
      <c r="B41" t="s">
        <v>72</v>
      </c>
      <c r="C41" s="12">
        <v>23</v>
      </c>
      <c r="D41" s="8">
        <v>1.23</v>
      </c>
      <c r="E41" s="12">
        <v>5</v>
      </c>
      <c r="F41" s="8">
        <v>0.46</v>
      </c>
      <c r="G41" s="12">
        <v>18</v>
      </c>
      <c r="H41" s="8">
        <v>2.37</v>
      </c>
      <c r="I41" s="12">
        <v>0</v>
      </c>
    </row>
    <row r="42" spans="2:9" ht="15" customHeight="1" x14ac:dyDescent="0.2">
      <c r="B42" t="s">
        <v>74</v>
      </c>
      <c r="C42" s="12">
        <v>23</v>
      </c>
      <c r="D42" s="8">
        <v>1.23</v>
      </c>
      <c r="E42" s="12">
        <v>4</v>
      </c>
      <c r="F42" s="8">
        <v>0.37</v>
      </c>
      <c r="G42" s="12">
        <v>19</v>
      </c>
      <c r="H42" s="8">
        <v>2.5099999999999998</v>
      </c>
      <c r="I42" s="12">
        <v>0</v>
      </c>
    </row>
    <row r="43" spans="2:9" ht="15" customHeight="1" x14ac:dyDescent="0.2">
      <c r="B43" t="s">
        <v>75</v>
      </c>
      <c r="C43" s="12">
        <v>20</v>
      </c>
      <c r="D43" s="8">
        <v>1.07</v>
      </c>
      <c r="E43" s="12">
        <v>2</v>
      </c>
      <c r="F43" s="8">
        <v>0.18</v>
      </c>
      <c r="G43" s="12">
        <v>18</v>
      </c>
      <c r="H43" s="8">
        <v>2.37</v>
      </c>
      <c r="I43" s="12">
        <v>0</v>
      </c>
    </row>
    <row r="44" spans="2:9" ht="15" customHeight="1" x14ac:dyDescent="0.2">
      <c r="B44" t="s">
        <v>95</v>
      </c>
      <c r="C44" s="12">
        <v>20</v>
      </c>
      <c r="D44" s="8">
        <v>1.07</v>
      </c>
      <c r="E44" s="12">
        <v>9</v>
      </c>
      <c r="F44" s="8">
        <v>0.83</v>
      </c>
      <c r="G44" s="12">
        <v>11</v>
      </c>
      <c r="H44" s="8">
        <v>1.45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153</v>
      </c>
      <c r="D48" s="8">
        <v>8.19</v>
      </c>
      <c r="E48" s="12">
        <v>129</v>
      </c>
      <c r="F48" s="8">
        <v>11.85</v>
      </c>
      <c r="G48" s="12">
        <v>24</v>
      </c>
      <c r="H48" s="8">
        <v>3.17</v>
      </c>
      <c r="I48" s="12">
        <v>0</v>
      </c>
    </row>
    <row r="49" spans="2:9" ht="15" customHeight="1" x14ac:dyDescent="0.2">
      <c r="B49" t="s">
        <v>132</v>
      </c>
      <c r="C49" s="12">
        <v>110</v>
      </c>
      <c r="D49" s="8">
        <v>5.89</v>
      </c>
      <c r="E49" s="12">
        <v>100</v>
      </c>
      <c r="F49" s="8">
        <v>9.18</v>
      </c>
      <c r="G49" s="12">
        <v>9</v>
      </c>
      <c r="H49" s="8">
        <v>1.19</v>
      </c>
      <c r="I49" s="12">
        <v>1</v>
      </c>
    </row>
    <row r="50" spans="2:9" ht="15" customHeight="1" x14ac:dyDescent="0.2">
      <c r="B50" t="s">
        <v>129</v>
      </c>
      <c r="C50" s="12">
        <v>63</v>
      </c>
      <c r="D50" s="8">
        <v>3.37</v>
      </c>
      <c r="E50" s="12">
        <v>57</v>
      </c>
      <c r="F50" s="8">
        <v>5.23</v>
      </c>
      <c r="G50" s="12">
        <v>6</v>
      </c>
      <c r="H50" s="8">
        <v>0.79</v>
      </c>
      <c r="I50" s="12">
        <v>0</v>
      </c>
    </row>
    <row r="51" spans="2:9" ht="15" customHeight="1" x14ac:dyDescent="0.2">
      <c r="B51" t="s">
        <v>118</v>
      </c>
      <c r="C51" s="12">
        <v>55</v>
      </c>
      <c r="D51" s="8">
        <v>2.95</v>
      </c>
      <c r="E51" s="12">
        <v>36</v>
      </c>
      <c r="F51" s="8">
        <v>3.31</v>
      </c>
      <c r="G51" s="12">
        <v>19</v>
      </c>
      <c r="H51" s="8">
        <v>2.5099999999999998</v>
      </c>
      <c r="I51" s="12">
        <v>0</v>
      </c>
    </row>
    <row r="52" spans="2:9" ht="15" customHeight="1" x14ac:dyDescent="0.2">
      <c r="B52" t="s">
        <v>131</v>
      </c>
      <c r="C52" s="12">
        <v>49</v>
      </c>
      <c r="D52" s="8">
        <v>2.62</v>
      </c>
      <c r="E52" s="12">
        <v>46</v>
      </c>
      <c r="F52" s="8">
        <v>4.22</v>
      </c>
      <c r="G52" s="12">
        <v>3</v>
      </c>
      <c r="H52" s="8">
        <v>0.4</v>
      </c>
      <c r="I52" s="12">
        <v>0</v>
      </c>
    </row>
    <row r="53" spans="2:9" ht="15" customHeight="1" x14ac:dyDescent="0.2">
      <c r="B53" t="s">
        <v>122</v>
      </c>
      <c r="C53" s="12">
        <v>43</v>
      </c>
      <c r="D53" s="8">
        <v>2.2999999999999998</v>
      </c>
      <c r="E53" s="12">
        <v>28</v>
      </c>
      <c r="F53" s="8">
        <v>2.57</v>
      </c>
      <c r="G53" s="12">
        <v>15</v>
      </c>
      <c r="H53" s="8">
        <v>1.98</v>
      </c>
      <c r="I53" s="12">
        <v>0</v>
      </c>
    </row>
    <row r="54" spans="2:9" ht="15" customHeight="1" x14ac:dyDescent="0.2">
      <c r="B54" t="s">
        <v>116</v>
      </c>
      <c r="C54" s="12">
        <v>39</v>
      </c>
      <c r="D54" s="8">
        <v>2.09</v>
      </c>
      <c r="E54" s="12">
        <v>13</v>
      </c>
      <c r="F54" s="8">
        <v>1.19</v>
      </c>
      <c r="G54" s="12">
        <v>26</v>
      </c>
      <c r="H54" s="8">
        <v>3.43</v>
      </c>
      <c r="I54" s="12">
        <v>0</v>
      </c>
    </row>
    <row r="55" spans="2:9" ht="15" customHeight="1" x14ac:dyDescent="0.2">
      <c r="B55" t="s">
        <v>133</v>
      </c>
      <c r="C55" s="12">
        <v>36</v>
      </c>
      <c r="D55" s="8">
        <v>1.93</v>
      </c>
      <c r="E55" s="12">
        <v>28</v>
      </c>
      <c r="F55" s="8">
        <v>2.57</v>
      </c>
      <c r="G55" s="12">
        <v>8</v>
      </c>
      <c r="H55" s="8">
        <v>1.06</v>
      </c>
      <c r="I55" s="12">
        <v>0</v>
      </c>
    </row>
    <row r="56" spans="2:9" ht="15" customHeight="1" x14ac:dyDescent="0.2">
      <c r="B56" t="s">
        <v>134</v>
      </c>
      <c r="C56" s="12">
        <v>36</v>
      </c>
      <c r="D56" s="8">
        <v>1.93</v>
      </c>
      <c r="E56" s="12">
        <v>30</v>
      </c>
      <c r="F56" s="8">
        <v>2.75</v>
      </c>
      <c r="G56" s="12">
        <v>6</v>
      </c>
      <c r="H56" s="8">
        <v>0.79</v>
      </c>
      <c r="I56" s="12">
        <v>0</v>
      </c>
    </row>
    <row r="57" spans="2:9" ht="15" customHeight="1" x14ac:dyDescent="0.2">
      <c r="B57" t="s">
        <v>135</v>
      </c>
      <c r="C57" s="12">
        <v>35</v>
      </c>
      <c r="D57" s="8">
        <v>1.87</v>
      </c>
      <c r="E57" s="12">
        <v>27</v>
      </c>
      <c r="F57" s="8">
        <v>2.48</v>
      </c>
      <c r="G57" s="12">
        <v>8</v>
      </c>
      <c r="H57" s="8">
        <v>1.06</v>
      </c>
      <c r="I57" s="12">
        <v>0</v>
      </c>
    </row>
    <row r="58" spans="2:9" ht="15" customHeight="1" x14ac:dyDescent="0.2">
      <c r="B58" t="s">
        <v>130</v>
      </c>
      <c r="C58" s="12">
        <v>34</v>
      </c>
      <c r="D58" s="8">
        <v>1.82</v>
      </c>
      <c r="E58" s="12">
        <v>32</v>
      </c>
      <c r="F58" s="8">
        <v>2.94</v>
      </c>
      <c r="G58" s="12">
        <v>2</v>
      </c>
      <c r="H58" s="8">
        <v>0.26</v>
      </c>
      <c r="I58" s="12">
        <v>0</v>
      </c>
    </row>
    <row r="59" spans="2:9" ht="15" customHeight="1" x14ac:dyDescent="0.2">
      <c r="B59" t="s">
        <v>119</v>
      </c>
      <c r="C59" s="12">
        <v>32</v>
      </c>
      <c r="D59" s="8">
        <v>1.71</v>
      </c>
      <c r="E59" s="12">
        <v>11</v>
      </c>
      <c r="F59" s="8">
        <v>1.01</v>
      </c>
      <c r="G59" s="12">
        <v>21</v>
      </c>
      <c r="H59" s="8">
        <v>2.77</v>
      </c>
      <c r="I59" s="12">
        <v>0</v>
      </c>
    </row>
    <row r="60" spans="2:9" ht="15" customHeight="1" x14ac:dyDescent="0.2">
      <c r="B60" t="s">
        <v>123</v>
      </c>
      <c r="C60" s="12">
        <v>31</v>
      </c>
      <c r="D60" s="8">
        <v>1.66</v>
      </c>
      <c r="E60" s="12">
        <v>11</v>
      </c>
      <c r="F60" s="8">
        <v>1.01</v>
      </c>
      <c r="G60" s="12">
        <v>20</v>
      </c>
      <c r="H60" s="8">
        <v>2.64</v>
      </c>
      <c r="I60" s="12">
        <v>0</v>
      </c>
    </row>
    <row r="61" spans="2:9" ht="15" customHeight="1" x14ac:dyDescent="0.2">
      <c r="B61" t="s">
        <v>124</v>
      </c>
      <c r="C61" s="12">
        <v>31</v>
      </c>
      <c r="D61" s="8">
        <v>1.66</v>
      </c>
      <c r="E61" s="12">
        <v>17</v>
      </c>
      <c r="F61" s="8">
        <v>1.56</v>
      </c>
      <c r="G61" s="12">
        <v>13</v>
      </c>
      <c r="H61" s="8">
        <v>1.72</v>
      </c>
      <c r="I61" s="12">
        <v>1</v>
      </c>
    </row>
    <row r="62" spans="2:9" ht="15" customHeight="1" x14ac:dyDescent="0.2">
      <c r="B62" t="s">
        <v>128</v>
      </c>
      <c r="C62" s="12">
        <v>29</v>
      </c>
      <c r="D62" s="8">
        <v>1.55</v>
      </c>
      <c r="E62" s="12">
        <v>21</v>
      </c>
      <c r="F62" s="8">
        <v>1.93</v>
      </c>
      <c r="G62" s="12">
        <v>8</v>
      </c>
      <c r="H62" s="8">
        <v>1.06</v>
      </c>
      <c r="I62" s="12">
        <v>0</v>
      </c>
    </row>
    <row r="63" spans="2:9" ht="15" customHeight="1" x14ac:dyDescent="0.2">
      <c r="B63" t="s">
        <v>153</v>
      </c>
      <c r="C63" s="12">
        <v>29</v>
      </c>
      <c r="D63" s="8">
        <v>1.55</v>
      </c>
      <c r="E63" s="12">
        <v>23</v>
      </c>
      <c r="F63" s="8">
        <v>2.11</v>
      </c>
      <c r="G63" s="12">
        <v>6</v>
      </c>
      <c r="H63" s="8">
        <v>0.79</v>
      </c>
      <c r="I63" s="12">
        <v>0</v>
      </c>
    </row>
    <row r="64" spans="2:9" ht="15" customHeight="1" x14ac:dyDescent="0.2">
      <c r="B64" t="s">
        <v>117</v>
      </c>
      <c r="C64" s="12">
        <v>28</v>
      </c>
      <c r="D64" s="8">
        <v>1.5</v>
      </c>
      <c r="E64" s="12">
        <v>8</v>
      </c>
      <c r="F64" s="8">
        <v>0.73</v>
      </c>
      <c r="G64" s="12">
        <v>20</v>
      </c>
      <c r="H64" s="8">
        <v>2.64</v>
      </c>
      <c r="I64" s="12">
        <v>0</v>
      </c>
    </row>
    <row r="65" spans="2:9" ht="15" customHeight="1" x14ac:dyDescent="0.2">
      <c r="B65" t="s">
        <v>127</v>
      </c>
      <c r="C65" s="12">
        <v>27</v>
      </c>
      <c r="D65" s="8">
        <v>1.45</v>
      </c>
      <c r="E65" s="12">
        <v>13</v>
      </c>
      <c r="F65" s="8">
        <v>1.19</v>
      </c>
      <c r="G65" s="12">
        <v>14</v>
      </c>
      <c r="H65" s="8">
        <v>1.85</v>
      </c>
      <c r="I65" s="12">
        <v>0</v>
      </c>
    </row>
    <row r="66" spans="2:9" ht="15" customHeight="1" x14ac:dyDescent="0.2">
      <c r="B66" t="s">
        <v>121</v>
      </c>
      <c r="C66" s="12">
        <v>23</v>
      </c>
      <c r="D66" s="8">
        <v>1.23</v>
      </c>
      <c r="E66" s="12">
        <v>14</v>
      </c>
      <c r="F66" s="8">
        <v>1.29</v>
      </c>
      <c r="G66" s="12">
        <v>9</v>
      </c>
      <c r="H66" s="8">
        <v>1.19</v>
      </c>
      <c r="I66" s="12">
        <v>0</v>
      </c>
    </row>
    <row r="67" spans="2:9" ht="15" customHeight="1" x14ac:dyDescent="0.2">
      <c r="B67" t="s">
        <v>156</v>
      </c>
      <c r="C67" s="12">
        <v>21</v>
      </c>
      <c r="D67" s="8">
        <v>1.1200000000000001</v>
      </c>
      <c r="E67" s="12">
        <v>15</v>
      </c>
      <c r="F67" s="8">
        <v>1.38</v>
      </c>
      <c r="G67" s="12">
        <v>6</v>
      </c>
      <c r="H67" s="8">
        <v>0.79</v>
      </c>
      <c r="I67" s="12">
        <v>0</v>
      </c>
    </row>
    <row r="68" spans="2:9" ht="15" customHeight="1" x14ac:dyDescent="0.2">
      <c r="B68" t="s">
        <v>140</v>
      </c>
      <c r="C68" s="12">
        <v>21</v>
      </c>
      <c r="D68" s="8">
        <v>1.1200000000000001</v>
      </c>
      <c r="E68" s="12">
        <v>17</v>
      </c>
      <c r="F68" s="8">
        <v>1.56</v>
      </c>
      <c r="G68" s="12">
        <v>4</v>
      </c>
      <c r="H68" s="8">
        <v>0.53</v>
      </c>
      <c r="I68" s="12">
        <v>0</v>
      </c>
    </row>
    <row r="69" spans="2:9" ht="15" customHeight="1" x14ac:dyDescent="0.2">
      <c r="B69" t="s">
        <v>167</v>
      </c>
      <c r="C69" s="12">
        <v>21</v>
      </c>
      <c r="D69" s="8">
        <v>1.1200000000000001</v>
      </c>
      <c r="E69" s="12">
        <v>13</v>
      </c>
      <c r="F69" s="8">
        <v>1.19</v>
      </c>
      <c r="G69" s="12">
        <v>8</v>
      </c>
      <c r="H69" s="8">
        <v>1.06</v>
      </c>
      <c r="I69" s="12">
        <v>0</v>
      </c>
    </row>
    <row r="71" spans="2:9" ht="15" customHeight="1" x14ac:dyDescent="0.2">
      <c r="B71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17492-F4D5-47A8-8BB3-1F4E28690F13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220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112</v>
      </c>
      <c r="D6" s="8">
        <v>9.86</v>
      </c>
      <c r="E6" s="12">
        <v>51</v>
      </c>
      <c r="F6" s="8">
        <v>6.42</v>
      </c>
      <c r="G6" s="12">
        <v>61</v>
      </c>
      <c r="H6" s="8">
        <v>18.71</v>
      </c>
      <c r="I6" s="12">
        <v>0</v>
      </c>
    </row>
    <row r="7" spans="2:9" ht="15" customHeight="1" x14ac:dyDescent="0.2">
      <c r="B7" t="s">
        <v>48</v>
      </c>
      <c r="C7" s="12">
        <v>34</v>
      </c>
      <c r="D7" s="8">
        <v>2.99</v>
      </c>
      <c r="E7" s="12">
        <v>19</v>
      </c>
      <c r="F7" s="8">
        <v>2.39</v>
      </c>
      <c r="G7" s="12">
        <v>15</v>
      </c>
      <c r="H7" s="8">
        <v>4.5999999999999996</v>
      </c>
      <c r="I7" s="12">
        <v>0</v>
      </c>
    </row>
    <row r="8" spans="2:9" ht="15" customHeight="1" x14ac:dyDescent="0.2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5</v>
      </c>
      <c r="D9" s="8">
        <v>0.44</v>
      </c>
      <c r="E9" s="12">
        <v>0</v>
      </c>
      <c r="F9" s="8">
        <v>0</v>
      </c>
      <c r="G9" s="12">
        <v>5</v>
      </c>
      <c r="H9" s="8">
        <v>1.53</v>
      </c>
      <c r="I9" s="12">
        <v>0</v>
      </c>
    </row>
    <row r="10" spans="2:9" ht="15" customHeight="1" x14ac:dyDescent="0.2">
      <c r="B10" t="s">
        <v>51</v>
      </c>
      <c r="C10" s="12">
        <v>6</v>
      </c>
      <c r="D10" s="8">
        <v>0.53</v>
      </c>
      <c r="E10" s="12">
        <v>3</v>
      </c>
      <c r="F10" s="8">
        <v>0.38</v>
      </c>
      <c r="G10" s="12">
        <v>3</v>
      </c>
      <c r="H10" s="8">
        <v>0.92</v>
      </c>
      <c r="I10" s="12">
        <v>0</v>
      </c>
    </row>
    <row r="11" spans="2:9" ht="15" customHeight="1" x14ac:dyDescent="0.2">
      <c r="B11" t="s">
        <v>52</v>
      </c>
      <c r="C11" s="12">
        <v>292</v>
      </c>
      <c r="D11" s="8">
        <v>25.7</v>
      </c>
      <c r="E11" s="12">
        <v>176</v>
      </c>
      <c r="F11" s="8">
        <v>22.17</v>
      </c>
      <c r="G11" s="12">
        <v>116</v>
      </c>
      <c r="H11" s="8">
        <v>35.58</v>
      </c>
      <c r="I11" s="12">
        <v>0</v>
      </c>
    </row>
    <row r="12" spans="2:9" ht="15" customHeight="1" x14ac:dyDescent="0.2">
      <c r="B12" t="s">
        <v>53</v>
      </c>
      <c r="C12" s="12">
        <v>6</v>
      </c>
      <c r="D12" s="8">
        <v>0.53</v>
      </c>
      <c r="E12" s="12">
        <v>1</v>
      </c>
      <c r="F12" s="8">
        <v>0.13</v>
      </c>
      <c r="G12" s="12">
        <v>5</v>
      </c>
      <c r="H12" s="8">
        <v>1.53</v>
      </c>
      <c r="I12" s="12">
        <v>0</v>
      </c>
    </row>
    <row r="13" spans="2:9" ht="15" customHeight="1" x14ac:dyDescent="0.2">
      <c r="B13" t="s">
        <v>54</v>
      </c>
      <c r="C13" s="12">
        <v>112</v>
      </c>
      <c r="D13" s="8">
        <v>9.86</v>
      </c>
      <c r="E13" s="12">
        <v>75</v>
      </c>
      <c r="F13" s="8">
        <v>9.4499999999999993</v>
      </c>
      <c r="G13" s="12">
        <v>36</v>
      </c>
      <c r="H13" s="8">
        <v>11.04</v>
      </c>
      <c r="I13" s="12">
        <v>1</v>
      </c>
    </row>
    <row r="14" spans="2:9" ht="15" customHeight="1" x14ac:dyDescent="0.2">
      <c r="B14" t="s">
        <v>55</v>
      </c>
      <c r="C14" s="12">
        <v>42</v>
      </c>
      <c r="D14" s="8">
        <v>3.7</v>
      </c>
      <c r="E14" s="12">
        <v>33</v>
      </c>
      <c r="F14" s="8">
        <v>4.16</v>
      </c>
      <c r="G14" s="12">
        <v>7</v>
      </c>
      <c r="H14" s="8">
        <v>2.15</v>
      </c>
      <c r="I14" s="12">
        <v>0</v>
      </c>
    </row>
    <row r="15" spans="2:9" ht="15" customHeight="1" x14ac:dyDescent="0.2">
      <c r="B15" t="s">
        <v>56</v>
      </c>
      <c r="C15" s="12">
        <v>309</v>
      </c>
      <c r="D15" s="8">
        <v>27.2</v>
      </c>
      <c r="E15" s="12">
        <v>269</v>
      </c>
      <c r="F15" s="8">
        <v>33.880000000000003</v>
      </c>
      <c r="G15" s="12">
        <v>39</v>
      </c>
      <c r="H15" s="8">
        <v>11.96</v>
      </c>
      <c r="I15" s="12">
        <v>0</v>
      </c>
    </row>
    <row r="16" spans="2:9" ht="15" customHeight="1" x14ac:dyDescent="0.2">
      <c r="B16" t="s">
        <v>57</v>
      </c>
      <c r="C16" s="12">
        <v>127</v>
      </c>
      <c r="D16" s="8">
        <v>11.18</v>
      </c>
      <c r="E16" s="12">
        <v>109</v>
      </c>
      <c r="F16" s="8">
        <v>13.73</v>
      </c>
      <c r="G16" s="12">
        <v>16</v>
      </c>
      <c r="H16" s="8">
        <v>4.91</v>
      </c>
      <c r="I16" s="12">
        <v>0</v>
      </c>
    </row>
    <row r="17" spans="2:9" ht="15" customHeight="1" x14ac:dyDescent="0.2">
      <c r="B17" t="s">
        <v>58</v>
      </c>
      <c r="C17" s="12">
        <v>33</v>
      </c>
      <c r="D17" s="8">
        <v>2.9</v>
      </c>
      <c r="E17" s="12">
        <v>26</v>
      </c>
      <c r="F17" s="8">
        <v>3.27</v>
      </c>
      <c r="G17" s="12">
        <v>5</v>
      </c>
      <c r="H17" s="8">
        <v>1.53</v>
      </c>
      <c r="I17" s="12">
        <v>0</v>
      </c>
    </row>
    <row r="18" spans="2:9" ht="15" customHeight="1" x14ac:dyDescent="0.2">
      <c r="B18" t="s">
        <v>59</v>
      </c>
      <c r="C18" s="12">
        <v>32</v>
      </c>
      <c r="D18" s="8">
        <v>2.82</v>
      </c>
      <c r="E18" s="12">
        <v>22</v>
      </c>
      <c r="F18" s="8">
        <v>2.77</v>
      </c>
      <c r="G18" s="12">
        <v>5</v>
      </c>
      <c r="H18" s="8">
        <v>1.53</v>
      </c>
      <c r="I18" s="12">
        <v>0</v>
      </c>
    </row>
    <row r="19" spans="2:9" ht="15" customHeight="1" x14ac:dyDescent="0.2">
      <c r="B19" t="s">
        <v>60</v>
      </c>
      <c r="C19" s="12">
        <v>26</v>
      </c>
      <c r="D19" s="8">
        <v>2.29</v>
      </c>
      <c r="E19" s="12">
        <v>10</v>
      </c>
      <c r="F19" s="8">
        <v>1.26</v>
      </c>
      <c r="G19" s="12">
        <v>13</v>
      </c>
      <c r="H19" s="8">
        <v>3.99</v>
      </c>
      <c r="I19" s="12">
        <v>0</v>
      </c>
    </row>
    <row r="20" spans="2:9" ht="15" customHeight="1" x14ac:dyDescent="0.2">
      <c r="B20" s="9" t="s">
        <v>191</v>
      </c>
      <c r="C20" s="12">
        <f>SUM(LTBL_22219[総数／事業所数])</f>
        <v>1136</v>
      </c>
      <c r="E20" s="12">
        <f>SUBTOTAL(109,LTBL_22219[個人／事業所数])</f>
        <v>794</v>
      </c>
      <c r="G20" s="12">
        <f>SUBTOTAL(109,LTBL_22219[法人／事業所数])</f>
        <v>326</v>
      </c>
      <c r="I20" s="12">
        <f>SUBTOTAL(109,LTBL_22219[法人以外の団体／事業所数])</f>
        <v>1</v>
      </c>
    </row>
    <row r="21" spans="2:9" ht="15" customHeight="1" x14ac:dyDescent="0.2">
      <c r="E21" s="11">
        <f>LTBL_22219[[#Totals],[個人／事業所数]]/LTBL_22219[[#Totals],[総数／事業所数]]</f>
        <v>0.698943661971831</v>
      </c>
      <c r="G21" s="11">
        <f>LTBL_22219[[#Totals],[法人／事業所数]]/LTBL_22219[[#Totals],[総数／事業所数]]</f>
        <v>0.2869718309859155</v>
      </c>
      <c r="I21" s="11">
        <f>LTBL_22219[[#Totals],[法人以外の団体／事業所数]]/LTBL_22219[[#Totals],[総数／事業所数]]</f>
        <v>8.8028169014084509E-4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163</v>
      </c>
      <c r="D24" s="8">
        <v>14.35</v>
      </c>
      <c r="E24" s="12">
        <v>151</v>
      </c>
      <c r="F24" s="8">
        <v>19.02</v>
      </c>
      <c r="G24" s="12">
        <v>12</v>
      </c>
      <c r="H24" s="8">
        <v>3.68</v>
      </c>
      <c r="I24" s="12">
        <v>0</v>
      </c>
    </row>
    <row r="25" spans="2:9" ht="15" customHeight="1" x14ac:dyDescent="0.2">
      <c r="B25" t="s">
        <v>99</v>
      </c>
      <c r="C25" s="12">
        <v>140</v>
      </c>
      <c r="D25" s="8">
        <v>12.32</v>
      </c>
      <c r="E25" s="12">
        <v>115</v>
      </c>
      <c r="F25" s="8">
        <v>14.48</v>
      </c>
      <c r="G25" s="12">
        <v>25</v>
      </c>
      <c r="H25" s="8">
        <v>7.67</v>
      </c>
      <c r="I25" s="12">
        <v>0</v>
      </c>
    </row>
    <row r="26" spans="2:9" ht="15" customHeight="1" x14ac:dyDescent="0.2">
      <c r="B26" t="s">
        <v>85</v>
      </c>
      <c r="C26" s="12">
        <v>90</v>
      </c>
      <c r="D26" s="8">
        <v>7.92</v>
      </c>
      <c r="E26" s="12">
        <v>83</v>
      </c>
      <c r="F26" s="8">
        <v>10.45</v>
      </c>
      <c r="G26" s="12">
        <v>7</v>
      </c>
      <c r="H26" s="8">
        <v>2.15</v>
      </c>
      <c r="I26" s="12">
        <v>0</v>
      </c>
    </row>
    <row r="27" spans="2:9" ht="15" customHeight="1" x14ac:dyDescent="0.2">
      <c r="B27" t="s">
        <v>79</v>
      </c>
      <c r="C27" s="12">
        <v>89</v>
      </c>
      <c r="D27" s="8">
        <v>7.83</v>
      </c>
      <c r="E27" s="12">
        <v>54</v>
      </c>
      <c r="F27" s="8">
        <v>6.8</v>
      </c>
      <c r="G27" s="12">
        <v>35</v>
      </c>
      <c r="H27" s="8">
        <v>10.74</v>
      </c>
      <c r="I27" s="12">
        <v>0</v>
      </c>
    </row>
    <row r="28" spans="2:9" ht="15" customHeight="1" x14ac:dyDescent="0.2">
      <c r="B28" t="s">
        <v>81</v>
      </c>
      <c r="C28" s="12">
        <v>84</v>
      </c>
      <c r="D28" s="8">
        <v>7.39</v>
      </c>
      <c r="E28" s="12">
        <v>69</v>
      </c>
      <c r="F28" s="8">
        <v>8.69</v>
      </c>
      <c r="G28" s="12">
        <v>14</v>
      </c>
      <c r="H28" s="8">
        <v>4.29</v>
      </c>
      <c r="I28" s="12">
        <v>1</v>
      </c>
    </row>
    <row r="29" spans="2:9" ht="15" customHeight="1" x14ac:dyDescent="0.2">
      <c r="B29" t="s">
        <v>77</v>
      </c>
      <c r="C29" s="12">
        <v>82</v>
      </c>
      <c r="D29" s="8">
        <v>7.22</v>
      </c>
      <c r="E29" s="12">
        <v>60</v>
      </c>
      <c r="F29" s="8">
        <v>7.56</v>
      </c>
      <c r="G29" s="12">
        <v>22</v>
      </c>
      <c r="H29" s="8">
        <v>6.75</v>
      </c>
      <c r="I29" s="12">
        <v>0</v>
      </c>
    </row>
    <row r="30" spans="2:9" ht="15" customHeight="1" x14ac:dyDescent="0.2">
      <c r="B30" t="s">
        <v>69</v>
      </c>
      <c r="C30" s="12">
        <v>45</v>
      </c>
      <c r="D30" s="8">
        <v>3.96</v>
      </c>
      <c r="E30" s="12">
        <v>20</v>
      </c>
      <c r="F30" s="8">
        <v>2.52</v>
      </c>
      <c r="G30" s="12">
        <v>25</v>
      </c>
      <c r="H30" s="8">
        <v>7.67</v>
      </c>
      <c r="I30" s="12">
        <v>0</v>
      </c>
    </row>
    <row r="31" spans="2:9" ht="15" customHeight="1" x14ac:dyDescent="0.2">
      <c r="B31" t="s">
        <v>70</v>
      </c>
      <c r="C31" s="12">
        <v>44</v>
      </c>
      <c r="D31" s="8">
        <v>3.87</v>
      </c>
      <c r="E31" s="12">
        <v>22</v>
      </c>
      <c r="F31" s="8">
        <v>2.77</v>
      </c>
      <c r="G31" s="12">
        <v>22</v>
      </c>
      <c r="H31" s="8">
        <v>6.75</v>
      </c>
      <c r="I31" s="12">
        <v>0</v>
      </c>
    </row>
    <row r="32" spans="2:9" ht="15" customHeight="1" x14ac:dyDescent="0.2">
      <c r="B32" t="s">
        <v>76</v>
      </c>
      <c r="C32" s="12">
        <v>40</v>
      </c>
      <c r="D32" s="8">
        <v>3.52</v>
      </c>
      <c r="E32" s="12">
        <v>29</v>
      </c>
      <c r="F32" s="8">
        <v>3.65</v>
      </c>
      <c r="G32" s="12">
        <v>11</v>
      </c>
      <c r="H32" s="8">
        <v>3.37</v>
      </c>
      <c r="I32" s="12">
        <v>0</v>
      </c>
    </row>
    <row r="33" spans="2:9" ht="15" customHeight="1" x14ac:dyDescent="0.2">
      <c r="B33" t="s">
        <v>86</v>
      </c>
      <c r="C33" s="12">
        <v>33</v>
      </c>
      <c r="D33" s="8">
        <v>2.9</v>
      </c>
      <c r="E33" s="12">
        <v>26</v>
      </c>
      <c r="F33" s="8">
        <v>3.27</v>
      </c>
      <c r="G33" s="12">
        <v>5</v>
      </c>
      <c r="H33" s="8">
        <v>1.53</v>
      </c>
      <c r="I33" s="12">
        <v>0</v>
      </c>
    </row>
    <row r="34" spans="2:9" ht="15" customHeight="1" x14ac:dyDescent="0.2">
      <c r="B34" t="s">
        <v>78</v>
      </c>
      <c r="C34" s="12">
        <v>32</v>
      </c>
      <c r="D34" s="8">
        <v>2.82</v>
      </c>
      <c r="E34" s="12">
        <v>18</v>
      </c>
      <c r="F34" s="8">
        <v>2.27</v>
      </c>
      <c r="G34" s="12">
        <v>14</v>
      </c>
      <c r="H34" s="8">
        <v>4.29</v>
      </c>
      <c r="I34" s="12">
        <v>0</v>
      </c>
    </row>
    <row r="35" spans="2:9" ht="15" customHeight="1" x14ac:dyDescent="0.2">
      <c r="B35" t="s">
        <v>82</v>
      </c>
      <c r="C35" s="12">
        <v>26</v>
      </c>
      <c r="D35" s="8">
        <v>2.29</v>
      </c>
      <c r="E35" s="12">
        <v>22</v>
      </c>
      <c r="F35" s="8">
        <v>2.77</v>
      </c>
      <c r="G35" s="12">
        <v>4</v>
      </c>
      <c r="H35" s="8">
        <v>1.23</v>
      </c>
      <c r="I35" s="12">
        <v>0</v>
      </c>
    </row>
    <row r="36" spans="2:9" ht="15" customHeight="1" x14ac:dyDescent="0.2">
      <c r="B36" t="s">
        <v>101</v>
      </c>
      <c r="C36" s="12">
        <v>25</v>
      </c>
      <c r="D36" s="8">
        <v>2.2000000000000002</v>
      </c>
      <c r="E36" s="12">
        <v>20</v>
      </c>
      <c r="F36" s="8">
        <v>2.52</v>
      </c>
      <c r="G36" s="12">
        <v>4</v>
      </c>
      <c r="H36" s="8">
        <v>1.23</v>
      </c>
      <c r="I36" s="12">
        <v>0</v>
      </c>
    </row>
    <row r="37" spans="2:9" ht="15" customHeight="1" x14ac:dyDescent="0.2">
      <c r="B37" t="s">
        <v>71</v>
      </c>
      <c r="C37" s="12">
        <v>23</v>
      </c>
      <c r="D37" s="8">
        <v>2.02</v>
      </c>
      <c r="E37" s="12">
        <v>9</v>
      </c>
      <c r="F37" s="8">
        <v>1.1299999999999999</v>
      </c>
      <c r="G37" s="12">
        <v>14</v>
      </c>
      <c r="H37" s="8">
        <v>4.29</v>
      </c>
      <c r="I37" s="12">
        <v>0</v>
      </c>
    </row>
    <row r="38" spans="2:9" ht="15" customHeight="1" x14ac:dyDescent="0.2">
      <c r="B38" t="s">
        <v>87</v>
      </c>
      <c r="C38" s="12">
        <v>23</v>
      </c>
      <c r="D38" s="8">
        <v>2.02</v>
      </c>
      <c r="E38" s="12">
        <v>22</v>
      </c>
      <c r="F38" s="8">
        <v>2.77</v>
      </c>
      <c r="G38" s="12">
        <v>1</v>
      </c>
      <c r="H38" s="8">
        <v>0.31</v>
      </c>
      <c r="I38" s="12">
        <v>0</v>
      </c>
    </row>
    <row r="39" spans="2:9" ht="15" customHeight="1" x14ac:dyDescent="0.2">
      <c r="B39" t="s">
        <v>93</v>
      </c>
      <c r="C39" s="12">
        <v>20</v>
      </c>
      <c r="D39" s="8">
        <v>1.76</v>
      </c>
      <c r="E39" s="12">
        <v>8</v>
      </c>
      <c r="F39" s="8">
        <v>1.01</v>
      </c>
      <c r="G39" s="12">
        <v>12</v>
      </c>
      <c r="H39" s="8">
        <v>3.68</v>
      </c>
      <c r="I39" s="12">
        <v>0</v>
      </c>
    </row>
    <row r="40" spans="2:9" ht="15" customHeight="1" x14ac:dyDescent="0.2">
      <c r="B40" t="s">
        <v>100</v>
      </c>
      <c r="C40" s="12">
        <v>16</v>
      </c>
      <c r="D40" s="8">
        <v>1.41</v>
      </c>
      <c r="E40" s="12">
        <v>7</v>
      </c>
      <c r="F40" s="8">
        <v>0.88</v>
      </c>
      <c r="G40" s="12">
        <v>9</v>
      </c>
      <c r="H40" s="8">
        <v>2.76</v>
      </c>
      <c r="I40" s="12">
        <v>0</v>
      </c>
    </row>
    <row r="41" spans="2:9" ht="15" customHeight="1" x14ac:dyDescent="0.2">
      <c r="B41" t="s">
        <v>80</v>
      </c>
      <c r="C41" s="12">
        <v>15</v>
      </c>
      <c r="D41" s="8">
        <v>1.32</v>
      </c>
      <c r="E41" s="12">
        <v>2</v>
      </c>
      <c r="F41" s="8">
        <v>0.25</v>
      </c>
      <c r="G41" s="12">
        <v>13</v>
      </c>
      <c r="H41" s="8">
        <v>3.99</v>
      </c>
      <c r="I41" s="12">
        <v>0</v>
      </c>
    </row>
    <row r="42" spans="2:9" ht="15" customHeight="1" x14ac:dyDescent="0.2">
      <c r="B42" t="s">
        <v>83</v>
      </c>
      <c r="C42" s="12">
        <v>15</v>
      </c>
      <c r="D42" s="8">
        <v>1.32</v>
      </c>
      <c r="E42" s="12">
        <v>11</v>
      </c>
      <c r="F42" s="8">
        <v>1.39</v>
      </c>
      <c r="G42" s="12">
        <v>2</v>
      </c>
      <c r="H42" s="8">
        <v>0.61</v>
      </c>
      <c r="I42" s="12">
        <v>0</v>
      </c>
    </row>
    <row r="43" spans="2:9" ht="15" customHeight="1" x14ac:dyDescent="0.2">
      <c r="B43" t="s">
        <v>104</v>
      </c>
      <c r="C43" s="12">
        <v>13</v>
      </c>
      <c r="D43" s="8">
        <v>1.1399999999999999</v>
      </c>
      <c r="E43" s="12">
        <v>4</v>
      </c>
      <c r="F43" s="8">
        <v>0.5</v>
      </c>
      <c r="G43" s="12">
        <v>9</v>
      </c>
      <c r="H43" s="8">
        <v>2.76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160</v>
      </c>
      <c r="C47" s="12">
        <v>125</v>
      </c>
      <c r="D47" s="8">
        <v>11</v>
      </c>
      <c r="E47" s="12">
        <v>104</v>
      </c>
      <c r="F47" s="8">
        <v>13.1</v>
      </c>
      <c r="G47" s="12">
        <v>21</v>
      </c>
      <c r="H47" s="8">
        <v>6.44</v>
      </c>
      <c r="I47" s="12">
        <v>0</v>
      </c>
    </row>
    <row r="48" spans="2:9" ht="15" customHeight="1" x14ac:dyDescent="0.2">
      <c r="B48" t="s">
        <v>126</v>
      </c>
      <c r="C48" s="12">
        <v>54</v>
      </c>
      <c r="D48" s="8">
        <v>4.75</v>
      </c>
      <c r="E48" s="12">
        <v>45</v>
      </c>
      <c r="F48" s="8">
        <v>5.67</v>
      </c>
      <c r="G48" s="12">
        <v>9</v>
      </c>
      <c r="H48" s="8">
        <v>2.76</v>
      </c>
      <c r="I48" s="12">
        <v>0</v>
      </c>
    </row>
    <row r="49" spans="2:9" ht="15" customHeight="1" x14ac:dyDescent="0.2">
      <c r="B49" t="s">
        <v>128</v>
      </c>
      <c r="C49" s="12">
        <v>46</v>
      </c>
      <c r="D49" s="8">
        <v>4.05</v>
      </c>
      <c r="E49" s="12">
        <v>42</v>
      </c>
      <c r="F49" s="8">
        <v>5.29</v>
      </c>
      <c r="G49" s="12">
        <v>4</v>
      </c>
      <c r="H49" s="8">
        <v>1.23</v>
      </c>
      <c r="I49" s="12">
        <v>0</v>
      </c>
    </row>
    <row r="50" spans="2:9" ht="15" customHeight="1" x14ac:dyDescent="0.2">
      <c r="B50" t="s">
        <v>132</v>
      </c>
      <c r="C50" s="12">
        <v>46</v>
      </c>
      <c r="D50" s="8">
        <v>4.05</v>
      </c>
      <c r="E50" s="12">
        <v>44</v>
      </c>
      <c r="F50" s="8">
        <v>5.54</v>
      </c>
      <c r="G50" s="12">
        <v>2</v>
      </c>
      <c r="H50" s="8">
        <v>0.61</v>
      </c>
      <c r="I50" s="12">
        <v>0</v>
      </c>
    </row>
    <row r="51" spans="2:9" ht="15" customHeight="1" x14ac:dyDescent="0.2">
      <c r="B51" t="s">
        <v>139</v>
      </c>
      <c r="C51" s="12">
        <v>33</v>
      </c>
      <c r="D51" s="8">
        <v>2.9</v>
      </c>
      <c r="E51" s="12">
        <v>31</v>
      </c>
      <c r="F51" s="8">
        <v>3.9</v>
      </c>
      <c r="G51" s="12">
        <v>2</v>
      </c>
      <c r="H51" s="8">
        <v>0.61</v>
      </c>
      <c r="I51" s="12">
        <v>0</v>
      </c>
    </row>
    <row r="52" spans="2:9" ht="15" customHeight="1" x14ac:dyDescent="0.2">
      <c r="B52" t="s">
        <v>130</v>
      </c>
      <c r="C52" s="12">
        <v>30</v>
      </c>
      <c r="D52" s="8">
        <v>2.64</v>
      </c>
      <c r="E52" s="12">
        <v>30</v>
      </c>
      <c r="F52" s="8">
        <v>3.78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121</v>
      </c>
      <c r="C53" s="12">
        <v>29</v>
      </c>
      <c r="D53" s="8">
        <v>2.5499999999999998</v>
      </c>
      <c r="E53" s="12">
        <v>17</v>
      </c>
      <c r="F53" s="8">
        <v>2.14</v>
      </c>
      <c r="G53" s="12">
        <v>12</v>
      </c>
      <c r="H53" s="8">
        <v>3.68</v>
      </c>
      <c r="I53" s="12">
        <v>0</v>
      </c>
    </row>
    <row r="54" spans="2:9" ht="15" customHeight="1" x14ac:dyDescent="0.2">
      <c r="B54" t="s">
        <v>131</v>
      </c>
      <c r="C54" s="12">
        <v>28</v>
      </c>
      <c r="D54" s="8">
        <v>2.46</v>
      </c>
      <c r="E54" s="12">
        <v>28</v>
      </c>
      <c r="F54" s="8">
        <v>3.53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129</v>
      </c>
      <c r="C55" s="12">
        <v>27</v>
      </c>
      <c r="D55" s="8">
        <v>2.38</v>
      </c>
      <c r="E55" s="12">
        <v>23</v>
      </c>
      <c r="F55" s="8">
        <v>2.9</v>
      </c>
      <c r="G55" s="12">
        <v>4</v>
      </c>
      <c r="H55" s="8">
        <v>1.23</v>
      </c>
      <c r="I55" s="12">
        <v>0</v>
      </c>
    </row>
    <row r="56" spans="2:9" ht="15" customHeight="1" x14ac:dyDescent="0.2">
      <c r="B56" t="s">
        <v>124</v>
      </c>
      <c r="C56" s="12">
        <v>22</v>
      </c>
      <c r="D56" s="8">
        <v>1.94</v>
      </c>
      <c r="E56" s="12">
        <v>13</v>
      </c>
      <c r="F56" s="8">
        <v>1.64</v>
      </c>
      <c r="G56" s="12">
        <v>9</v>
      </c>
      <c r="H56" s="8">
        <v>2.76</v>
      </c>
      <c r="I56" s="12">
        <v>0</v>
      </c>
    </row>
    <row r="57" spans="2:9" ht="15" customHeight="1" x14ac:dyDescent="0.2">
      <c r="B57" t="s">
        <v>133</v>
      </c>
      <c r="C57" s="12">
        <v>21</v>
      </c>
      <c r="D57" s="8">
        <v>1.85</v>
      </c>
      <c r="E57" s="12">
        <v>18</v>
      </c>
      <c r="F57" s="8">
        <v>2.27</v>
      </c>
      <c r="G57" s="12">
        <v>3</v>
      </c>
      <c r="H57" s="8">
        <v>0.92</v>
      </c>
      <c r="I57" s="12">
        <v>0</v>
      </c>
    </row>
    <row r="58" spans="2:9" ht="15" customHeight="1" x14ac:dyDescent="0.2">
      <c r="B58" t="s">
        <v>137</v>
      </c>
      <c r="C58" s="12">
        <v>20</v>
      </c>
      <c r="D58" s="8">
        <v>1.76</v>
      </c>
      <c r="E58" s="12">
        <v>15</v>
      </c>
      <c r="F58" s="8">
        <v>1.89</v>
      </c>
      <c r="G58" s="12">
        <v>5</v>
      </c>
      <c r="H58" s="8">
        <v>1.53</v>
      </c>
      <c r="I58" s="12">
        <v>0</v>
      </c>
    </row>
    <row r="59" spans="2:9" ht="15" customHeight="1" x14ac:dyDescent="0.2">
      <c r="B59" t="s">
        <v>146</v>
      </c>
      <c r="C59" s="12">
        <v>20</v>
      </c>
      <c r="D59" s="8">
        <v>1.76</v>
      </c>
      <c r="E59" s="12">
        <v>19</v>
      </c>
      <c r="F59" s="8">
        <v>2.39</v>
      </c>
      <c r="G59" s="12">
        <v>0</v>
      </c>
      <c r="H59" s="8">
        <v>0</v>
      </c>
      <c r="I59" s="12">
        <v>1</v>
      </c>
    </row>
    <row r="60" spans="2:9" ht="15" customHeight="1" x14ac:dyDescent="0.2">
      <c r="B60" t="s">
        <v>170</v>
      </c>
      <c r="C60" s="12">
        <v>20</v>
      </c>
      <c r="D60" s="8">
        <v>1.76</v>
      </c>
      <c r="E60" s="12">
        <v>19</v>
      </c>
      <c r="F60" s="8">
        <v>2.39</v>
      </c>
      <c r="G60" s="12">
        <v>1</v>
      </c>
      <c r="H60" s="8">
        <v>0.31</v>
      </c>
      <c r="I60" s="12">
        <v>0</v>
      </c>
    </row>
    <row r="61" spans="2:9" ht="15" customHeight="1" x14ac:dyDescent="0.2">
      <c r="B61" t="s">
        <v>122</v>
      </c>
      <c r="C61" s="12">
        <v>17</v>
      </c>
      <c r="D61" s="8">
        <v>1.5</v>
      </c>
      <c r="E61" s="12">
        <v>9</v>
      </c>
      <c r="F61" s="8">
        <v>1.1299999999999999</v>
      </c>
      <c r="G61" s="12">
        <v>8</v>
      </c>
      <c r="H61" s="8">
        <v>2.4500000000000002</v>
      </c>
      <c r="I61" s="12">
        <v>0</v>
      </c>
    </row>
    <row r="62" spans="2:9" ht="15" customHeight="1" x14ac:dyDescent="0.2">
      <c r="B62" t="s">
        <v>136</v>
      </c>
      <c r="C62" s="12">
        <v>16</v>
      </c>
      <c r="D62" s="8">
        <v>1.41</v>
      </c>
      <c r="E62" s="12">
        <v>15</v>
      </c>
      <c r="F62" s="8">
        <v>1.89</v>
      </c>
      <c r="G62" s="12">
        <v>1</v>
      </c>
      <c r="H62" s="8">
        <v>0.31</v>
      </c>
      <c r="I62" s="12">
        <v>0</v>
      </c>
    </row>
    <row r="63" spans="2:9" ht="15" customHeight="1" x14ac:dyDescent="0.2">
      <c r="B63" t="s">
        <v>168</v>
      </c>
      <c r="C63" s="12">
        <v>15</v>
      </c>
      <c r="D63" s="8">
        <v>1.32</v>
      </c>
      <c r="E63" s="12">
        <v>11</v>
      </c>
      <c r="F63" s="8">
        <v>1.39</v>
      </c>
      <c r="G63" s="12">
        <v>4</v>
      </c>
      <c r="H63" s="8">
        <v>1.23</v>
      </c>
      <c r="I63" s="12">
        <v>0</v>
      </c>
    </row>
    <row r="64" spans="2:9" ht="15" customHeight="1" x14ac:dyDescent="0.2">
      <c r="B64" t="s">
        <v>161</v>
      </c>
      <c r="C64" s="12">
        <v>15</v>
      </c>
      <c r="D64" s="8">
        <v>1.32</v>
      </c>
      <c r="E64" s="12">
        <v>14</v>
      </c>
      <c r="F64" s="8">
        <v>1.76</v>
      </c>
      <c r="G64" s="12">
        <v>1</v>
      </c>
      <c r="H64" s="8">
        <v>0.31</v>
      </c>
      <c r="I64" s="12">
        <v>0</v>
      </c>
    </row>
    <row r="65" spans="2:9" ht="15" customHeight="1" x14ac:dyDescent="0.2">
      <c r="B65" t="s">
        <v>134</v>
      </c>
      <c r="C65" s="12">
        <v>15</v>
      </c>
      <c r="D65" s="8">
        <v>1.32</v>
      </c>
      <c r="E65" s="12">
        <v>14</v>
      </c>
      <c r="F65" s="8">
        <v>1.76</v>
      </c>
      <c r="G65" s="12">
        <v>1</v>
      </c>
      <c r="H65" s="8">
        <v>0.31</v>
      </c>
      <c r="I65" s="12">
        <v>0</v>
      </c>
    </row>
    <row r="66" spans="2:9" ht="15" customHeight="1" x14ac:dyDescent="0.2">
      <c r="B66" t="s">
        <v>118</v>
      </c>
      <c r="C66" s="12">
        <v>13</v>
      </c>
      <c r="D66" s="8">
        <v>1.1399999999999999</v>
      </c>
      <c r="E66" s="12">
        <v>8</v>
      </c>
      <c r="F66" s="8">
        <v>1.01</v>
      </c>
      <c r="G66" s="12">
        <v>5</v>
      </c>
      <c r="H66" s="8">
        <v>1.53</v>
      </c>
      <c r="I66" s="12">
        <v>0</v>
      </c>
    </row>
    <row r="67" spans="2:9" ht="15" customHeight="1" x14ac:dyDescent="0.2">
      <c r="B67" t="s">
        <v>155</v>
      </c>
      <c r="C67" s="12">
        <v>13</v>
      </c>
      <c r="D67" s="8">
        <v>1.1399999999999999</v>
      </c>
      <c r="E67" s="12">
        <v>7</v>
      </c>
      <c r="F67" s="8">
        <v>0.88</v>
      </c>
      <c r="G67" s="12">
        <v>6</v>
      </c>
      <c r="H67" s="8">
        <v>1.84</v>
      </c>
      <c r="I67" s="12">
        <v>0</v>
      </c>
    </row>
    <row r="68" spans="2:9" ht="15" customHeight="1" x14ac:dyDescent="0.2">
      <c r="B68" t="s">
        <v>169</v>
      </c>
      <c r="C68" s="12">
        <v>13</v>
      </c>
      <c r="D68" s="8">
        <v>1.1399999999999999</v>
      </c>
      <c r="E68" s="12">
        <v>10</v>
      </c>
      <c r="F68" s="8">
        <v>1.26</v>
      </c>
      <c r="G68" s="12">
        <v>3</v>
      </c>
      <c r="H68" s="8">
        <v>0.92</v>
      </c>
      <c r="I68" s="12">
        <v>0</v>
      </c>
    </row>
    <row r="70" spans="2:9" ht="15" customHeight="1" x14ac:dyDescent="0.2">
      <c r="B70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6BD2-BEC0-40D8-BC31-797E65349B4E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221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190</v>
      </c>
      <c r="D6" s="8">
        <v>18.010000000000002</v>
      </c>
      <c r="E6" s="12">
        <v>78</v>
      </c>
      <c r="F6" s="8">
        <v>14.23</v>
      </c>
      <c r="G6" s="12">
        <v>112</v>
      </c>
      <c r="H6" s="8">
        <v>22.54</v>
      </c>
      <c r="I6" s="12">
        <v>0</v>
      </c>
    </row>
    <row r="7" spans="2:9" ht="15" customHeight="1" x14ac:dyDescent="0.2">
      <c r="B7" t="s">
        <v>48</v>
      </c>
      <c r="C7" s="12">
        <v>103</v>
      </c>
      <c r="D7" s="8">
        <v>9.76</v>
      </c>
      <c r="E7" s="12">
        <v>28</v>
      </c>
      <c r="F7" s="8">
        <v>5.1100000000000003</v>
      </c>
      <c r="G7" s="12">
        <v>75</v>
      </c>
      <c r="H7" s="8">
        <v>15.09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0.09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8</v>
      </c>
      <c r="D9" s="8">
        <v>0.76</v>
      </c>
      <c r="E9" s="12">
        <v>2</v>
      </c>
      <c r="F9" s="8">
        <v>0.36</v>
      </c>
      <c r="G9" s="12">
        <v>6</v>
      </c>
      <c r="H9" s="8">
        <v>1.21</v>
      </c>
      <c r="I9" s="12">
        <v>0</v>
      </c>
    </row>
    <row r="10" spans="2:9" ht="15" customHeight="1" x14ac:dyDescent="0.2">
      <c r="B10" t="s">
        <v>51</v>
      </c>
      <c r="C10" s="12">
        <v>11</v>
      </c>
      <c r="D10" s="8">
        <v>1.04</v>
      </c>
      <c r="E10" s="12">
        <v>1</v>
      </c>
      <c r="F10" s="8">
        <v>0.18</v>
      </c>
      <c r="G10" s="12">
        <v>10</v>
      </c>
      <c r="H10" s="8">
        <v>2.0099999999999998</v>
      </c>
      <c r="I10" s="12">
        <v>0</v>
      </c>
    </row>
    <row r="11" spans="2:9" ht="15" customHeight="1" x14ac:dyDescent="0.2">
      <c r="B11" t="s">
        <v>52</v>
      </c>
      <c r="C11" s="12">
        <v>177</v>
      </c>
      <c r="D11" s="8">
        <v>16.78</v>
      </c>
      <c r="E11" s="12">
        <v>78</v>
      </c>
      <c r="F11" s="8">
        <v>14.23</v>
      </c>
      <c r="G11" s="12">
        <v>99</v>
      </c>
      <c r="H11" s="8">
        <v>19.920000000000002</v>
      </c>
      <c r="I11" s="12">
        <v>0</v>
      </c>
    </row>
    <row r="12" spans="2:9" ht="15" customHeight="1" x14ac:dyDescent="0.2">
      <c r="B12" t="s">
        <v>53</v>
      </c>
      <c r="C12" s="12">
        <v>4</v>
      </c>
      <c r="D12" s="8">
        <v>0.38</v>
      </c>
      <c r="E12" s="12">
        <v>1</v>
      </c>
      <c r="F12" s="8">
        <v>0.18</v>
      </c>
      <c r="G12" s="12">
        <v>3</v>
      </c>
      <c r="H12" s="8">
        <v>0.6</v>
      </c>
      <c r="I12" s="12">
        <v>0</v>
      </c>
    </row>
    <row r="13" spans="2:9" ht="15" customHeight="1" x14ac:dyDescent="0.2">
      <c r="B13" t="s">
        <v>54</v>
      </c>
      <c r="C13" s="12">
        <v>136</v>
      </c>
      <c r="D13" s="8">
        <v>12.89</v>
      </c>
      <c r="E13" s="12">
        <v>74</v>
      </c>
      <c r="F13" s="8">
        <v>13.5</v>
      </c>
      <c r="G13" s="12">
        <v>62</v>
      </c>
      <c r="H13" s="8">
        <v>12.47</v>
      </c>
      <c r="I13" s="12">
        <v>0</v>
      </c>
    </row>
    <row r="14" spans="2:9" ht="15" customHeight="1" x14ac:dyDescent="0.2">
      <c r="B14" t="s">
        <v>55</v>
      </c>
      <c r="C14" s="12">
        <v>57</v>
      </c>
      <c r="D14" s="8">
        <v>5.4</v>
      </c>
      <c r="E14" s="12">
        <v>32</v>
      </c>
      <c r="F14" s="8">
        <v>5.84</v>
      </c>
      <c r="G14" s="12">
        <v>25</v>
      </c>
      <c r="H14" s="8">
        <v>5.03</v>
      </c>
      <c r="I14" s="12">
        <v>0</v>
      </c>
    </row>
    <row r="15" spans="2:9" ht="15" customHeight="1" x14ac:dyDescent="0.2">
      <c r="B15" t="s">
        <v>56</v>
      </c>
      <c r="C15" s="12">
        <v>106</v>
      </c>
      <c r="D15" s="8">
        <v>10.050000000000001</v>
      </c>
      <c r="E15" s="12">
        <v>83</v>
      </c>
      <c r="F15" s="8">
        <v>15.15</v>
      </c>
      <c r="G15" s="12">
        <v>23</v>
      </c>
      <c r="H15" s="8">
        <v>4.63</v>
      </c>
      <c r="I15" s="12">
        <v>0</v>
      </c>
    </row>
    <row r="16" spans="2:9" ht="15" customHeight="1" x14ac:dyDescent="0.2">
      <c r="B16" t="s">
        <v>57</v>
      </c>
      <c r="C16" s="12">
        <v>123</v>
      </c>
      <c r="D16" s="8">
        <v>11.66</v>
      </c>
      <c r="E16" s="12">
        <v>101</v>
      </c>
      <c r="F16" s="8">
        <v>18.43</v>
      </c>
      <c r="G16" s="12">
        <v>22</v>
      </c>
      <c r="H16" s="8">
        <v>4.43</v>
      </c>
      <c r="I16" s="12">
        <v>0</v>
      </c>
    </row>
    <row r="17" spans="2:9" ht="15" customHeight="1" x14ac:dyDescent="0.2">
      <c r="B17" t="s">
        <v>58</v>
      </c>
      <c r="C17" s="12">
        <v>48</v>
      </c>
      <c r="D17" s="8">
        <v>4.55</v>
      </c>
      <c r="E17" s="12">
        <v>30</v>
      </c>
      <c r="F17" s="8">
        <v>5.47</v>
      </c>
      <c r="G17" s="12">
        <v>16</v>
      </c>
      <c r="H17" s="8">
        <v>3.22</v>
      </c>
      <c r="I17" s="12">
        <v>0</v>
      </c>
    </row>
    <row r="18" spans="2:9" ht="15" customHeight="1" x14ac:dyDescent="0.2">
      <c r="B18" t="s">
        <v>59</v>
      </c>
      <c r="C18" s="12">
        <v>51</v>
      </c>
      <c r="D18" s="8">
        <v>4.83</v>
      </c>
      <c r="E18" s="12">
        <v>25</v>
      </c>
      <c r="F18" s="8">
        <v>4.5599999999999996</v>
      </c>
      <c r="G18" s="12">
        <v>21</v>
      </c>
      <c r="H18" s="8">
        <v>4.2300000000000004</v>
      </c>
      <c r="I18" s="12">
        <v>4</v>
      </c>
    </row>
    <row r="19" spans="2:9" ht="15" customHeight="1" x14ac:dyDescent="0.2">
      <c r="B19" t="s">
        <v>60</v>
      </c>
      <c r="C19" s="12">
        <v>40</v>
      </c>
      <c r="D19" s="8">
        <v>3.79</v>
      </c>
      <c r="E19" s="12">
        <v>15</v>
      </c>
      <c r="F19" s="8">
        <v>2.74</v>
      </c>
      <c r="G19" s="12">
        <v>23</v>
      </c>
      <c r="H19" s="8">
        <v>4.63</v>
      </c>
      <c r="I19" s="12">
        <v>0</v>
      </c>
    </row>
    <row r="20" spans="2:9" ht="15" customHeight="1" x14ac:dyDescent="0.2">
      <c r="B20" s="9" t="s">
        <v>191</v>
      </c>
      <c r="C20" s="12">
        <f>SUM(LTBL_22220[総数／事業所数])</f>
        <v>1055</v>
      </c>
      <c r="E20" s="12">
        <f>SUBTOTAL(109,LTBL_22220[個人／事業所数])</f>
        <v>548</v>
      </c>
      <c r="G20" s="12">
        <f>SUBTOTAL(109,LTBL_22220[法人／事業所数])</f>
        <v>497</v>
      </c>
      <c r="I20" s="12">
        <f>SUBTOTAL(109,LTBL_22220[法人以外の団体／事業所数])</f>
        <v>4</v>
      </c>
    </row>
    <row r="21" spans="2:9" ht="15" customHeight="1" x14ac:dyDescent="0.2">
      <c r="E21" s="11">
        <f>LTBL_22220[[#Totals],[個人／事業所数]]/LTBL_22220[[#Totals],[総数／事業所数]]</f>
        <v>0.51943127962085311</v>
      </c>
      <c r="G21" s="11">
        <f>LTBL_22220[[#Totals],[法人／事業所数]]/LTBL_22220[[#Totals],[総数／事業所数]]</f>
        <v>0.47109004739336491</v>
      </c>
      <c r="I21" s="11">
        <f>LTBL_22220[[#Totals],[法人以外の団体／事業所数]]/LTBL_22220[[#Totals],[総数／事業所数]]</f>
        <v>3.7914691943127963E-3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81</v>
      </c>
      <c r="C24" s="12">
        <v>120</v>
      </c>
      <c r="D24" s="8">
        <v>11.37</v>
      </c>
      <c r="E24" s="12">
        <v>72</v>
      </c>
      <c r="F24" s="8">
        <v>13.14</v>
      </c>
      <c r="G24" s="12">
        <v>48</v>
      </c>
      <c r="H24" s="8">
        <v>9.66</v>
      </c>
      <c r="I24" s="12">
        <v>0</v>
      </c>
    </row>
    <row r="25" spans="2:9" ht="15" customHeight="1" x14ac:dyDescent="0.2">
      <c r="B25" t="s">
        <v>85</v>
      </c>
      <c r="C25" s="12">
        <v>105</v>
      </c>
      <c r="D25" s="8">
        <v>9.9499999999999993</v>
      </c>
      <c r="E25" s="12">
        <v>90</v>
      </c>
      <c r="F25" s="8">
        <v>16.420000000000002</v>
      </c>
      <c r="G25" s="12">
        <v>15</v>
      </c>
      <c r="H25" s="8">
        <v>3.02</v>
      </c>
      <c r="I25" s="12">
        <v>0</v>
      </c>
    </row>
    <row r="26" spans="2:9" ht="15" customHeight="1" x14ac:dyDescent="0.2">
      <c r="B26" t="s">
        <v>69</v>
      </c>
      <c r="C26" s="12">
        <v>89</v>
      </c>
      <c r="D26" s="8">
        <v>8.44</v>
      </c>
      <c r="E26" s="12">
        <v>30</v>
      </c>
      <c r="F26" s="8">
        <v>5.47</v>
      </c>
      <c r="G26" s="12">
        <v>59</v>
      </c>
      <c r="H26" s="8">
        <v>11.87</v>
      </c>
      <c r="I26" s="12">
        <v>0</v>
      </c>
    </row>
    <row r="27" spans="2:9" ht="15" customHeight="1" x14ac:dyDescent="0.2">
      <c r="B27" t="s">
        <v>84</v>
      </c>
      <c r="C27" s="12">
        <v>86</v>
      </c>
      <c r="D27" s="8">
        <v>8.15</v>
      </c>
      <c r="E27" s="12">
        <v>73</v>
      </c>
      <c r="F27" s="8">
        <v>13.32</v>
      </c>
      <c r="G27" s="12">
        <v>13</v>
      </c>
      <c r="H27" s="8">
        <v>2.62</v>
      </c>
      <c r="I27" s="12">
        <v>0</v>
      </c>
    </row>
    <row r="28" spans="2:9" ht="15" customHeight="1" x14ac:dyDescent="0.2">
      <c r="B28" t="s">
        <v>71</v>
      </c>
      <c r="C28" s="12">
        <v>51</v>
      </c>
      <c r="D28" s="8">
        <v>4.83</v>
      </c>
      <c r="E28" s="12">
        <v>21</v>
      </c>
      <c r="F28" s="8">
        <v>3.83</v>
      </c>
      <c r="G28" s="12">
        <v>30</v>
      </c>
      <c r="H28" s="8">
        <v>6.04</v>
      </c>
      <c r="I28" s="12">
        <v>0</v>
      </c>
    </row>
    <row r="29" spans="2:9" ht="15" customHeight="1" x14ac:dyDescent="0.2">
      <c r="B29" t="s">
        <v>70</v>
      </c>
      <c r="C29" s="12">
        <v>50</v>
      </c>
      <c r="D29" s="8">
        <v>4.74</v>
      </c>
      <c r="E29" s="12">
        <v>27</v>
      </c>
      <c r="F29" s="8">
        <v>4.93</v>
      </c>
      <c r="G29" s="12">
        <v>23</v>
      </c>
      <c r="H29" s="8">
        <v>4.63</v>
      </c>
      <c r="I29" s="12">
        <v>0</v>
      </c>
    </row>
    <row r="30" spans="2:9" ht="15" customHeight="1" x14ac:dyDescent="0.2">
      <c r="B30" t="s">
        <v>79</v>
      </c>
      <c r="C30" s="12">
        <v>50</v>
      </c>
      <c r="D30" s="8">
        <v>4.74</v>
      </c>
      <c r="E30" s="12">
        <v>20</v>
      </c>
      <c r="F30" s="8">
        <v>3.65</v>
      </c>
      <c r="G30" s="12">
        <v>30</v>
      </c>
      <c r="H30" s="8">
        <v>6.04</v>
      </c>
      <c r="I30" s="12">
        <v>0</v>
      </c>
    </row>
    <row r="31" spans="2:9" ht="15" customHeight="1" x14ac:dyDescent="0.2">
      <c r="B31" t="s">
        <v>86</v>
      </c>
      <c r="C31" s="12">
        <v>48</v>
      </c>
      <c r="D31" s="8">
        <v>4.55</v>
      </c>
      <c r="E31" s="12">
        <v>30</v>
      </c>
      <c r="F31" s="8">
        <v>5.47</v>
      </c>
      <c r="G31" s="12">
        <v>16</v>
      </c>
      <c r="H31" s="8">
        <v>3.22</v>
      </c>
      <c r="I31" s="12">
        <v>0</v>
      </c>
    </row>
    <row r="32" spans="2:9" ht="15" customHeight="1" x14ac:dyDescent="0.2">
      <c r="B32" t="s">
        <v>77</v>
      </c>
      <c r="C32" s="12">
        <v>37</v>
      </c>
      <c r="D32" s="8">
        <v>3.51</v>
      </c>
      <c r="E32" s="12">
        <v>25</v>
      </c>
      <c r="F32" s="8">
        <v>4.5599999999999996</v>
      </c>
      <c r="G32" s="12">
        <v>12</v>
      </c>
      <c r="H32" s="8">
        <v>2.41</v>
      </c>
      <c r="I32" s="12">
        <v>0</v>
      </c>
    </row>
    <row r="33" spans="2:9" ht="15" customHeight="1" x14ac:dyDescent="0.2">
      <c r="B33" t="s">
        <v>87</v>
      </c>
      <c r="C33" s="12">
        <v>33</v>
      </c>
      <c r="D33" s="8">
        <v>3.13</v>
      </c>
      <c r="E33" s="12">
        <v>25</v>
      </c>
      <c r="F33" s="8">
        <v>4.5599999999999996</v>
      </c>
      <c r="G33" s="12">
        <v>8</v>
      </c>
      <c r="H33" s="8">
        <v>1.61</v>
      </c>
      <c r="I33" s="12">
        <v>0</v>
      </c>
    </row>
    <row r="34" spans="2:9" ht="15" customHeight="1" x14ac:dyDescent="0.2">
      <c r="B34" t="s">
        <v>78</v>
      </c>
      <c r="C34" s="12">
        <v>31</v>
      </c>
      <c r="D34" s="8">
        <v>2.94</v>
      </c>
      <c r="E34" s="12">
        <v>16</v>
      </c>
      <c r="F34" s="8">
        <v>2.92</v>
      </c>
      <c r="G34" s="12">
        <v>15</v>
      </c>
      <c r="H34" s="8">
        <v>3.02</v>
      </c>
      <c r="I34" s="12">
        <v>0</v>
      </c>
    </row>
    <row r="35" spans="2:9" ht="15" customHeight="1" x14ac:dyDescent="0.2">
      <c r="B35" t="s">
        <v>82</v>
      </c>
      <c r="C35" s="12">
        <v>29</v>
      </c>
      <c r="D35" s="8">
        <v>2.75</v>
      </c>
      <c r="E35" s="12">
        <v>20</v>
      </c>
      <c r="F35" s="8">
        <v>3.65</v>
      </c>
      <c r="G35" s="12">
        <v>9</v>
      </c>
      <c r="H35" s="8">
        <v>1.81</v>
      </c>
      <c r="I35" s="12">
        <v>0</v>
      </c>
    </row>
    <row r="36" spans="2:9" ht="15" customHeight="1" x14ac:dyDescent="0.2">
      <c r="B36" t="s">
        <v>83</v>
      </c>
      <c r="C36" s="12">
        <v>25</v>
      </c>
      <c r="D36" s="8">
        <v>2.37</v>
      </c>
      <c r="E36" s="12">
        <v>12</v>
      </c>
      <c r="F36" s="8">
        <v>2.19</v>
      </c>
      <c r="G36" s="12">
        <v>13</v>
      </c>
      <c r="H36" s="8">
        <v>2.62</v>
      </c>
      <c r="I36" s="12">
        <v>0</v>
      </c>
    </row>
    <row r="37" spans="2:9" ht="15" customHeight="1" x14ac:dyDescent="0.2">
      <c r="B37" t="s">
        <v>73</v>
      </c>
      <c r="C37" s="12">
        <v>19</v>
      </c>
      <c r="D37" s="8">
        <v>1.8</v>
      </c>
      <c r="E37" s="12">
        <v>5</v>
      </c>
      <c r="F37" s="8">
        <v>0.91</v>
      </c>
      <c r="G37" s="12">
        <v>14</v>
      </c>
      <c r="H37" s="8">
        <v>2.82</v>
      </c>
      <c r="I37" s="12">
        <v>0</v>
      </c>
    </row>
    <row r="38" spans="2:9" ht="15" customHeight="1" x14ac:dyDescent="0.2">
      <c r="B38" t="s">
        <v>90</v>
      </c>
      <c r="C38" s="12">
        <v>18</v>
      </c>
      <c r="D38" s="8">
        <v>1.71</v>
      </c>
      <c r="E38" s="12">
        <v>0</v>
      </c>
      <c r="F38" s="8">
        <v>0</v>
      </c>
      <c r="G38" s="12">
        <v>13</v>
      </c>
      <c r="H38" s="8">
        <v>2.62</v>
      </c>
      <c r="I38" s="12">
        <v>4</v>
      </c>
    </row>
    <row r="39" spans="2:9" ht="15" customHeight="1" x14ac:dyDescent="0.2">
      <c r="B39" t="s">
        <v>76</v>
      </c>
      <c r="C39" s="12">
        <v>17</v>
      </c>
      <c r="D39" s="8">
        <v>1.61</v>
      </c>
      <c r="E39" s="12">
        <v>7</v>
      </c>
      <c r="F39" s="8">
        <v>1.28</v>
      </c>
      <c r="G39" s="12">
        <v>10</v>
      </c>
      <c r="H39" s="8">
        <v>2.0099999999999998</v>
      </c>
      <c r="I39" s="12">
        <v>0</v>
      </c>
    </row>
    <row r="40" spans="2:9" ht="15" customHeight="1" x14ac:dyDescent="0.2">
      <c r="B40" t="s">
        <v>72</v>
      </c>
      <c r="C40" s="12">
        <v>15</v>
      </c>
      <c r="D40" s="8">
        <v>1.42</v>
      </c>
      <c r="E40" s="12">
        <v>7</v>
      </c>
      <c r="F40" s="8">
        <v>1.28</v>
      </c>
      <c r="G40" s="12">
        <v>8</v>
      </c>
      <c r="H40" s="8">
        <v>1.61</v>
      </c>
      <c r="I40" s="12">
        <v>0</v>
      </c>
    </row>
    <row r="41" spans="2:9" ht="15" customHeight="1" x14ac:dyDescent="0.2">
      <c r="B41" t="s">
        <v>95</v>
      </c>
      <c r="C41" s="12">
        <v>15</v>
      </c>
      <c r="D41" s="8">
        <v>1.42</v>
      </c>
      <c r="E41" s="12">
        <v>8</v>
      </c>
      <c r="F41" s="8">
        <v>1.46</v>
      </c>
      <c r="G41" s="12">
        <v>7</v>
      </c>
      <c r="H41" s="8">
        <v>1.41</v>
      </c>
      <c r="I41" s="12">
        <v>0</v>
      </c>
    </row>
    <row r="42" spans="2:9" ht="15" customHeight="1" x14ac:dyDescent="0.2">
      <c r="B42" t="s">
        <v>88</v>
      </c>
      <c r="C42" s="12">
        <v>15</v>
      </c>
      <c r="D42" s="8">
        <v>1.42</v>
      </c>
      <c r="E42" s="12">
        <v>12</v>
      </c>
      <c r="F42" s="8">
        <v>2.19</v>
      </c>
      <c r="G42" s="12">
        <v>3</v>
      </c>
      <c r="H42" s="8">
        <v>0.6</v>
      </c>
      <c r="I42" s="12">
        <v>0</v>
      </c>
    </row>
    <row r="43" spans="2:9" ht="15" customHeight="1" x14ac:dyDescent="0.2">
      <c r="B43" t="s">
        <v>75</v>
      </c>
      <c r="C43" s="12">
        <v>13</v>
      </c>
      <c r="D43" s="8">
        <v>1.23</v>
      </c>
      <c r="E43" s="12">
        <v>2</v>
      </c>
      <c r="F43" s="8">
        <v>0.36</v>
      </c>
      <c r="G43" s="12">
        <v>11</v>
      </c>
      <c r="H43" s="8">
        <v>2.21</v>
      </c>
      <c r="I43" s="12">
        <v>0</v>
      </c>
    </row>
    <row r="44" spans="2:9" ht="15" customHeight="1" x14ac:dyDescent="0.2">
      <c r="B44" t="s">
        <v>99</v>
      </c>
      <c r="C44" s="12">
        <v>13</v>
      </c>
      <c r="D44" s="8">
        <v>1.23</v>
      </c>
      <c r="E44" s="12">
        <v>8</v>
      </c>
      <c r="F44" s="8">
        <v>1.46</v>
      </c>
      <c r="G44" s="12">
        <v>5</v>
      </c>
      <c r="H44" s="8">
        <v>1.01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84</v>
      </c>
      <c r="D48" s="8">
        <v>7.96</v>
      </c>
      <c r="E48" s="12">
        <v>63</v>
      </c>
      <c r="F48" s="8">
        <v>11.5</v>
      </c>
      <c r="G48" s="12">
        <v>21</v>
      </c>
      <c r="H48" s="8">
        <v>4.2300000000000004</v>
      </c>
      <c r="I48" s="12">
        <v>0</v>
      </c>
    </row>
    <row r="49" spans="2:9" ht="15" customHeight="1" x14ac:dyDescent="0.2">
      <c r="B49" t="s">
        <v>132</v>
      </c>
      <c r="C49" s="12">
        <v>58</v>
      </c>
      <c r="D49" s="8">
        <v>5.5</v>
      </c>
      <c r="E49" s="12">
        <v>52</v>
      </c>
      <c r="F49" s="8">
        <v>9.49</v>
      </c>
      <c r="G49" s="12">
        <v>6</v>
      </c>
      <c r="H49" s="8">
        <v>1.21</v>
      </c>
      <c r="I49" s="12">
        <v>0</v>
      </c>
    </row>
    <row r="50" spans="2:9" ht="15" customHeight="1" x14ac:dyDescent="0.2">
      <c r="B50" t="s">
        <v>116</v>
      </c>
      <c r="C50" s="12">
        <v>39</v>
      </c>
      <c r="D50" s="8">
        <v>3.7</v>
      </c>
      <c r="E50" s="12">
        <v>9</v>
      </c>
      <c r="F50" s="8">
        <v>1.64</v>
      </c>
      <c r="G50" s="12">
        <v>30</v>
      </c>
      <c r="H50" s="8">
        <v>6.04</v>
      </c>
      <c r="I50" s="12">
        <v>0</v>
      </c>
    </row>
    <row r="51" spans="2:9" ht="15" customHeight="1" x14ac:dyDescent="0.2">
      <c r="B51" t="s">
        <v>133</v>
      </c>
      <c r="C51" s="12">
        <v>31</v>
      </c>
      <c r="D51" s="8">
        <v>2.94</v>
      </c>
      <c r="E51" s="12">
        <v>20</v>
      </c>
      <c r="F51" s="8">
        <v>3.65</v>
      </c>
      <c r="G51" s="12">
        <v>11</v>
      </c>
      <c r="H51" s="8">
        <v>2.21</v>
      </c>
      <c r="I51" s="12">
        <v>0</v>
      </c>
    </row>
    <row r="52" spans="2:9" ht="15" customHeight="1" x14ac:dyDescent="0.2">
      <c r="B52" t="s">
        <v>120</v>
      </c>
      <c r="C52" s="12">
        <v>28</v>
      </c>
      <c r="D52" s="8">
        <v>2.65</v>
      </c>
      <c r="E52" s="12">
        <v>13</v>
      </c>
      <c r="F52" s="8">
        <v>2.37</v>
      </c>
      <c r="G52" s="12">
        <v>15</v>
      </c>
      <c r="H52" s="8">
        <v>3.02</v>
      </c>
      <c r="I52" s="12">
        <v>0</v>
      </c>
    </row>
    <row r="53" spans="2:9" ht="15" customHeight="1" x14ac:dyDescent="0.2">
      <c r="B53" t="s">
        <v>131</v>
      </c>
      <c r="C53" s="12">
        <v>27</v>
      </c>
      <c r="D53" s="8">
        <v>2.56</v>
      </c>
      <c r="E53" s="12">
        <v>26</v>
      </c>
      <c r="F53" s="8">
        <v>4.74</v>
      </c>
      <c r="G53" s="12">
        <v>1</v>
      </c>
      <c r="H53" s="8">
        <v>0.2</v>
      </c>
      <c r="I53" s="12">
        <v>0</v>
      </c>
    </row>
    <row r="54" spans="2:9" ht="15" customHeight="1" x14ac:dyDescent="0.2">
      <c r="B54" t="s">
        <v>118</v>
      </c>
      <c r="C54" s="12">
        <v>22</v>
      </c>
      <c r="D54" s="8">
        <v>2.09</v>
      </c>
      <c r="E54" s="12">
        <v>16</v>
      </c>
      <c r="F54" s="8">
        <v>2.92</v>
      </c>
      <c r="G54" s="12">
        <v>6</v>
      </c>
      <c r="H54" s="8">
        <v>1.21</v>
      </c>
      <c r="I54" s="12">
        <v>0</v>
      </c>
    </row>
    <row r="55" spans="2:9" ht="15" customHeight="1" x14ac:dyDescent="0.2">
      <c r="B55" t="s">
        <v>122</v>
      </c>
      <c r="C55" s="12">
        <v>21</v>
      </c>
      <c r="D55" s="8">
        <v>1.99</v>
      </c>
      <c r="E55" s="12">
        <v>12</v>
      </c>
      <c r="F55" s="8">
        <v>2.19</v>
      </c>
      <c r="G55" s="12">
        <v>9</v>
      </c>
      <c r="H55" s="8">
        <v>1.81</v>
      </c>
      <c r="I55" s="12">
        <v>0</v>
      </c>
    </row>
    <row r="56" spans="2:9" ht="15" customHeight="1" x14ac:dyDescent="0.2">
      <c r="B56" t="s">
        <v>161</v>
      </c>
      <c r="C56" s="12">
        <v>21</v>
      </c>
      <c r="D56" s="8">
        <v>1.99</v>
      </c>
      <c r="E56" s="12">
        <v>15</v>
      </c>
      <c r="F56" s="8">
        <v>2.74</v>
      </c>
      <c r="G56" s="12">
        <v>6</v>
      </c>
      <c r="H56" s="8">
        <v>1.21</v>
      </c>
      <c r="I56" s="12">
        <v>0</v>
      </c>
    </row>
    <row r="57" spans="2:9" ht="15" customHeight="1" x14ac:dyDescent="0.2">
      <c r="B57" t="s">
        <v>128</v>
      </c>
      <c r="C57" s="12">
        <v>20</v>
      </c>
      <c r="D57" s="8">
        <v>1.9</v>
      </c>
      <c r="E57" s="12">
        <v>14</v>
      </c>
      <c r="F57" s="8">
        <v>2.5499999999999998</v>
      </c>
      <c r="G57" s="12">
        <v>6</v>
      </c>
      <c r="H57" s="8">
        <v>1.21</v>
      </c>
      <c r="I57" s="12">
        <v>0</v>
      </c>
    </row>
    <row r="58" spans="2:9" ht="15" customHeight="1" x14ac:dyDescent="0.2">
      <c r="B58" t="s">
        <v>129</v>
      </c>
      <c r="C58" s="12">
        <v>20</v>
      </c>
      <c r="D58" s="8">
        <v>1.9</v>
      </c>
      <c r="E58" s="12">
        <v>20</v>
      </c>
      <c r="F58" s="8">
        <v>3.65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134</v>
      </c>
      <c r="C59" s="12">
        <v>20</v>
      </c>
      <c r="D59" s="8">
        <v>1.9</v>
      </c>
      <c r="E59" s="12">
        <v>14</v>
      </c>
      <c r="F59" s="8">
        <v>2.5499999999999998</v>
      </c>
      <c r="G59" s="12">
        <v>6</v>
      </c>
      <c r="H59" s="8">
        <v>1.21</v>
      </c>
      <c r="I59" s="12">
        <v>0</v>
      </c>
    </row>
    <row r="60" spans="2:9" ht="15" customHeight="1" x14ac:dyDescent="0.2">
      <c r="B60" t="s">
        <v>119</v>
      </c>
      <c r="C60" s="12">
        <v>19</v>
      </c>
      <c r="D60" s="8">
        <v>1.8</v>
      </c>
      <c r="E60" s="12">
        <v>8</v>
      </c>
      <c r="F60" s="8">
        <v>1.46</v>
      </c>
      <c r="G60" s="12">
        <v>11</v>
      </c>
      <c r="H60" s="8">
        <v>2.21</v>
      </c>
      <c r="I60" s="12">
        <v>0</v>
      </c>
    </row>
    <row r="61" spans="2:9" ht="15" customHeight="1" x14ac:dyDescent="0.2">
      <c r="B61" t="s">
        <v>147</v>
      </c>
      <c r="C61" s="12">
        <v>17</v>
      </c>
      <c r="D61" s="8">
        <v>1.61</v>
      </c>
      <c r="E61" s="12">
        <v>1</v>
      </c>
      <c r="F61" s="8">
        <v>0.18</v>
      </c>
      <c r="G61" s="12">
        <v>16</v>
      </c>
      <c r="H61" s="8">
        <v>3.22</v>
      </c>
      <c r="I61" s="12">
        <v>0</v>
      </c>
    </row>
    <row r="62" spans="2:9" ht="15" customHeight="1" x14ac:dyDescent="0.2">
      <c r="B62" t="s">
        <v>117</v>
      </c>
      <c r="C62" s="12">
        <v>16</v>
      </c>
      <c r="D62" s="8">
        <v>1.52</v>
      </c>
      <c r="E62" s="12">
        <v>2</v>
      </c>
      <c r="F62" s="8">
        <v>0.36</v>
      </c>
      <c r="G62" s="12">
        <v>14</v>
      </c>
      <c r="H62" s="8">
        <v>2.82</v>
      </c>
      <c r="I62" s="12">
        <v>0</v>
      </c>
    </row>
    <row r="63" spans="2:9" ht="15" customHeight="1" x14ac:dyDescent="0.2">
      <c r="B63" t="s">
        <v>127</v>
      </c>
      <c r="C63" s="12">
        <v>16</v>
      </c>
      <c r="D63" s="8">
        <v>1.52</v>
      </c>
      <c r="E63" s="12">
        <v>7</v>
      </c>
      <c r="F63" s="8">
        <v>1.28</v>
      </c>
      <c r="G63" s="12">
        <v>9</v>
      </c>
      <c r="H63" s="8">
        <v>1.81</v>
      </c>
      <c r="I63" s="12">
        <v>0</v>
      </c>
    </row>
    <row r="64" spans="2:9" ht="15" customHeight="1" x14ac:dyDescent="0.2">
      <c r="B64" t="s">
        <v>125</v>
      </c>
      <c r="C64" s="12">
        <v>15</v>
      </c>
      <c r="D64" s="8">
        <v>1.42</v>
      </c>
      <c r="E64" s="12">
        <v>5</v>
      </c>
      <c r="F64" s="8">
        <v>0.91</v>
      </c>
      <c r="G64" s="12">
        <v>10</v>
      </c>
      <c r="H64" s="8">
        <v>2.0099999999999998</v>
      </c>
      <c r="I64" s="12">
        <v>0</v>
      </c>
    </row>
    <row r="65" spans="2:9" ht="15" customHeight="1" x14ac:dyDescent="0.2">
      <c r="B65" t="s">
        <v>135</v>
      </c>
      <c r="C65" s="12">
        <v>15</v>
      </c>
      <c r="D65" s="8">
        <v>1.42</v>
      </c>
      <c r="E65" s="12">
        <v>12</v>
      </c>
      <c r="F65" s="8">
        <v>2.19</v>
      </c>
      <c r="G65" s="12">
        <v>3</v>
      </c>
      <c r="H65" s="8">
        <v>0.6</v>
      </c>
      <c r="I65" s="12">
        <v>0</v>
      </c>
    </row>
    <row r="66" spans="2:9" ht="15" customHeight="1" x14ac:dyDescent="0.2">
      <c r="B66" t="s">
        <v>123</v>
      </c>
      <c r="C66" s="12">
        <v>13</v>
      </c>
      <c r="D66" s="8">
        <v>1.23</v>
      </c>
      <c r="E66" s="12">
        <v>3</v>
      </c>
      <c r="F66" s="8">
        <v>0.55000000000000004</v>
      </c>
      <c r="G66" s="12">
        <v>10</v>
      </c>
      <c r="H66" s="8">
        <v>2.0099999999999998</v>
      </c>
      <c r="I66" s="12">
        <v>0</v>
      </c>
    </row>
    <row r="67" spans="2:9" ht="15" customHeight="1" x14ac:dyDescent="0.2">
      <c r="B67" t="s">
        <v>140</v>
      </c>
      <c r="C67" s="12">
        <v>13</v>
      </c>
      <c r="D67" s="8">
        <v>1.23</v>
      </c>
      <c r="E67" s="12">
        <v>6</v>
      </c>
      <c r="F67" s="8">
        <v>1.0900000000000001</v>
      </c>
      <c r="G67" s="12">
        <v>7</v>
      </c>
      <c r="H67" s="8">
        <v>1.41</v>
      </c>
      <c r="I67" s="12">
        <v>0</v>
      </c>
    </row>
    <row r="68" spans="2:9" ht="15" customHeight="1" x14ac:dyDescent="0.2">
      <c r="B68" t="s">
        <v>153</v>
      </c>
      <c r="C68" s="12">
        <v>13</v>
      </c>
      <c r="D68" s="8">
        <v>1.23</v>
      </c>
      <c r="E68" s="12">
        <v>10</v>
      </c>
      <c r="F68" s="8">
        <v>1.82</v>
      </c>
      <c r="G68" s="12">
        <v>3</v>
      </c>
      <c r="H68" s="8">
        <v>0.6</v>
      </c>
      <c r="I68" s="12">
        <v>0</v>
      </c>
    </row>
    <row r="70" spans="2:9" ht="15" customHeight="1" x14ac:dyDescent="0.2">
      <c r="B70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281D7-BA6A-4364-B99E-F1A2A07E2365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222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156</v>
      </c>
      <c r="D6" s="8">
        <v>11.92</v>
      </c>
      <c r="E6" s="12">
        <v>51</v>
      </c>
      <c r="F6" s="8">
        <v>7.05</v>
      </c>
      <c r="G6" s="12">
        <v>105</v>
      </c>
      <c r="H6" s="8">
        <v>18.13</v>
      </c>
      <c r="I6" s="12">
        <v>0</v>
      </c>
    </row>
    <row r="7" spans="2:9" ht="15" customHeight="1" x14ac:dyDescent="0.2">
      <c r="B7" t="s">
        <v>48</v>
      </c>
      <c r="C7" s="12">
        <v>209</v>
      </c>
      <c r="D7" s="8">
        <v>15.97</v>
      </c>
      <c r="E7" s="12">
        <v>71</v>
      </c>
      <c r="F7" s="8">
        <v>9.82</v>
      </c>
      <c r="G7" s="12">
        <v>138</v>
      </c>
      <c r="H7" s="8">
        <v>23.83</v>
      </c>
      <c r="I7" s="12">
        <v>0</v>
      </c>
    </row>
    <row r="8" spans="2:9" ht="15" customHeight="1" x14ac:dyDescent="0.2">
      <c r="B8" t="s">
        <v>49</v>
      </c>
      <c r="C8" s="12">
        <v>7</v>
      </c>
      <c r="D8" s="8">
        <v>0.53</v>
      </c>
      <c r="E8" s="12">
        <v>1</v>
      </c>
      <c r="F8" s="8">
        <v>0.14000000000000001</v>
      </c>
      <c r="G8" s="12">
        <v>5</v>
      </c>
      <c r="H8" s="8">
        <v>0.86</v>
      </c>
      <c r="I8" s="12">
        <v>0</v>
      </c>
    </row>
    <row r="9" spans="2:9" ht="15" customHeight="1" x14ac:dyDescent="0.2">
      <c r="B9" t="s">
        <v>50</v>
      </c>
      <c r="C9" s="12">
        <v>11</v>
      </c>
      <c r="D9" s="8">
        <v>0.84</v>
      </c>
      <c r="E9" s="12">
        <v>1</v>
      </c>
      <c r="F9" s="8">
        <v>0.14000000000000001</v>
      </c>
      <c r="G9" s="12">
        <v>10</v>
      </c>
      <c r="H9" s="8">
        <v>1.73</v>
      </c>
      <c r="I9" s="12">
        <v>0</v>
      </c>
    </row>
    <row r="10" spans="2:9" ht="15" customHeight="1" x14ac:dyDescent="0.2">
      <c r="B10" t="s">
        <v>51</v>
      </c>
      <c r="C10" s="12">
        <v>19</v>
      </c>
      <c r="D10" s="8">
        <v>1.45</v>
      </c>
      <c r="E10" s="12">
        <v>3</v>
      </c>
      <c r="F10" s="8">
        <v>0.41</v>
      </c>
      <c r="G10" s="12">
        <v>16</v>
      </c>
      <c r="H10" s="8">
        <v>2.76</v>
      </c>
      <c r="I10" s="12">
        <v>0</v>
      </c>
    </row>
    <row r="11" spans="2:9" ht="15" customHeight="1" x14ac:dyDescent="0.2">
      <c r="B11" t="s">
        <v>52</v>
      </c>
      <c r="C11" s="12">
        <v>268</v>
      </c>
      <c r="D11" s="8">
        <v>20.47</v>
      </c>
      <c r="E11" s="12">
        <v>140</v>
      </c>
      <c r="F11" s="8">
        <v>19.36</v>
      </c>
      <c r="G11" s="12">
        <v>128</v>
      </c>
      <c r="H11" s="8">
        <v>22.11</v>
      </c>
      <c r="I11" s="12">
        <v>0</v>
      </c>
    </row>
    <row r="12" spans="2:9" ht="15" customHeight="1" x14ac:dyDescent="0.2">
      <c r="B12" t="s">
        <v>53</v>
      </c>
      <c r="C12" s="12">
        <v>10</v>
      </c>
      <c r="D12" s="8">
        <v>0.76</v>
      </c>
      <c r="E12" s="12">
        <v>1</v>
      </c>
      <c r="F12" s="8">
        <v>0.14000000000000001</v>
      </c>
      <c r="G12" s="12">
        <v>9</v>
      </c>
      <c r="H12" s="8">
        <v>1.55</v>
      </c>
      <c r="I12" s="12">
        <v>0</v>
      </c>
    </row>
    <row r="13" spans="2:9" ht="15" customHeight="1" x14ac:dyDescent="0.2">
      <c r="B13" t="s">
        <v>54</v>
      </c>
      <c r="C13" s="12">
        <v>153</v>
      </c>
      <c r="D13" s="8">
        <v>11.69</v>
      </c>
      <c r="E13" s="12">
        <v>112</v>
      </c>
      <c r="F13" s="8">
        <v>15.49</v>
      </c>
      <c r="G13" s="12">
        <v>41</v>
      </c>
      <c r="H13" s="8">
        <v>7.08</v>
      </c>
      <c r="I13" s="12">
        <v>0</v>
      </c>
    </row>
    <row r="14" spans="2:9" ht="15" customHeight="1" x14ac:dyDescent="0.2">
      <c r="B14" t="s">
        <v>55</v>
      </c>
      <c r="C14" s="12">
        <v>51</v>
      </c>
      <c r="D14" s="8">
        <v>3.9</v>
      </c>
      <c r="E14" s="12">
        <v>33</v>
      </c>
      <c r="F14" s="8">
        <v>4.5599999999999996</v>
      </c>
      <c r="G14" s="12">
        <v>18</v>
      </c>
      <c r="H14" s="8">
        <v>3.11</v>
      </c>
      <c r="I14" s="12">
        <v>0</v>
      </c>
    </row>
    <row r="15" spans="2:9" ht="15" customHeight="1" x14ac:dyDescent="0.2">
      <c r="B15" t="s">
        <v>56</v>
      </c>
      <c r="C15" s="12">
        <v>128</v>
      </c>
      <c r="D15" s="8">
        <v>9.7799999999999994</v>
      </c>
      <c r="E15" s="12">
        <v>92</v>
      </c>
      <c r="F15" s="8">
        <v>12.72</v>
      </c>
      <c r="G15" s="12">
        <v>36</v>
      </c>
      <c r="H15" s="8">
        <v>6.22</v>
      </c>
      <c r="I15" s="12">
        <v>0</v>
      </c>
    </row>
    <row r="16" spans="2:9" ht="15" customHeight="1" x14ac:dyDescent="0.2">
      <c r="B16" t="s">
        <v>57</v>
      </c>
      <c r="C16" s="12">
        <v>153</v>
      </c>
      <c r="D16" s="8">
        <v>11.69</v>
      </c>
      <c r="E16" s="12">
        <v>127</v>
      </c>
      <c r="F16" s="8">
        <v>17.57</v>
      </c>
      <c r="G16" s="12">
        <v>26</v>
      </c>
      <c r="H16" s="8">
        <v>4.49</v>
      </c>
      <c r="I16" s="12">
        <v>0</v>
      </c>
    </row>
    <row r="17" spans="2:9" ht="15" customHeight="1" x14ac:dyDescent="0.2">
      <c r="B17" t="s">
        <v>58</v>
      </c>
      <c r="C17" s="12">
        <v>60</v>
      </c>
      <c r="D17" s="8">
        <v>4.58</v>
      </c>
      <c r="E17" s="12">
        <v>48</v>
      </c>
      <c r="F17" s="8">
        <v>6.64</v>
      </c>
      <c r="G17" s="12">
        <v>11</v>
      </c>
      <c r="H17" s="8">
        <v>1.9</v>
      </c>
      <c r="I17" s="12">
        <v>0</v>
      </c>
    </row>
    <row r="18" spans="2:9" ht="15" customHeight="1" x14ac:dyDescent="0.2">
      <c r="B18" t="s">
        <v>59</v>
      </c>
      <c r="C18" s="12">
        <v>49</v>
      </c>
      <c r="D18" s="8">
        <v>3.74</v>
      </c>
      <c r="E18" s="12">
        <v>31</v>
      </c>
      <c r="F18" s="8">
        <v>4.29</v>
      </c>
      <c r="G18" s="12">
        <v>17</v>
      </c>
      <c r="H18" s="8">
        <v>2.94</v>
      </c>
      <c r="I18" s="12">
        <v>0</v>
      </c>
    </row>
    <row r="19" spans="2:9" ht="15" customHeight="1" x14ac:dyDescent="0.2">
      <c r="B19" t="s">
        <v>60</v>
      </c>
      <c r="C19" s="12">
        <v>35</v>
      </c>
      <c r="D19" s="8">
        <v>2.67</v>
      </c>
      <c r="E19" s="12">
        <v>12</v>
      </c>
      <c r="F19" s="8">
        <v>1.66</v>
      </c>
      <c r="G19" s="12">
        <v>19</v>
      </c>
      <c r="H19" s="8">
        <v>3.28</v>
      </c>
      <c r="I19" s="12">
        <v>0</v>
      </c>
    </row>
    <row r="20" spans="2:9" ht="15" customHeight="1" x14ac:dyDescent="0.2">
      <c r="B20" s="9" t="s">
        <v>191</v>
      </c>
      <c r="C20" s="12">
        <f>SUM(LTBL_22221[総数／事業所数])</f>
        <v>1309</v>
      </c>
      <c r="E20" s="12">
        <f>SUBTOTAL(109,LTBL_22221[個人／事業所数])</f>
        <v>723</v>
      </c>
      <c r="G20" s="12">
        <f>SUBTOTAL(109,LTBL_22221[法人／事業所数])</f>
        <v>579</v>
      </c>
      <c r="I20" s="12">
        <f>SUBTOTAL(109,LTBL_22221[法人以外の団体／事業所数])</f>
        <v>0</v>
      </c>
    </row>
    <row r="21" spans="2:9" ht="15" customHeight="1" x14ac:dyDescent="0.2">
      <c r="E21" s="11">
        <f>LTBL_22221[[#Totals],[個人／事業所数]]/LTBL_22221[[#Totals],[総数／事業所数]]</f>
        <v>0.55233002291825817</v>
      </c>
      <c r="G21" s="11">
        <f>LTBL_22221[[#Totals],[法人／事業所数]]/LTBL_22221[[#Totals],[総数／事業所数]]</f>
        <v>0.44232238349885411</v>
      </c>
      <c r="I21" s="11">
        <f>LTBL_22221[[#Totals],[法人以外の団体／事業所数]]/LTBL_22221[[#Totals],[総数／事業所数]]</f>
        <v>0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81</v>
      </c>
      <c r="C24" s="12">
        <v>134</v>
      </c>
      <c r="D24" s="8">
        <v>10.24</v>
      </c>
      <c r="E24" s="12">
        <v>104</v>
      </c>
      <c r="F24" s="8">
        <v>14.38</v>
      </c>
      <c r="G24" s="12">
        <v>30</v>
      </c>
      <c r="H24" s="8">
        <v>5.18</v>
      </c>
      <c r="I24" s="12">
        <v>0</v>
      </c>
    </row>
    <row r="25" spans="2:9" ht="15" customHeight="1" x14ac:dyDescent="0.2">
      <c r="B25" t="s">
        <v>85</v>
      </c>
      <c r="C25" s="12">
        <v>129</v>
      </c>
      <c r="D25" s="8">
        <v>9.85</v>
      </c>
      <c r="E25" s="12">
        <v>115</v>
      </c>
      <c r="F25" s="8">
        <v>15.91</v>
      </c>
      <c r="G25" s="12">
        <v>14</v>
      </c>
      <c r="H25" s="8">
        <v>2.42</v>
      </c>
      <c r="I25" s="12">
        <v>0</v>
      </c>
    </row>
    <row r="26" spans="2:9" ht="15" customHeight="1" x14ac:dyDescent="0.2">
      <c r="B26" t="s">
        <v>84</v>
      </c>
      <c r="C26" s="12">
        <v>99</v>
      </c>
      <c r="D26" s="8">
        <v>7.56</v>
      </c>
      <c r="E26" s="12">
        <v>85</v>
      </c>
      <c r="F26" s="8">
        <v>11.76</v>
      </c>
      <c r="G26" s="12">
        <v>14</v>
      </c>
      <c r="H26" s="8">
        <v>2.42</v>
      </c>
      <c r="I26" s="12">
        <v>0</v>
      </c>
    </row>
    <row r="27" spans="2:9" ht="15" customHeight="1" x14ac:dyDescent="0.2">
      <c r="B27" t="s">
        <v>77</v>
      </c>
      <c r="C27" s="12">
        <v>78</v>
      </c>
      <c r="D27" s="8">
        <v>5.96</v>
      </c>
      <c r="E27" s="12">
        <v>57</v>
      </c>
      <c r="F27" s="8">
        <v>7.88</v>
      </c>
      <c r="G27" s="12">
        <v>21</v>
      </c>
      <c r="H27" s="8">
        <v>3.63</v>
      </c>
      <c r="I27" s="12">
        <v>0</v>
      </c>
    </row>
    <row r="28" spans="2:9" ht="15" customHeight="1" x14ac:dyDescent="0.2">
      <c r="B28" t="s">
        <v>69</v>
      </c>
      <c r="C28" s="12">
        <v>73</v>
      </c>
      <c r="D28" s="8">
        <v>5.58</v>
      </c>
      <c r="E28" s="12">
        <v>22</v>
      </c>
      <c r="F28" s="8">
        <v>3.04</v>
      </c>
      <c r="G28" s="12">
        <v>51</v>
      </c>
      <c r="H28" s="8">
        <v>8.81</v>
      </c>
      <c r="I28" s="12">
        <v>0</v>
      </c>
    </row>
    <row r="29" spans="2:9" ht="15" customHeight="1" x14ac:dyDescent="0.2">
      <c r="B29" t="s">
        <v>79</v>
      </c>
      <c r="C29" s="12">
        <v>68</v>
      </c>
      <c r="D29" s="8">
        <v>5.19</v>
      </c>
      <c r="E29" s="12">
        <v>36</v>
      </c>
      <c r="F29" s="8">
        <v>4.9800000000000004</v>
      </c>
      <c r="G29" s="12">
        <v>32</v>
      </c>
      <c r="H29" s="8">
        <v>5.53</v>
      </c>
      <c r="I29" s="12">
        <v>0</v>
      </c>
    </row>
    <row r="30" spans="2:9" ht="15" customHeight="1" x14ac:dyDescent="0.2">
      <c r="B30" t="s">
        <v>94</v>
      </c>
      <c r="C30" s="12">
        <v>62</v>
      </c>
      <c r="D30" s="8">
        <v>4.74</v>
      </c>
      <c r="E30" s="12">
        <v>23</v>
      </c>
      <c r="F30" s="8">
        <v>3.18</v>
      </c>
      <c r="G30" s="12">
        <v>39</v>
      </c>
      <c r="H30" s="8">
        <v>6.74</v>
      </c>
      <c r="I30" s="12">
        <v>0</v>
      </c>
    </row>
    <row r="31" spans="2:9" ht="15" customHeight="1" x14ac:dyDescent="0.2">
      <c r="B31" t="s">
        <v>86</v>
      </c>
      <c r="C31" s="12">
        <v>60</v>
      </c>
      <c r="D31" s="8">
        <v>4.58</v>
      </c>
      <c r="E31" s="12">
        <v>48</v>
      </c>
      <c r="F31" s="8">
        <v>6.64</v>
      </c>
      <c r="G31" s="12">
        <v>11</v>
      </c>
      <c r="H31" s="8">
        <v>1.9</v>
      </c>
      <c r="I31" s="12">
        <v>0</v>
      </c>
    </row>
    <row r="32" spans="2:9" ht="15" customHeight="1" x14ac:dyDescent="0.2">
      <c r="B32" t="s">
        <v>70</v>
      </c>
      <c r="C32" s="12">
        <v>45</v>
      </c>
      <c r="D32" s="8">
        <v>3.44</v>
      </c>
      <c r="E32" s="12">
        <v>21</v>
      </c>
      <c r="F32" s="8">
        <v>2.9</v>
      </c>
      <c r="G32" s="12">
        <v>24</v>
      </c>
      <c r="H32" s="8">
        <v>4.1500000000000004</v>
      </c>
      <c r="I32" s="12">
        <v>0</v>
      </c>
    </row>
    <row r="33" spans="2:9" ht="15" customHeight="1" x14ac:dyDescent="0.2">
      <c r="B33" t="s">
        <v>78</v>
      </c>
      <c r="C33" s="12">
        <v>45</v>
      </c>
      <c r="D33" s="8">
        <v>3.44</v>
      </c>
      <c r="E33" s="12">
        <v>22</v>
      </c>
      <c r="F33" s="8">
        <v>3.04</v>
      </c>
      <c r="G33" s="12">
        <v>23</v>
      </c>
      <c r="H33" s="8">
        <v>3.97</v>
      </c>
      <c r="I33" s="12">
        <v>0</v>
      </c>
    </row>
    <row r="34" spans="2:9" ht="15" customHeight="1" x14ac:dyDescent="0.2">
      <c r="B34" t="s">
        <v>71</v>
      </c>
      <c r="C34" s="12">
        <v>38</v>
      </c>
      <c r="D34" s="8">
        <v>2.9</v>
      </c>
      <c r="E34" s="12">
        <v>8</v>
      </c>
      <c r="F34" s="8">
        <v>1.1100000000000001</v>
      </c>
      <c r="G34" s="12">
        <v>30</v>
      </c>
      <c r="H34" s="8">
        <v>5.18</v>
      </c>
      <c r="I34" s="12">
        <v>0</v>
      </c>
    </row>
    <row r="35" spans="2:9" ht="15" customHeight="1" x14ac:dyDescent="0.2">
      <c r="B35" t="s">
        <v>87</v>
      </c>
      <c r="C35" s="12">
        <v>36</v>
      </c>
      <c r="D35" s="8">
        <v>2.75</v>
      </c>
      <c r="E35" s="12">
        <v>31</v>
      </c>
      <c r="F35" s="8">
        <v>4.29</v>
      </c>
      <c r="G35" s="12">
        <v>5</v>
      </c>
      <c r="H35" s="8">
        <v>0.86</v>
      </c>
      <c r="I35" s="12">
        <v>0</v>
      </c>
    </row>
    <row r="36" spans="2:9" ht="15" customHeight="1" x14ac:dyDescent="0.2">
      <c r="B36" t="s">
        <v>83</v>
      </c>
      <c r="C36" s="12">
        <v>33</v>
      </c>
      <c r="D36" s="8">
        <v>2.52</v>
      </c>
      <c r="E36" s="12">
        <v>17</v>
      </c>
      <c r="F36" s="8">
        <v>2.35</v>
      </c>
      <c r="G36" s="12">
        <v>16</v>
      </c>
      <c r="H36" s="8">
        <v>2.76</v>
      </c>
      <c r="I36" s="12">
        <v>0</v>
      </c>
    </row>
    <row r="37" spans="2:9" ht="15" customHeight="1" x14ac:dyDescent="0.2">
      <c r="B37" t="s">
        <v>73</v>
      </c>
      <c r="C37" s="12">
        <v>26</v>
      </c>
      <c r="D37" s="8">
        <v>1.99</v>
      </c>
      <c r="E37" s="12">
        <v>5</v>
      </c>
      <c r="F37" s="8">
        <v>0.69</v>
      </c>
      <c r="G37" s="12">
        <v>21</v>
      </c>
      <c r="H37" s="8">
        <v>3.63</v>
      </c>
      <c r="I37" s="12">
        <v>0</v>
      </c>
    </row>
    <row r="38" spans="2:9" ht="15" customHeight="1" x14ac:dyDescent="0.2">
      <c r="B38" t="s">
        <v>72</v>
      </c>
      <c r="C38" s="12">
        <v>25</v>
      </c>
      <c r="D38" s="8">
        <v>1.91</v>
      </c>
      <c r="E38" s="12">
        <v>6</v>
      </c>
      <c r="F38" s="8">
        <v>0.83</v>
      </c>
      <c r="G38" s="12">
        <v>19</v>
      </c>
      <c r="H38" s="8">
        <v>3.28</v>
      </c>
      <c r="I38" s="12">
        <v>0</v>
      </c>
    </row>
    <row r="39" spans="2:9" ht="15" customHeight="1" x14ac:dyDescent="0.2">
      <c r="B39" t="s">
        <v>76</v>
      </c>
      <c r="C39" s="12">
        <v>25</v>
      </c>
      <c r="D39" s="8">
        <v>1.91</v>
      </c>
      <c r="E39" s="12">
        <v>15</v>
      </c>
      <c r="F39" s="8">
        <v>2.0699999999999998</v>
      </c>
      <c r="G39" s="12">
        <v>10</v>
      </c>
      <c r="H39" s="8">
        <v>1.73</v>
      </c>
      <c r="I39" s="12">
        <v>0</v>
      </c>
    </row>
    <row r="40" spans="2:9" ht="15" customHeight="1" x14ac:dyDescent="0.2">
      <c r="B40" t="s">
        <v>103</v>
      </c>
      <c r="C40" s="12">
        <v>20</v>
      </c>
      <c r="D40" s="8">
        <v>1.53</v>
      </c>
      <c r="E40" s="12">
        <v>4</v>
      </c>
      <c r="F40" s="8">
        <v>0.55000000000000004</v>
      </c>
      <c r="G40" s="12">
        <v>16</v>
      </c>
      <c r="H40" s="8">
        <v>2.76</v>
      </c>
      <c r="I40" s="12">
        <v>0</v>
      </c>
    </row>
    <row r="41" spans="2:9" ht="15" customHeight="1" x14ac:dyDescent="0.2">
      <c r="B41" t="s">
        <v>80</v>
      </c>
      <c r="C41" s="12">
        <v>18</v>
      </c>
      <c r="D41" s="8">
        <v>1.38</v>
      </c>
      <c r="E41" s="12">
        <v>8</v>
      </c>
      <c r="F41" s="8">
        <v>1.1100000000000001</v>
      </c>
      <c r="G41" s="12">
        <v>10</v>
      </c>
      <c r="H41" s="8">
        <v>1.73</v>
      </c>
      <c r="I41" s="12">
        <v>0</v>
      </c>
    </row>
    <row r="42" spans="2:9" ht="15" customHeight="1" x14ac:dyDescent="0.2">
      <c r="B42" t="s">
        <v>82</v>
      </c>
      <c r="C42" s="12">
        <v>18</v>
      </c>
      <c r="D42" s="8">
        <v>1.38</v>
      </c>
      <c r="E42" s="12">
        <v>16</v>
      </c>
      <c r="F42" s="8">
        <v>2.21</v>
      </c>
      <c r="G42" s="12">
        <v>2</v>
      </c>
      <c r="H42" s="8">
        <v>0.35</v>
      </c>
      <c r="I42" s="12">
        <v>0</v>
      </c>
    </row>
    <row r="43" spans="2:9" ht="15" customHeight="1" x14ac:dyDescent="0.2">
      <c r="B43" t="s">
        <v>75</v>
      </c>
      <c r="C43" s="12">
        <v>17</v>
      </c>
      <c r="D43" s="8">
        <v>1.3</v>
      </c>
      <c r="E43" s="12">
        <v>3</v>
      </c>
      <c r="F43" s="8">
        <v>0.41</v>
      </c>
      <c r="G43" s="12">
        <v>14</v>
      </c>
      <c r="H43" s="8">
        <v>2.42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91</v>
      </c>
      <c r="D47" s="8">
        <v>6.95</v>
      </c>
      <c r="E47" s="12">
        <v>76</v>
      </c>
      <c r="F47" s="8">
        <v>10.51</v>
      </c>
      <c r="G47" s="12">
        <v>15</v>
      </c>
      <c r="H47" s="8">
        <v>2.59</v>
      </c>
      <c r="I47" s="12">
        <v>0</v>
      </c>
    </row>
    <row r="48" spans="2:9" ht="15" customHeight="1" x14ac:dyDescent="0.2">
      <c r="B48" t="s">
        <v>132</v>
      </c>
      <c r="C48" s="12">
        <v>64</v>
      </c>
      <c r="D48" s="8">
        <v>4.8899999999999997</v>
      </c>
      <c r="E48" s="12">
        <v>60</v>
      </c>
      <c r="F48" s="8">
        <v>8.3000000000000007</v>
      </c>
      <c r="G48" s="12">
        <v>4</v>
      </c>
      <c r="H48" s="8">
        <v>0.69</v>
      </c>
      <c r="I48" s="12">
        <v>0</v>
      </c>
    </row>
    <row r="49" spans="2:9" ht="15" customHeight="1" x14ac:dyDescent="0.2">
      <c r="B49" t="s">
        <v>145</v>
      </c>
      <c r="C49" s="12">
        <v>56</v>
      </c>
      <c r="D49" s="8">
        <v>4.28</v>
      </c>
      <c r="E49" s="12">
        <v>23</v>
      </c>
      <c r="F49" s="8">
        <v>3.18</v>
      </c>
      <c r="G49" s="12">
        <v>33</v>
      </c>
      <c r="H49" s="8">
        <v>5.7</v>
      </c>
      <c r="I49" s="12">
        <v>0</v>
      </c>
    </row>
    <row r="50" spans="2:9" ht="15" customHeight="1" x14ac:dyDescent="0.2">
      <c r="B50" t="s">
        <v>133</v>
      </c>
      <c r="C50" s="12">
        <v>38</v>
      </c>
      <c r="D50" s="8">
        <v>2.9</v>
      </c>
      <c r="E50" s="12">
        <v>33</v>
      </c>
      <c r="F50" s="8">
        <v>4.5599999999999996</v>
      </c>
      <c r="G50" s="12">
        <v>5</v>
      </c>
      <c r="H50" s="8">
        <v>0.86</v>
      </c>
      <c r="I50" s="12">
        <v>0</v>
      </c>
    </row>
    <row r="51" spans="2:9" ht="15" customHeight="1" x14ac:dyDescent="0.2">
      <c r="B51" t="s">
        <v>131</v>
      </c>
      <c r="C51" s="12">
        <v>34</v>
      </c>
      <c r="D51" s="8">
        <v>2.6</v>
      </c>
      <c r="E51" s="12">
        <v>32</v>
      </c>
      <c r="F51" s="8">
        <v>4.43</v>
      </c>
      <c r="G51" s="12">
        <v>2</v>
      </c>
      <c r="H51" s="8">
        <v>0.35</v>
      </c>
      <c r="I51" s="12">
        <v>0</v>
      </c>
    </row>
    <row r="52" spans="2:9" ht="15" customHeight="1" x14ac:dyDescent="0.2">
      <c r="B52" t="s">
        <v>121</v>
      </c>
      <c r="C52" s="12">
        <v>32</v>
      </c>
      <c r="D52" s="8">
        <v>2.44</v>
      </c>
      <c r="E52" s="12">
        <v>22</v>
      </c>
      <c r="F52" s="8">
        <v>3.04</v>
      </c>
      <c r="G52" s="12">
        <v>10</v>
      </c>
      <c r="H52" s="8">
        <v>1.73</v>
      </c>
      <c r="I52" s="12">
        <v>0</v>
      </c>
    </row>
    <row r="53" spans="2:9" ht="15" customHeight="1" x14ac:dyDescent="0.2">
      <c r="B53" t="s">
        <v>134</v>
      </c>
      <c r="C53" s="12">
        <v>29</v>
      </c>
      <c r="D53" s="8">
        <v>2.2200000000000002</v>
      </c>
      <c r="E53" s="12">
        <v>24</v>
      </c>
      <c r="F53" s="8">
        <v>3.32</v>
      </c>
      <c r="G53" s="12">
        <v>5</v>
      </c>
      <c r="H53" s="8">
        <v>0.86</v>
      </c>
      <c r="I53" s="12">
        <v>0</v>
      </c>
    </row>
    <row r="54" spans="2:9" ht="15" customHeight="1" x14ac:dyDescent="0.2">
      <c r="B54" t="s">
        <v>128</v>
      </c>
      <c r="C54" s="12">
        <v>25</v>
      </c>
      <c r="D54" s="8">
        <v>1.91</v>
      </c>
      <c r="E54" s="12">
        <v>22</v>
      </c>
      <c r="F54" s="8">
        <v>3.04</v>
      </c>
      <c r="G54" s="12">
        <v>3</v>
      </c>
      <c r="H54" s="8">
        <v>0.52</v>
      </c>
      <c r="I54" s="12">
        <v>0</v>
      </c>
    </row>
    <row r="55" spans="2:9" ht="15" customHeight="1" x14ac:dyDescent="0.2">
      <c r="B55" t="s">
        <v>122</v>
      </c>
      <c r="C55" s="12">
        <v>22</v>
      </c>
      <c r="D55" s="8">
        <v>1.68</v>
      </c>
      <c r="E55" s="12">
        <v>8</v>
      </c>
      <c r="F55" s="8">
        <v>1.1100000000000001</v>
      </c>
      <c r="G55" s="12">
        <v>14</v>
      </c>
      <c r="H55" s="8">
        <v>2.42</v>
      </c>
      <c r="I55" s="12">
        <v>0</v>
      </c>
    </row>
    <row r="56" spans="2:9" ht="15" customHeight="1" x14ac:dyDescent="0.2">
      <c r="B56" t="s">
        <v>118</v>
      </c>
      <c r="C56" s="12">
        <v>21</v>
      </c>
      <c r="D56" s="8">
        <v>1.6</v>
      </c>
      <c r="E56" s="12">
        <v>12</v>
      </c>
      <c r="F56" s="8">
        <v>1.66</v>
      </c>
      <c r="G56" s="12">
        <v>9</v>
      </c>
      <c r="H56" s="8">
        <v>1.55</v>
      </c>
      <c r="I56" s="12">
        <v>0</v>
      </c>
    </row>
    <row r="57" spans="2:9" ht="15" customHeight="1" x14ac:dyDescent="0.2">
      <c r="B57" t="s">
        <v>124</v>
      </c>
      <c r="C57" s="12">
        <v>21</v>
      </c>
      <c r="D57" s="8">
        <v>1.6</v>
      </c>
      <c r="E57" s="12">
        <v>16</v>
      </c>
      <c r="F57" s="8">
        <v>2.21</v>
      </c>
      <c r="G57" s="12">
        <v>5</v>
      </c>
      <c r="H57" s="8">
        <v>0.86</v>
      </c>
      <c r="I57" s="12">
        <v>0</v>
      </c>
    </row>
    <row r="58" spans="2:9" ht="15" customHeight="1" x14ac:dyDescent="0.2">
      <c r="B58" t="s">
        <v>125</v>
      </c>
      <c r="C58" s="12">
        <v>21</v>
      </c>
      <c r="D58" s="8">
        <v>1.6</v>
      </c>
      <c r="E58" s="12">
        <v>11</v>
      </c>
      <c r="F58" s="8">
        <v>1.52</v>
      </c>
      <c r="G58" s="12">
        <v>10</v>
      </c>
      <c r="H58" s="8">
        <v>1.73</v>
      </c>
      <c r="I58" s="12">
        <v>0</v>
      </c>
    </row>
    <row r="59" spans="2:9" ht="15" customHeight="1" x14ac:dyDescent="0.2">
      <c r="B59" t="s">
        <v>139</v>
      </c>
      <c r="C59" s="12">
        <v>21</v>
      </c>
      <c r="D59" s="8">
        <v>1.6</v>
      </c>
      <c r="E59" s="12">
        <v>20</v>
      </c>
      <c r="F59" s="8">
        <v>2.77</v>
      </c>
      <c r="G59" s="12">
        <v>1</v>
      </c>
      <c r="H59" s="8">
        <v>0.17</v>
      </c>
      <c r="I59" s="12">
        <v>0</v>
      </c>
    </row>
    <row r="60" spans="2:9" ht="15" customHeight="1" x14ac:dyDescent="0.2">
      <c r="B60" t="s">
        <v>120</v>
      </c>
      <c r="C60" s="12">
        <v>20</v>
      </c>
      <c r="D60" s="8">
        <v>1.53</v>
      </c>
      <c r="E60" s="12">
        <v>3</v>
      </c>
      <c r="F60" s="8">
        <v>0.41</v>
      </c>
      <c r="G60" s="12">
        <v>17</v>
      </c>
      <c r="H60" s="8">
        <v>2.94</v>
      </c>
      <c r="I60" s="12">
        <v>0</v>
      </c>
    </row>
    <row r="61" spans="2:9" ht="15" customHeight="1" x14ac:dyDescent="0.2">
      <c r="B61" t="s">
        <v>140</v>
      </c>
      <c r="C61" s="12">
        <v>20</v>
      </c>
      <c r="D61" s="8">
        <v>1.53</v>
      </c>
      <c r="E61" s="12">
        <v>17</v>
      </c>
      <c r="F61" s="8">
        <v>2.35</v>
      </c>
      <c r="G61" s="12">
        <v>3</v>
      </c>
      <c r="H61" s="8">
        <v>0.52</v>
      </c>
      <c r="I61" s="12">
        <v>0</v>
      </c>
    </row>
    <row r="62" spans="2:9" ht="15" customHeight="1" x14ac:dyDescent="0.2">
      <c r="B62" t="s">
        <v>129</v>
      </c>
      <c r="C62" s="12">
        <v>19</v>
      </c>
      <c r="D62" s="8">
        <v>1.45</v>
      </c>
      <c r="E62" s="12">
        <v>16</v>
      </c>
      <c r="F62" s="8">
        <v>2.21</v>
      </c>
      <c r="G62" s="12">
        <v>3</v>
      </c>
      <c r="H62" s="8">
        <v>0.52</v>
      </c>
      <c r="I62" s="12">
        <v>0</v>
      </c>
    </row>
    <row r="63" spans="2:9" ht="15" customHeight="1" x14ac:dyDescent="0.2">
      <c r="B63" t="s">
        <v>153</v>
      </c>
      <c r="C63" s="12">
        <v>19</v>
      </c>
      <c r="D63" s="8">
        <v>1.45</v>
      </c>
      <c r="E63" s="12">
        <v>15</v>
      </c>
      <c r="F63" s="8">
        <v>2.0699999999999998</v>
      </c>
      <c r="G63" s="12">
        <v>4</v>
      </c>
      <c r="H63" s="8">
        <v>0.69</v>
      </c>
      <c r="I63" s="12">
        <v>0</v>
      </c>
    </row>
    <row r="64" spans="2:9" ht="15" customHeight="1" x14ac:dyDescent="0.2">
      <c r="B64" t="s">
        <v>136</v>
      </c>
      <c r="C64" s="12">
        <v>18</v>
      </c>
      <c r="D64" s="8">
        <v>1.38</v>
      </c>
      <c r="E64" s="12">
        <v>11</v>
      </c>
      <c r="F64" s="8">
        <v>1.52</v>
      </c>
      <c r="G64" s="12">
        <v>7</v>
      </c>
      <c r="H64" s="8">
        <v>1.21</v>
      </c>
      <c r="I64" s="12">
        <v>0</v>
      </c>
    </row>
    <row r="65" spans="2:9" ht="15" customHeight="1" x14ac:dyDescent="0.2">
      <c r="B65" t="s">
        <v>127</v>
      </c>
      <c r="C65" s="12">
        <v>18</v>
      </c>
      <c r="D65" s="8">
        <v>1.38</v>
      </c>
      <c r="E65" s="12">
        <v>10</v>
      </c>
      <c r="F65" s="8">
        <v>1.38</v>
      </c>
      <c r="G65" s="12">
        <v>8</v>
      </c>
      <c r="H65" s="8">
        <v>1.38</v>
      </c>
      <c r="I65" s="12">
        <v>0</v>
      </c>
    </row>
    <row r="66" spans="2:9" ht="15" customHeight="1" x14ac:dyDescent="0.2">
      <c r="B66" t="s">
        <v>171</v>
      </c>
      <c r="C66" s="12">
        <v>17</v>
      </c>
      <c r="D66" s="8">
        <v>1.3</v>
      </c>
      <c r="E66" s="12">
        <v>2</v>
      </c>
      <c r="F66" s="8">
        <v>0.28000000000000003</v>
      </c>
      <c r="G66" s="12">
        <v>15</v>
      </c>
      <c r="H66" s="8">
        <v>2.59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9DCE-B5BE-461B-8F5D-4CFB4610F285}">
  <sheetPr>
    <pageSetUpPr fitToPage="1"/>
  </sheetPr>
  <dimension ref="B2:I70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223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0.11</v>
      </c>
      <c r="E5" s="12">
        <v>0</v>
      </c>
      <c r="F5" s="8">
        <v>0</v>
      </c>
      <c r="G5" s="12">
        <v>1</v>
      </c>
      <c r="H5" s="8">
        <v>0.28999999999999998</v>
      </c>
      <c r="I5" s="12">
        <v>0</v>
      </c>
    </row>
    <row r="6" spans="2:9" ht="15" customHeight="1" x14ac:dyDescent="0.2">
      <c r="B6" t="s">
        <v>47</v>
      </c>
      <c r="C6" s="12">
        <v>170</v>
      </c>
      <c r="D6" s="8">
        <v>18.46</v>
      </c>
      <c r="E6" s="12">
        <v>80</v>
      </c>
      <c r="F6" s="8">
        <v>14.16</v>
      </c>
      <c r="G6" s="12">
        <v>90</v>
      </c>
      <c r="H6" s="8">
        <v>26.24</v>
      </c>
      <c r="I6" s="12">
        <v>0</v>
      </c>
    </row>
    <row r="7" spans="2:9" ht="15" customHeight="1" x14ac:dyDescent="0.2">
      <c r="B7" t="s">
        <v>48</v>
      </c>
      <c r="C7" s="12">
        <v>87</v>
      </c>
      <c r="D7" s="8">
        <v>9.4499999999999993</v>
      </c>
      <c r="E7" s="12">
        <v>38</v>
      </c>
      <c r="F7" s="8">
        <v>6.73</v>
      </c>
      <c r="G7" s="12">
        <v>48</v>
      </c>
      <c r="H7" s="8">
        <v>13.99</v>
      </c>
      <c r="I7" s="12">
        <v>0</v>
      </c>
    </row>
    <row r="8" spans="2:9" ht="15" customHeight="1" x14ac:dyDescent="0.2">
      <c r="B8" t="s">
        <v>49</v>
      </c>
      <c r="C8" s="12">
        <v>3</v>
      </c>
      <c r="D8" s="8">
        <v>0.33</v>
      </c>
      <c r="E8" s="12">
        <v>0</v>
      </c>
      <c r="F8" s="8">
        <v>0</v>
      </c>
      <c r="G8" s="12">
        <v>3</v>
      </c>
      <c r="H8" s="8">
        <v>0.87</v>
      </c>
      <c r="I8" s="12">
        <v>0</v>
      </c>
    </row>
    <row r="9" spans="2:9" ht="15" customHeight="1" x14ac:dyDescent="0.2">
      <c r="B9" t="s">
        <v>50</v>
      </c>
      <c r="C9" s="12">
        <v>1</v>
      </c>
      <c r="D9" s="8">
        <v>0.11</v>
      </c>
      <c r="E9" s="12">
        <v>0</v>
      </c>
      <c r="F9" s="8">
        <v>0</v>
      </c>
      <c r="G9" s="12">
        <v>1</v>
      </c>
      <c r="H9" s="8">
        <v>0.28999999999999998</v>
      </c>
      <c r="I9" s="12">
        <v>0</v>
      </c>
    </row>
    <row r="10" spans="2:9" ht="15" customHeight="1" x14ac:dyDescent="0.2">
      <c r="B10" t="s">
        <v>51</v>
      </c>
      <c r="C10" s="12">
        <v>14</v>
      </c>
      <c r="D10" s="8">
        <v>1.52</v>
      </c>
      <c r="E10" s="12">
        <v>3</v>
      </c>
      <c r="F10" s="8">
        <v>0.53</v>
      </c>
      <c r="G10" s="12">
        <v>8</v>
      </c>
      <c r="H10" s="8">
        <v>2.33</v>
      </c>
      <c r="I10" s="12">
        <v>3</v>
      </c>
    </row>
    <row r="11" spans="2:9" ht="15" customHeight="1" x14ac:dyDescent="0.2">
      <c r="B11" t="s">
        <v>52</v>
      </c>
      <c r="C11" s="12">
        <v>193</v>
      </c>
      <c r="D11" s="8">
        <v>20.96</v>
      </c>
      <c r="E11" s="12">
        <v>104</v>
      </c>
      <c r="F11" s="8">
        <v>18.41</v>
      </c>
      <c r="G11" s="12">
        <v>89</v>
      </c>
      <c r="H11" s="8">
        <v>25.95</v>
      </c>
      <c r="I11" s="12">
        <v>0</v>
      </c>
    </row>
    <row r="12" spans="2:9" ht="15" customHeight="1" x14ac:dyDescent="0.2">
      <c r="B12" t="s">
        <v>53</v>
      </c>
      <c r="C12" s="12">
        <v>3</v>
      </c>
      <c r="D12" s="8">
        <v>0.33</v>
      </c>
      <c r="E12" s="12">
        <v>1</v>
      </c>
      <c r="F12" s="8">
        <v>0.18</v>
      </c>
      <c r="G12" s="12">
        <v>2</v>
      </c>
      <c r="H12" s="8">
        <v>0.57999999999999996</v>
      </c>
      <c r="I12" s="12">
        <v>0</v>
      </c>
    </row>
    <row r="13" spans="2:9" ht="15" customHeight="1" x14ac:dyDescent="0.2">
      <c r="B13" t="s">
        <v>54</v>
      </c>
      <c r="C13" s="12">
        <v>94</v>
      </c>
      <c r="D13" s="8">
        <v>10.210000000000001</v>
      </c>
      <c r="E13" s="12">
        <v>74</v>
      </c>
      <c r="F13" s="8">
        <v>13.1</v>
      </c>
      <c r="G13" s="12">
        <v>20</v>
      </c>
      <c r="H13" s="8">
        <v>5.83</v>
      </c>
      <c r="I13" s="12">
        <v>0</v>
      </c>
    </row>
    <row r="14" spans="2:9" ht="15" customHeight="1" x14ac:dyDescent="0.2">
      <c r="B14" t="s">
        <v>55</v>
      </c>
      <c r="C14" s="12">
        <v>29</v>
      </c>
      <c r="D14" s="8">
        <v>3.15</v>
      </c>
      <c r="E14" s="12">
        <v>15</v>
      </c>
      <c r="F14" s="8">
        <v>2.65</v>
      </c>
      <c r="G14" s="12">
        <v>13</v>
      </c>
      <c r="H14" s="8">
        <v>3.79</v>
      </c>
      <c r="I14" s="12">
        <v>0</v>
      </c>
    </row>
    <row r="15" spans="2:9" ht="15" customHeight="1" x14ac:dyDescent="0.2">
      <c r="B15" t="s">
        <v>56</v>
      </c>
      <c r="C15" s="12">
        <v>154</v>
      </c>
      <c r="D15" s="8">
        <v>16.72</v>
      </c>
      <c r="E15" s="12">
        <v>124</v>
      </c>
      <c r="F15" s="8">
        <v>21.95</v>
      </c>
      <c r="G15" s="12">
        <v>27</v>
      </c>
      <c r="H15" s="8">
        <v>7.87</v>
      </c>
      <c r="I15" s="12">
        <v>1</v>
      </c>
    </row>
    <row r="16" spans="2:9" ht="15" customHeight="1" x14ac:dyDescent="0.2">
      <c r="B16" t="s">
        <v>57</v>
      </c>
      <c r="C16" s="12">
        <v>100</v>
      </c>
      <c r="D16" s="8">
        <v>10.86</v>
      </c>
      <c r="E16" s="12">
        <v>84</v>
      </c>
      <c r="F16" s="8">
        <v>14.87</v>
      </c>
      <c r="G16" s="12">
        <v>13</v>
      </c>
      <c r="H16" s="8">
        <v>3.79</v>
      </c>
      <c r="I16" s="12">
        <v>2</v>
      </c>
    </row>
    <row r="17" spans="2:9" ht="15" customHeight="1" x14ac:dyDescent="0.2">
      <c r="B17" t="s">
        <v>58</v>
      </c>
      <c r="C17" s="12">
        <v>21</v>
      </c>
      <c r="D17" s="8">
        <v>2.2799999999999998</v>
      </c>
      <c r="E17" s="12">
        <v>15</v>
      </c>
      <c r="F17" s="8">
        <v>2.65</v>
      </c>
      <c r="G17" s="12">
        <v>4</v>
      </c>
      <c r="H17" s="8">
        <v>1.17</v>
      </c>
      <c r="I17" s="12">
        <v>0</v>
      </c>
    </row>
    <row r="18" spans="2:9" ht="15" customHeight="1" x14ac:dyDescent="0.2">
      <c r="B18" t="s">
        <v>59</v>
      </c>
      <c r="C18" s="12">
        <v>25</v>
      </c>
      <c r="D18" s="8">
        <v>2.71</v>
      </c>
      <c r="E18" s="12">
        <v>16</v>
      </c>
      <c r="F18" s="8">
        <v>2.83</v>
      </c>
      <c r="G18" s="12">
        <v>9</v>
      </c>
      <c r="H18" s="8">
        <v>2.62</v>
      </c>
      <c r="I18" s="12">
        <v>0</v>
      </c>
    </row>
    <row r="19" spans="2:9" ht="15" customHeight="1" x14ac:dyDescent="0.2">
      <c r="B19" t="s">
        <v>60</v>
      </c>
      <c r="C19" s="12">
        <v>26</v>
      </c>
      <c r="D19" s="8">
        <v>2.82</v>
      </c>
      <c r="E19" s="12">
        <v>11</v>
      </c>
      <c r="F19" s="8">
        <v>1.95</v>
      </c>
      <c r="G19" s="12">
        <v>15</v>
      </c>
      <c r="H19" s="8">
        <v>4.37</v>
      </c>
      <c r="I19" s="12">
        <v>0</v>
      </c>
    </row>
    <row r="20" spans="2:9" ht="15" customHeight="1" x14ac:dyDescent="0.2">
      <c r="B20" s="9" t="s">
        <v>191</v>
      </c>
      <c r="C20" s="12">
        <f>SUM(LTBL_22222[総数／事業所数])</f>
        <v>921</v>
      </c>
      <c r="E20" s="12">
        <f>SUBTOTAL(109,LTBL_22222[個人／事業所数])</f>
        <v>565</v>
      </c>
      <c r="G20" s="12">
        <f>SUBTOTAL(109,LTBL_22222[法人／事業所数])</f>
        <v>343</v>
      </c>
      <c r="I20" s="12">
        <f>SUBTOTAL(109,LTBL_22222[法人以外の団体／事業所数])</f>
        <v>6</v>
      </c>
    </row>
    <row r="21" spans="2:9" ht="15" customHeight="1" x14ac:dyDescent="0.2">
      <c r="E21" s="11">
        <f>LTBL_22222[[#Totals],[個人／事業所数]]/LTBL_22222[[#Totals],[総数／事業所数]]</f>
        <v>0.6134636264929425</v>
      </c>
      <c r="G21" s="11">
        <f>LTBL_22222[[#Totals],[法人／事業所数]]/LTBL_22222[[#Totals],[総数／事業所数]]</f>
        <v>0.37242128121606949</v>
      </c>
      <c r="I21" s="11">
        <f>LTBL_22222[[#Totals],[法人以外の団体／事業所数]]/LTBL_22222[[#Totals],[総数／事業所数]]</f>
        <v>6.5146579804560263E-3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103</v>
      </c>
      <c r="D24" s="8">
        <v>11.18</v>
      </c>
      <c r="E24" s="12">
        <v>92</v>
      </c>
      <c r="F24" s="8">
        <v>16.28</v>
      </c>
      <c r="G24" s="12">
        <v>11</v>
      </c>
      <c r="H24" s="8">
        <v>3.21</v>
      </c>
      <c r="I24" s="12">
        <v>0</v>
      </c>
    </row>
    <row r="25" spans="2:9" ht="15" customHeight="1" x14ac:dyDescent="0.2">
      <c r="B25" t="s">
        <v>81</v>
      </c>
      <c r="C25" s="12">
        <v>86</v>
      </c>
      <c r="D25" s="8">
        <v>9.34</v>
      </c>
      <c r="E25" s="12">
        <v>74</v>
      </c>
      <c r="F25" s="8">
        <v>13.1</v>
      </c>
      <c r="G25" s="12">
        <v>12</v>
      </c>
      <c r="H25" s="8">
        <v>3.5</v>
      </c>
      <c r="I25" s="12">
        <v>0</v>
      </c>
    </row>
    <row r="26" spans="2:9" ht="15" customHeight="1" x14ac:dyDescent="0.2">
      <c r="B26" t="s">
        <v>85</v>
      </c>
      <c r="C26" s="12">
        <v>82</v>
      </c>
      <c r="D26" s="8">
        <v>8.9</v>
      </c>
      <c r="E26" s="12">
        <v>74</v>
      </c>
      <c r="F26" s="8">
        <v>13.1</v>
      </c>
      <c r="G26" s="12">
        <v>7</v>
      </c>
      <c r="H26" s="8">
        <v>2.04</v>
      </c>
      <c r="I26" s="12">
        <v>1</v>
      </c>
    </row>
    <row r="27" spans="2:9" ht="15" customHeight="1" x14ac:dyDescent="0.2">
      <c r="B27" t="s">
        <v>69</v>
      </c>
      <c r="C27" s="12">
        <v>74</v>
      </c>
      <c r="D27" s="8">
        <v>8.0299999999999994</v>
      </c>
      <c r="E27" s="12">
        <v>25</v>
      </c>
      <c r="F27" s="8">
        <v>4.42</v>
      </c>
      <c r="G27" s="12">
        <v>49</v>
      </c>
      <c r="H27" s="8">
        <v>14.29</v>
      </c>
      <c r="I27" s="12">
        <v>0</v>
      </c>
    </row>
    <row r="28" spans="2:9" ht="15" customHeight="1" x14ac:dyDescent="0.2">
      <c r="B28" t="s">
        <v>79</v>
      </c>
      <c r="C28" s="12">
        <v>73</v>
      </c>
      <c r="D28" s="8">
        <v>7.93</v>
      </c>
      <c r="E28" s="12">
        <v>39</v>
      </c>
      <c r="F28" s="8">
        <v>6.9</v>
      </c>
      <c r="G28" s="12">
        <v>34</v>
      </c>
      <c r="H28" s="8">
        <v>9.91</v>
      </c>
      <c r="I28" s="12">
        <v>0</v>
      </c>
    </row>
    <row r="29" spans="2:9" ht="15" customHeight="1" x14ac:dyDescent="0.2">
      <c r="B29" t="s">
        <v>70</v>
      </c>
      <c r="C29" s="12">
        <v>67</v>
      </c>
      <c r="D29" s="8">
        <v>7.27</v>
      </c>
      <c r="E29" s="12">
        <v>43</v>
      </c>
      <c r="F29" s="8">
        <v>7.61</v>
      </c>
      <c r="G29" s="12">
        <v>24</v>
      </c>
      <c r="H29" s="8">
        <v>7</v>
      </c>
      <c r="I29" s="12">
        <v>0</v>
      </c>
    </row>
    <row r="30" spans="2:9" ht="15" customHeight="1" x14ac:dyDescent="0.2">
      <c r="B30" t="s">
        <v>77</v>
      </c>
      <c r="C30" s="12">
        <v>55</v>
      </c>
      <c r="D30" s="8">
        <v>5.97</v>
      </c>
      <c r="E30" s="12">
        <v>34</v>
      </c>
      <c r="F30" s="8">
        <v>6.02</v>
      </c>
      <c r="G30" s="12">
        <v>21</v>
      </c>
      <c r="H30" s="8">
        <v>6.12</v>
      </c>
      <c r="I30" s="12">
        <v>0</v>
      </c>
    </row>
    <row r="31" spans="2:9" ht="15" customHeight="1" x14ac:dyDescent="0.2">
      <c r="B31" t="s">
        <v>99</v>
      </c>
      <c r="C31" s="12">
        <v>43</v>
      </c>
      <c r="D31" s="8">
        <v>4.67</v>
      </c>
      <c r="E31" s="12">
        <v>32</v>
      </c>
      <c r="F31" s="8">
        <v>5.66</v>
      </c>
      <c r="G31" s="12">
        <v>8</v>
      </c>
      <c r="H31" s="8">
        <v>2.33</v>
      </c>
      <c r="I31" s="12">
        <v>1</v>
      </c>
    </row>
    <row r="32" spans="2:9" ht="15" customHeight="1" x14ac:dyDescent="0.2">
      <c r="B32" t="s">
        <v>71</v>
      </c>
      <c r="C32" s="12">
        <v>29</v>
      </c>
      <c r="D32" s="8">
        <v>3.15</v>
      </c>
      <c r="E32" s="12">
        <v>12</v>
      </c>
      <c r="F32" s="8">
        <v>2.12</v>
      </c>
      <c r="G32" s="12">
        <v>17</v>
      </c>
      <c r="H32" s="8">
        <v>4.96</v>
      </c>
      <c r="I32" s="12">
        <v>0</v>
      </c>
    </row>
    <row r="33" spans="2:9" ht="15" customHeight="1" x14ac:dyDescent="0.2">
      <c r="B33" t="s">
        <v>86</v>
      </c>
      <c r="C33" s="12">
        <v>21</v>
      </c>
      <c r="D33" s="8">
        <v>2.2799999999999998</v>
      </c>
      <c r="E33" s="12">
        <v>15</v>
      </c>
      <c r="F33" s="8">
        <v>2.65</v>
      </c>
      <c r="G33" s="12">
        <v>4</v>
      </c>
      <c r="H33" s="8">
        <v>1.17</v>
      </c>
      <c r="I33" s="12">
        <v>0</v>
      </c>
    </row>
    <row r="34" spans="2:9" ht="15" customHeight="1" x14ac:dyDescent="0.2">
      <c r="B34" t="s">
        <v>78</v>
      </c>
      <c r="C34" s="12">
        <v>20</v>
      </c>
      <c r="D34" s="8">
        <v>2.17</v>
      </c>
      <c r="E34" s="12">
        <v>14</v>
      </c>
      <c r="F34" s="8">
        <v>2.48</v>
      </c>
      <c r="G34" s="12">
        <v>6</v>
      </c>
      <c r="H34" s="8">
        <v>1.75</v>
      </c>
      <c r="I34" s="12">
        <v>0</v>
      </c>
    </row>
    <row r="35" spans="2:9" ht="15" customHeight="1" x14ac:dyDescent="0.2">
      <c r="B35" t="s">
        <v>100</v>
      </c>
      <c r="C35" s="12">
        <v>19</v>
      </c>
      <c r="D35" s="8">
        <v>2.06</v>
      </c>
      <c r="E35" s="12">
        <v>7</v>
      </c>
      <c r="F35" s="8">
        <v>1.24</v>
      </c>
      <c r="G35" s="12">
        <v>11</v>
      </c>
      <c r="H35" s="8">
        <v>3.21</v>
      </c>
      <c r="I35" s="12">
        <v>0</v>
      </c>
    </row>
    <row r="36" spans="2:9" ht="15" customHeight="1" x14ac:dyDescent="0.2">
      <c r="B36" t="s">
        <v>83</v>
      </c>
      <c r="C36" s="12">
        <v>19</v>
      </c>
      <c r="D36" s="8">
        <v>2.06</v>
      </c>
      <c r="E36" s="12">
        <v>7</v>
      </c>
      <c r="F36" s="8">
        <v>1.24</v>
      </c>
      <c r="G36" s="12">
        <v>11</v>
      </c>
      <c r="H36" s="8">
        <v>3.21</v>
      </c>
      <c r="I36" s="12">
        <v>0</v>
      </c>
    </row>
    <row r="37" spans="2:9" ht="15" customHeight="1" x14ac:dyDescent="0.2">
      <c r="B37" t="s">
        <v>87</v>
      </c>
      <c r="C37" s="12">
        <v>18</v>
      </c>
      <c r="D37" s="8">
        <v>1.95</v>
      </c>
      <c r="E37" s="12">
        <v>16</v>
      </c>
      <c r="F37" s="8">
        <v>2.83</v>
      </c>
      <c r="G37" s="12">
        <v>2</v>
      </c>
      <c r="H37" s="8">
        <v>0.57999999999999996</v>
      </c>
      <c r="I37" s="12">
        <v>0</v>
      </c>
    </row>
    <row r="38" spans="2:9" ht="15" customHeight="1" x14ac:dyDescent="0.2">
      <c r="B38" t="s">
        <v>76</v>
      </c>
      <c r="C38" s="12">
        <v>17</v>
      </c>
      <c r="D38" s="8">
        <v>1.85</v>
      </c>
      <c r="E38" s="12">
        <v>9</v>
      </c>
      <c r="F38" s="8">
        <v>1.59</v>
      </c>
      <c r="G38" s="12">
        <v>8</v>
      </c>
      <c r="H38" s="8">
        <v>2.33</v>
      </c>
      <c r="I38" s="12">
        <v>0</v>
      </c>
    </row>
    <row r="39" spans="2:9" ht="15" customHeight="1" x14ac:dyDescent="0.2">
      <c r="B39" t="s">
        <v>93</v>
      </c>
      <c r="C39" s="12">
        <v>14</v>
      </c>
      <c r="D39" s="8">
        <v>1.52</v>
      </c>
      <c r="E39" s="12">
        <v>3</v>
      </c>
      <c r="F39" s="8">
        <v>0.53</v>
      </c>
      <c r="G39" s="12">
        <v>11</v>
      </c>
      <c r="H39" s="8">
        <v>3.21</v>
      </c>
      <c r="I39" s="12">
        <v>0</v>
      </c>
    </row>
    <row r="40" spans="2:9" ht="15" customHeight="1" x14ac:dyDescent="0.2">
      <c r="B40" t="s">
        <v>101</v>
      </c>
      <c r="C40" s="12">
        <v>12</v>
      </c>
      <c r="D40" s="8">
        <v>1.3</v>
      </c>
      <c r="E40" s="12">
        <v>6</v>
      </c>
      <c r="F40" s="8">
        <v>1.06</v>
      </c>
      <c r="G40" s="12">
        <v>5</v>
      </c>
      <c r="H40" s="8">
        <v>1.46</v>
      </c>
      <c r="I40" s="12">
        <v>1</v>
      </c>
    </row>
    <row r="41" spans="2:9" ht="15" customHeight="1" x14ac:dyDescent="0.2">
      <c r="B41" t="s">
        <v>88</v>
      </c>
      <c r="C41" s="12">
        <v>12</v>
      </c>
      <c r="D41" s="8">
        <v>1.3</v>
      </c>
      <c r="E41" s="12">
        <v>10</v>
      </c>
      <c r="F41" s="8">
        <v>1.77</v>
      </c>
      <c r="G41" s="12">
        <v>2</v>
      </c>
      <c r="H41" s="8">
        <v>0.57999999999999996</v>
      </c>
      <c r="I41" s="12">
        <v>0</v>
      </c>
    </row>
    <row r="42" spans="2:9" ht="15" customHeight="1" x14ac:dyDescent="0.2">
      <c r="B42" t="s">
        <v>82</v>
      </c>
      <c r="C42" s="12">
        <v>10</v>
      </c>
      <c r="D42" s="8">
        <v>1.0900000000000001</v>
      </c>
      <c r="E42" s="12">
        <v>8</v>
      </c>
      <c r="F42" s="8">
        <v>1.42</v>
      </c>
      <c r="G42" s="12">
        <v>2</v>
      </c>
      <c r="H42" s="8">
        <v>0.57999999999999996</v>
      </c>
      <c r="I42" s="12">
        <v>0</v>
      </c>
    </row>
    <row r="43" spans="2:9" ht="15" customHeight="1" x14ac:dyDescent="0.2">
      <c r="B43" t="s">
        <v>105</v>
      </c>
      <c r="C43" s="12">
        <v>9</v>
      </c>
      <c r="D43" s="8">
        <v>0.98</v>
      </c>
      <c r="E43" s="12">
        <v>2</v>
      </c>
      <c r="F43" s="8">
        <v>0.35</v>
      </c>
      <c r="G43" s="12">
        <v>7</v>
      </c>
      <c r="H43" s="8">
        <v>2.04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77</v>
      </c>
      <c r="D47" s="8">
        <v>8.36</v>
      </c>
      <c r="E47" s="12">
        <v>73</v>
      </c>
      <c r="F47" s="8">
        <v>12.92</v>
      </c>
      <c r="G47" s="12">
        <v>4</v>
      </c>
      <c r="H47" s="8">
        <v>1.17</v>
      </c>
      <c r="I47" s="12">
        <v>0</v>
      </c>
    </row>
    <row r="48" spans="2:9" ht="15" customHeight="1" x14ac:dyDescent="0.2">
      <c r="B48" t="s">
        <v>116</v>
      </c>
      <c r="C48" s="12">
        <v>38</v>
      </c>
      <c r="D48" s="8">
        <v>4.13</v>
      </c>
      <c r="E48" s="12">
        <v>9</v>
      </c>
      <c r="F48" s="8">
        <v>1.59</v>
      </c>
      <c r="G48" s="12">
        <v>29</v>
      </c>
      <c r="H48" s="8">
        <v>8.4499999999999993</v>
      </c>
      <c r="I48" s="12">
        <v>0</v>
      </c>
    </row>
    <row r="49" spans="2:9" ht="15" customHeight="1" x14ac:dyDescent="0.2">
      <c r="B49" t="s">
        <v>160</v>
      </c>
      <c r="C49" s="12">
        <v>35</v>
      </c>
      <c r="D49" s="8">
        <v>3.8</v>
      </c>
      <c r="E49" s="12">
        <v>29</v>
      </c>
      <c r="F49" s="8">
        <v>5.13</v>
      </c>
      <c r="G49" s="12">
        <v>6</v>
      </c>
      <c r="H49" s="8">
        <v>1.75</v>
      </c>
      <c r="I49" s="12">
        <v>0</v>
      </c>
    </row>
    <row r="50" spans="2:9" ht="15" customHeight="1" x14ac:dyDescent="0.2">
      <c r="B50" t="s">
        <v>132</v>
      </c>
      <c r="C50" s="12">
        <v>32</v>
      </c>
      <c r="D50" s="8">
        <v>3.47</v>
      </c>
      <c r="E50" s="12">
        <v>30</v>
      </c>
      <c r="F50" s="8">
        <v>5.31</v>
      </c>
      <c r="G50" s="12">
        <v>2</v>
      </c>
      <c r="H50" s="8">
        <v>0.57999999999999996</v>
      </c>
      <c r="I50" s="12">
        <v>0</v>
      </c>
    </row>
    <row r="51" spans="2:9" ht="15" customHeight="1" x14ac:dyDescent="0.2">
      <c r="B51" t="s">
        <v>131</v>
      </c>
      <c r="C51" s="12">
        <v>29</v>
      </c>
      <c r="D51" s="8">
        <v>3.15</v>
      </c>
      <c r="E51" s="12">
        <v>28</v>
      </c>
      <c r="F51" s="8">
        <v>4.96</v>
      </c>
      <c r="G51" s="12">
        <v>1</v>
      </c>
      <c r="H51" s="8">
        <v>0.28999999999999998</v>
      </c>
      <c r="I51" s="12">
        <v>0</v>
      </c>
    </row>
    <row r="52" spans="2:9" ht="15" customHeight="1" x14ac:dyDescent="0.2">
      <c r="B52" t="s">
        <v>128</v>
      </c>
      <c r="C52" s="12">
        <v>27</v>
      </c>
      <c r="D52" s="8">
        <v>2.93</v>
      </c>
      <c r="E52" s="12">
        <v>24</v>
      </c>
      <c r="F52" s="8">
        <v>4.25</v>
      </c>
      <c r="G52" s="12">
        <v>3</v>
      </c>
      <c r="H52" s="8">
        <v>0.87</v>
      </c>
      <c r="I52" s="12">
        <v>0</v>
      </c>
    </row>
    <row r="53" spans="2:9" ht="15" customHeight="1" x14ac:dyDescent="0.2">
      <c r="B53" t="s">
        <v>124</v>
      </c>
      <c r="C53" s="12">
        <v>22</v>
      </c>
      <c r="D53" s="8">
        <v>2.39</v>
      </c>
      <c r="E53" s="12">
        <v>12</v>
      </c>
      <c r="F53" s="8">
        <v>2.12</v>
      </c>
      <c r="G53" s="12">
        <v>10</v>
      </c>
      <c r="H53" s="8">
        <v>2.92</v>
      </c>
      <c r="I53" s="12">
        <v>0</v>
      </c>
    </row>
    <row r="54" spans="2:9" ht="15" customHeight="1" x14ac:dyDescent="0.2">
      <c r="B54" t="s">
        <v>119</v>
      </c>
      <c r="C54" s="12">
        <v>20</v>
      </c>
      <c r="D54" s="8">
        <v>2.17</v>
      </c>
      <c r="E54" s="12">
        <v>8</v>
      </c>
      <c r="F54" s="8">
        <v>1.42</v>
      </c>
      <c r="G54" s="12">
        <v>12</v>
      </c>
      <c r="H54" s="8">
        <v>3.5</v>
      </c>
      <c r="I54" s="12">
        <v>0</v>
      </c>
    </row>
    <row r="55" spans="2:9" ht="15" customHeight="1" x14ac:dyDescent="0.2">
      <c r="B55" t="s">
        <v>121</v>
      </c>
      <c r="C55" s="12">
        <v>18</v>
      </c>
      <c r="D55" s="8">
        <v>1.95</v>
      </c>
      <c r="E55" s="12">
        <v>10</v>
      </c>
      <c r="F55" s="8">
        <v>1.77</v>
      </c>
      <c r="G55" s="12">
        <v>8</v>
      </c>
      <c r="H55" s="8">
        <v>2.33</v>
      </c>
      <c r="I55" s="12">
        <v>0</v>
      </c>
    </row>
    <row r="56" spans="2:9" ht="15" customHeight="1" x14ac:dyDescent="0.2">
      <c r="B56" t="s">
        <v>161</v>
      </c>
      <c r="C56" s="12">
        <v>18</v>
      </c>
      <c r="D56" s="8">
        <v>1.95</v>
      </c>
      <c r="E56" s="12">
        <v>14</v>
      </c>
      <c r="F56" s="8">
        <v>2.48</v>
      </c>
      <c r="G56" s="12">
        <v>4</v>
      </c>
      <c r="H56" s="8">
        <v>1.17</v>
      </c>
      <c r="I56" s="12">
        <v>0</v>
      </c>
    </row>
    <row r="57" spans="2:9" ht="15" customHeight="1" x14ac:dyDescent="0.2">
      <c r="B57" t="s">
        <v>129</v>
      </c>
      <c r="C57" s="12">
        <v>16</v>
      </c>
      <c r="D57" s="8">
        <v>1.74</v>
      </c>
      <c r="E57" s="12">
        <v>16</v>
      </c>
      <c r="F57" s="8">
        <v>2.83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118</v>
      </c>
      <c r="C58" s="12">
        <v>15</v>
      </c>
      <c r="D58" s="8">
        <v>1.63</v>
      </c>
      <c r="E58" s="12">
        <v>9</v>
      </c>
      <c r="F58" s="8">
        <v>1.59</v>
      </c>
      <c r="G58" s="12">
        <v>6</v>
      </c>
      <c r="H58" s="8">
        <v>1.75</v>
      </c>
      <c r="I58" s="12">
        <v>0</v>
      </c>
    </row>
    <row r="59" spans="2:9" ht="15" customHeight="1" x14ac:dyDescent="0.2">
      <c r="B59" t="s">
        <v>117</v>
      </c>
      <c r="C59" s="12">
        <v>14</v>
      </c>
      <c r="D59" s="8">
        <v>1.52</v>
      </c>
      <c r="E59" s="12">
        <v>3</v>
      </c>
      <c r="F59" s="8">
        <v>0.53</v>
      </c>
      <c r="G59" s="12">
        <v>11</v>
      </c>
      <c r="H59" s="8">
        <v>3.21</v>
      </c>
      <c r="I59" s="12">
        <v>0</v>
      </c>
    </row>
    <row r="60" spans="2:9" ht="15" customHeight="1" x14ac:dyDescent="0.2">
      <c r="B60" t="s">
        <v>122</v>
      </c>
      <c r="C60" s="12">
        <v>14</v>
      </c>
      <c r="D60" s="8">
        <v>1.52</v>
      </c>
      <c r="E60" s="12">
        <v>10</v>
      </c>
      <c r="F60" s="8">
        <v>1.77</v>
      </c>
      <c r="G60" s="12">
        <v>4</v>
      </c>
      <c r="H60" s="8">
        <v>1.17</v>
      </c>
      <c r="I60" s="12">
        <v>0</v>
      </c>
    </row>
    <row r="61" spans="2:9" ht="15" customHeight="1" x14ac:dyDescent="0.2">
      <c r="B61" t="s">
        <v>134</v>
      </c>
      <c r="C61" s="12">
        <v>14</v>
      </c>
      <c r="D61" s="8">
        <v>1.52</v>
      </c>
      <c r="E61" s="12">
        <v>12</v>
      </c>
      <c r="F61" s="8">
        <v>2.12</v>
      </c>
      <c r="G61" s="12">
        <v>2</v>
      </c>
      <c r="H61" s="8">
        <v>0.57999999999999996</v>
      </c>
      <c r="I61" s="12">
        <v>0</v>
      </c>
    </row>
    <row r="62" spans="2:9" ht="15" customHeight="1" x14ac:dyDescent="0.2">
      <c r="B62" t="s">
        <v>156</v>
      </c>
      <c r="C62" s="12">
        <v>13</v>
      </c>
      <c r="D62" s="8">
        <v>1.41</v>
      </c>
      <c r="E62" s="12">
        <v>8</v>
      </c>
      <c r="F62" s="8">
        <v>1.42</v>
      </c>
      <c r="G62" s="12">
        <v>5</v>
      </c>
      <c r="H62" s="8">
        <v>1.46</v>
      </c>
      <c r="I62" s="12">
        <v>0</v>
      </c>
    </row>
    <row r="63" spans="2:9" ht="15" customHeight="1" x14ac:dyDescent="0.2">
      <c r="B63" t="s">
        <v>172</v>
      </c>
      <c r="C63" s="12">
        <v>13</v>
      </c>
      <c r="D63" s="8">
        <v>1.41</v>
      </c>
      <c r="E63" s="12">
        <v>8</v>
      </c>
      <c r="F63" s="8">
        <v>1.42</v>
      </c>
      <c r="G63" s="12">
        <v>5</v>
      </c>
      <c r="H63" s="8">
        <v>1.46</v>
      </c>
      <c r="I63" s="12">
        <v>0</v>
      </c>
    </row>
    <row r="64" spans="2:9" ht="15" customHeight="1" x14ac:dyDescent="0.2">
      <c r="B64" t="s">
        <v>136</v>
      </c>
      <c r="C64" s="12">
        <v>13</v>
      </c>
      <c r="D64" s="8">
        <v>1.41</v>
      </c>
      <c r="E64" s="12">
        <v>8</v>
      </c>
      <c r="F64" s="8">
        <v>1.42</v>
      </c>
      <c r="G64" s="12">
        <v>5</v>
      </c>
      <c r="H64" s="8">
        <v>1.46</v>
      </c>
      <c r="I64" s="12">
        <v>0</v>
      </c>
    </row>
    <row r="65" spans="2:9" ht="15" customHeight="1" x14ac:dyDescent="0.2">
      <c r="B65" t="s">
        <v>130</v>
      </c>
      <c r="C65" s="12">
        <v>13</v>
      </c>
      <c r="D65" s="8">
        <v>1.41</v>
      </c>
      <c r="E65" s="12">
        <v>13</v>
      </c>
      <c r="F65" s="8">
        <v>2.2999999999999998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159</v>
      </c>
      <c r="C66" s="12">
        <v>12</v>
      </c>
      <c r="D66" s="8">
        <v>1.3</v>
      </c>
      <c r="E66" s="12">
        <v>2</v>
      </c>
      <c r="F66" s="8">
        <v>0.35</v>
      </c>
      <c r="G66" s="12">
        <v>10</v>
      </c>
      <c r="H66" s="8">
        <v>2.92</v>
      </c>
      <c r="I66" s="12">
        <v>0</v>
      </c>
    </row>
    <row r="67" spans="2:9" ht="15" customHeight="1" x14ac:dyDescent="0.2">
      <c r="B67" t="s">
        <v>127</v>
      </c>
      <c r="C67" s="12">
        <v>12</v>
      </c>
      <c r="D67" s="8">
        <v>1.3</v>
      </c>
      <c r="E67" s="12">
        <v>4</v>
      </c>
      <c r="F67" s="8">
        <v>0.71</v>
      </c>
      <c r="G67" s="12">
        <v>7</v>
      </c>
      <c r="H67" s="8">
        <v>2.04</v>
      </c>
      <c r="I67" s="12">
        <v>0</v>
      </c>
    </row>
    <row r="68" spans="2:9" ht="15" customHeight="1" x14ac:dyDescent="0.2">
      <c r="B68" t="s">
        <v>135</v>
      </c>
      <c r="C68" s="12">
        <v>12</v>
      </c>
      <c r="D68" s="8">
        <v>1.3</v>
      </c>
      <c r="E68" s="12">
        <v>10</v>
      </c>
      <c r="F68" s="8">
        <v>1.77</v>
      </c>
      <c r="G68" s="12">
        <v>2</v>
      </c>
      <c r="H68" s="8">
        <v>0.57999999999999996</v>
      </c>
      <c r="I68" s="12">
        <v>0</v>
      </c>
    </row>
    <row r="70" spans="2:9" ht="15" customHeight="1" x14ac:dyDescent="0.2">
      <c r="B70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4934-C1F2-4AD6-9709-127022258B04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224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195</v>
      </c>
      <c r="D6" s="8">
        <v>21.33</v>
      </c>
      <c r="E6" s="12">
        <v>91</v>
      </c>
      <c r="F6" s="8">
        <v>18.38</v>
      </c>
      <c r="G6" s="12">
        <v>104</v>
      </c>
      <c r="H6" s="8">
        <v>25.55</v>
      </c>
      <c r="I6" s="12">
        <v>0</v>
      </c>
    </row>
    <row r="7" spans="2:9" ht="15" customHeight="1" x14ac:dyDescent="0.2">
      <c r="B7" t="s">
        <v>48</v>
      </c>
      <c r="C7" s="12">
        <v>124</v>
      </c>
      <c r="D7" s="8">
        <v>13.57</v>
      </c>
      <c r="E7" s="12">
        <v>43</v>
      </c>
      <c r="F7" s="8">
        <v>8.69</v>
      </c>
      <c r="G7" s="12">
        <v>81</v>
      </c>
      <c r="H7" s="8">
        <v>19.899999999999999</v>
      </c>
      <c r="I7" s="12">
        <v>0</v>
      </c>
    </row>
    <row r="8" spans="2:9" ht="15" customHeight="1" x14ac:dyDescent="0.2">
      <c r="B8" t="s">
        <v>49</v>
      </c>
      <c r="C8" s="12">
        <v>5</v>
      </c>
      <c r="D8" s="8">
        <v>0.55000000000000004</v>
      </c>
      <c r="E8" s="12">
        <v>0</v>
      </c>
      <c r="F8" s="8">
        <v>0</v>
      </c>
      <c r="G8" s="12">
        <v>5</v>
      </c>
      <c r="H8" s="8">
        <v>1.23</v>
      </c>
      <c r="I8" s="12">
        <v>0</v>
      </c>
    </row>
    <row r="9" spans="2:9" ht="15" customHeight="1" x14ac:dyDescent="0.2">
      <c r="B9" t="s">
        <v>50</v>
      </c>
      <c r="C9" s="12">
        <v>2</v>
      </c>
      <c r="D9" s="8">
        <v>0.22</v>
      </c>
      <c r="E9" s="12">
        <v>0</v>
      </c>
      <c r="F9" s="8">
        <v>0</v>
      </c>
      <c r="G9" s="12">
        <v>2</v>
      </c>
      <c r="H9" s="8">
        <v>0.49</v>
      </c>
      <c r="I9" s="12">
        <v>0</v>
      </c>
    </row>
    <row r="10" spans="2:9" ht="15" customHeight="1" x14ac:dyDescent="0.2">
      <c r="B10" t="s">
        <v>51</v>
      </c>
      <c r="C10" s="12">
        <v>15</v>
      </c>
      <c r="D10" s="8">
        <v>1.64</v>
      </c>
      <c r="E10" s="12">
        <v>1</v>
      </c>
      <c r="F10" s="8">
        <v>0.2</v>
      </c>
      <c r="G10" s="12">
        <v>14</v>
      </c>
      <c r="H10" s="8">
        <v>3.44</v>
      </c>
      <c r="I10" s="12">
        <v>0</v>
      </c>
    </row>
    <row r="11" spans="2:9" ht="15" customHeight="1" x14ac:dyDescent="0.2">
      <c r="B11" t="s">
        <v>52</v>
      </c>
      <c r="C11" s="12">
        <v>167</v>
      </c>
      <c r="D11" s="8">
        <v>18.27</v>
      </c>
      <c r="E11" s="12">
        <v>87</v>
      </c>
      <c r="F11" s="8">
        <v>17.579999999999998</v>
      </c>
      <c r="G11" s="12">
        <v>80</v>
      </c>
      <c r="H11" s="8">
        <v>19.66</v>
      </c>
      <c r="I11" s="12">
        <v>0</v>
      </c>
    </row>
    <row r="12" spans="2:9" ht="15" customHeight="1" x14ac:dyDescent="0.2">
      <c r="B12" t="s">
        <v>53</v>
      </c>
      <c r="C12" s="12">
        <v>2</v>
      </c>
      <c r="D12" s="8">
        <v>0.22</v>
      </c>
      <c r="E12" s="12">
        <v>0</v>
      </c>
      <c r="F12" s="8">
        <v>0</v>
      </c>
      <c r="G12" s="12">
        <v>2</v>
      </c>
      <c r="H12" s="8">
        <v>0.49</v>
      </c>
      <c r="I12" s="12">
        <v>0</v>
      </c>
    </row>
    <row r="13" spans="2:9" ht="15" customHeight="1" x14ac:dyDescent="0.2">
      <c r="B13" t="s">
        <v>54</v>
      </c>
      <c r="C13" s="12">
        <v>20</v>
      </c>
      <c r="D13" s="8">
        <v>2.19</v>
      </c>
      <c r="E13" s="12">
        <v>2</v>
      </c>
      <c r="F13" s="8">
        <v>0.4</v>
      </c>
      <c r="G13" s="12">
        <v>18</v>
      </c>
      <c r="H13" s="8">
        <v>4.42</v>
      </c>
      <c r="I13" s="12">
        <v>0</v>
      </c>
    </row>
    <row r="14" spans="2:9" ht="15" customHeight="1" x14ac:dyDescent="0.2">
      <c r="B14" t="s">
        <v>55</v>
      </c>
      <c r="C14" s="12">
        <v>34</v>
      </c>
      <c r="D14" s="8">
        <v>3.72</v>
      </c>
      <c r="E14" s="12">
        <v>19</v>
      </c>
      <c r="F14" s="8">
        <v>3.84</v>
      </c>
      <c r="G14" s="12">
        <v>14</v>
      </c>
      <c r="H14" s="8">
        <v>3.44</v>
      </c>
      <c r="I14" s="12">
        <v>0</v>
      </c>
    </row>
    <row r="15" spans="2:9" ht="15" customHeight="1" x14ac:dyDescent="0.2">
      <c r="B15" t="s">
        <v>56</v>
      </c>
      <c r="C15" s="12">
        <v>123</v>
      </c>
      <c r="D15" s="8">
        <v>13.46</v>
      </c>
      <c r="E15" s="12">
        <v>99</v>
      </c>
      <c r="F15" s="8">
        <v>20</v>
      </c>
      <c r="G15" s="12">
        <v>22</v>
      </c>
      <c r="H15" s="8">
        <v>5.41</v>
      </c>
      <c r="I15" s="12">
        <v>0</v>
      </c>
    </row>
    <row r="16" spans="2:9" ht="15" customHeight="1" x14ac:dyDescent="0.2">
      <c r="B16" t="s">
        <v>57</v>
      </c>
      <c r="C16" s="12">
        <v>129</v>
      </c>
      <c r="D16" s="8">
        <v>14.11</v>
      </c>
      <c r="E16" s="12">
        <v>105</v>
      </c>
      <c r="F16" s="8">
        <v>21.21</v>
      </c>
      <c r="G16" s="12">
        <v>24</v>
      </c>
      <c r="H16" s="8">
        <v>5.9</v>
      </c>
      <c r="I16" s="12">
        <v>0</v>
      </c>
    </row>
    <row r="17" spans="2:9" ht="15" customHeight="1" x14ac:dyDescent="0.2">
      <c r="B17" t="s">
        <v>58</v>
      </c>
      <c r="C17" s="12">
        <v>33</v>
      </c>
      <c r="D17" s="8">
        <v>3.61</v>
      </c>
      <c r="E17" s="12">
        <v>19</v>
      </c>
      <c r="F17" s="8">
        <v>3.84</v>
      </c>
      <c r="G17" s="12">
        <v>5</v>
      </c>
      <c r="H17" s="8">
        <v>1.23</v>
      </c>
      <c r="I17" s="12">
        <v>0</v>
      </c>
    </row>
    <row r="18" spans="2:9" ht="15" customHeight="1" x14ac:dyDescent="0.2">
      <c r="B18" t="s">
        <v>59</v>
      </c>
      <c r="C18" s="12">
        <v>41</v>
      </c>
      <c r="D18" s="8">
        <v>4.49</v>
      </c>
      <c r="E18" s="12">
        <v>23</v>
      </c>
      <c r="F18" s="8">
        <v>4.6500000000000004</v>
      </c>
      <c r="G18" s="12">
        <v>18</v>
      </c>
      <c r="H18" s="8">
        <v>4.42</v>
      </c>
      <c r="I18" s="12">
        <v>0</v>
      </c>
    </row>
    <row r="19" spans="2:9" ht="15" customHeight="1" x14ac:dyDescent="0.2">
      <c r="B19" t="s">
        <v>60</v>
      </c>
      <c r="C19" s="12">
        <v>24</v>
      </c>
      <c r="D19" s="8">
        <v>2.63</v>
      </c>
      <c r="E19" s="12">
        <v>6</v>
      </c>
      <c r="F19" s="8">
        <v>1.21</v>
      </c>
      <c r="G19" s="12">
        <v>18</v>
      </c>
      <c r="H19" s="8">
        <v>4.42</v>
      </c>
      <c r="I19" s="12">
        <v>0</v>
      </c>
    </row>
    <row r="20" spans="2:9" ht="15" customHeight="1" x14ac:dyDescent="0.2">
      <c r="B20" s="9" t="s">
        <v>191</v>
      </c>
      <c r="C20" s="12">
        <f>SUM(LTBL_22223[総数／事業所数])</f>
        <v>914</v>
      </c>
      <c r="E20" s="12">
        <f>SUBTOTAL(109,LTBL_22223[個人／事業所数])</f>
        <v>495</v>
      </c>
      <c r="G20" s="12">
        <f>SUBTOTAL(109,LTBL_22223[法人／事業所数])</f>
        <v>407</v>
      </c>
      <c r="I20" s="12">
        <f>SUBTOTAL(109,LTBL_22223[法人以外の団体／事業所数])</f>
        <v>0</v>
      </c>
    </row>
    <row r="21" spans="2:9" ht="15" customHeight="1" x14ac:dyDescent="0.2">
      <c r="E21" s="11">
        <f>LTBL_22223[[#Totals],[個人／事業所数]]/LTBL_22223[[#Totals],[総数／事業所数]]</f>
        <v>0.54157549234135671</v>
      </c>
      <c r="G21" s="11">
        <f>LTBL_22223[[#Totals],[法人／事業所数]]/LTBL_22223[[#Totals],[総数／事業所数]]</f>
        <v>0.44529540481400437</v>
      </c>
      <c r="I21" s="11">
        <f>LTBL_22223[[#Totals],[法人以外の団体／事業所数]]/LTBL_22223[[#Totals],[総数／事業所数]]</f>
        <v>0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106</v>
      </c>
      <c r="D24" s="8">
        <v>11.6</v>
      </c>
      <c r="E24" s="12">
        <v>94</v>
      </c>
      <c r="F24" s="8">
        <v>18.989999999999998</v>
      </c>
      <c r="G24" s="12">
        <v>12</v>
      </c>
      <c r="H24" s="8">
        <v>2.95</v>
      </c>
      <c r="I24" s="12">
        <v>0</v>
      </c>
    </row>
    <row r="25" spans="2:9" ht="15" customHeight="1" x14ac:dyDescent="0.2">
      <c r="B25" t="s">
        <v>84</v>
      </c>
      <c r="C25" s="12">
        <v>99</v>
      </c>
      <c r="D25" s="8">
        <v>10.83</v>
      </c>
      <c r="E25" s="12">
        <v>87</v>
      </c>
      <c r="F25" s="8">
        <v>17.579999999999998</v>
      </c>
      <c r="G25" s="12">
        <v>12</v>
      </c>
      <c r="H25" s="8">
        <v>2.95</v>
      </c>
      <c r="I25" s="12">
        <v>0</v>
      </c>
    </row>
    <row r="26" spans="2:9" ht="15" customHeight="1" x14ac:dyDescent="0.2">
      <c r="B26" t="s">
        <v>69</v>
      </c>
      <c r="C26" s="12">
        <v>87</v>
      </c>
      <c r="D26" s="8">
        <v>9.52</v>
      </c>
      <c r="E26" s="12">
        <v>39</v>
      </c>
      <c r="F26" s="8">
        <v>7.88</v>
      </c>
      <c r="G26" s="12">
        <v>48</v>
      </c>
      <c r="H26" s="8">
        <v>11.79</v>
      </c>
      <c r="I26" s="12">
        <v>0</v>
      </c>
    </row>
    <row r="27" spans="2:9" ht="15" customHeight="1" x14ac:dyDescent="0.2">
      <c r="B27" t="s">
        <v>70</v>
      </c>
      <c r="C27" s="12">
        <v>63</v>
      </c>
      <c r="D27" s="8">
        <v>6.89</v>
      </c>
      <c r="E27" s="12">
        <v>38</v>
      </c>
      <c r="F27" s="8">
        <v>7.68</v>
      </c>
      <c r="G27" s="12">
        <v>25</v>
      </c>
      <c r="H27" s="8">
        <v>6.14</v>
      </c>
      <c r="I27" s="12">
        <v>0</v>
      </c>
    </row>
    <row r="28" spans="2:9" ht="15" customHeight="1" x14ac:dyDescent="0.2">
      <c r="B28" t="s">
        <v>79</v>
      </c>
      <c r="C28" s="12">
        <v>57</v>
      </c>
      <c r="D28" s="8">
        <v>6.24</v>
      </c>
      <c r="E28" s="12">
        <v>29</v>
      </c>
      <c r="F28" s="8">
        <v>5.86</v>
      </c>
      <c r="G28" s="12">
        <v>28</v>
      </c>
      <c r="H28" s="8">
        <v>6.88</v>
      </c>
      <c r="I28" s="12">
        <v>0</v>
      </c>
    </row>
    <row r="29" spans="2:9" ht="15" customHeight="1" x14ac:dyDescent="0.2">
      <c r="B29" t="s">
        <v>71</v>
      </c>
      <c r="C29" s="12">
        <v>45</v>
      </c>
      <c r="D29" s="8">
        <v>4.92</v>
      </c>
      <c r="E29" s="12">
        <v>14</v>
      </c>
      <c r="F29" s="8">
        <v>2.83</v>
      </c>
      <c r="G29" s="12">
        <v>31</v>
      </c>
      <c r="H29" s="8">
        <v>7.62</v>
      </c>
      <c r="I29" s="12">
        <v>0</v>
      </c>
    </row>
    <row r="30" spans="2:9" ht="15" customHeight="1" x14ac:dyDescent="0.2">
      <c r="B30" t="s">
        <v>78</v>
      </c>
      <c r="C30" s="12">
        <v>35</v>
      </c>
      <c r="D30" s="8">
        <v>3.83</v>
      </c>
      <c r="E30" s="12">
        <v>24</v>
      </c>
      <c r="F30" s="8">
        <v>4.8499999999999996</v>
      </c>
      <c r="G30" s="12">
        <v>11</v>
      </c>
      <c r="H30" s="8">
        <v>2.7</v>
      </c>
      <c r="I30" s="12">
        <v>0</v>
      </c>
    </row>
    <row r="31" spans="2:9" ht="15" customHeight="1" x14ac:dyDescent="0.2">
      <c r="B31" t="s">
        <v>86</v>
      </c>
      <c r="C31" s="12">
        <v>33</v>
      </c>
      <c r="D31" s="8">
        <v>3.61</v>
      </c>
      <c r="E31" s="12">
        <v>19</v>
      </c>
      <c r="F31" s="8">
        <v>3.84</v>
      </c>
      <c r="G31" s="12">
        <v>5</v>
      </c>
      <c r="H31" s="8">
        <v>1.23</v>
      </c>
      <c r="I31" s="12">
        <v>0</v>
      </c>
    </row>
    <row r="32" spans="2:9" ht="15" customHeight="1" x14ac:dyDescent="0.2">
      <c r="B32" t="s">
        <v>87</v>
      </c>
      <c r="C32" s="12">
        <v>26</v>
      </c>
      <c r="D32" s="8">
        <v>2.84</v>
      </c>
      <c r="E32" s="12">
        <v>23</v>
      </c>
      <c r="F32" s="8">
        <v>4.6500000000000004</v>
      </c>
      <c r="G32" s="12">
        <v>3</v>
      </c>
      <c r="H32" s="8">
        <v>0.74</v>
      </c>
      <c r="I32" s="12">
        <v>0</v>
      </c>
    </row>
    <row r="33" spans="2:9" ht="15" customHeight="1" x14ac:dyDescent="0.2">
      <c r="B33" t="s">
        <v>77</v>
      </c>
      <c r="C33" s="12">
        <v>24</v>
      </c>
      <c r="D33" s="8">
        <v>2.63</v>
      </c>
      <c r="E33" s="12">
        <v>17</v>
      </c>
      <c r="F33" s="8">
        <v>3.43</v>
      </c>
      <c r="G33" s="12">
        <v>7</v>
      </c>
      <c r="H33" s="8">
        <v>1.72</v>
      </c>
      <c r="I33" s="12">
        <v>0</v>
      </c>
    </row>
    <row r="34" spans="2:9" ht="15" customHeight="1" x14ac:dyDescent="0.2">
      <c r="B34" t="s">
        <v>83</v>
      </c>
      <c r="C34" s="12">
        <v>23</v>
      </c>
      <c r="D34" s="8">
        <v>2.52</v>
      </c>
      <c r="E34" s="12">
        <v>11</v>
      </c>
      <c r="F34" s="8">
        <v>2.2200000000000002</v>
      </c>
      <c r="G34" s="12">
        <v>11</v>
      </c>
      <c r="H34" s="8">
        <v>2.7</v>
      </c>
      <c r="I34" s="12">
        <v>0</v>
      </c>
    </row>
    <row r="35" spans="2:9" ht="15" customHeight="1" x14ac:dyDescent="0.2">
      <c r="B35" t="s">
        <v>72</v>
      </c>
      <c r="C35" s="12">
        <v>20</v>
      </c>
      <c r="D35" s="8">
        <v>2.19</v>
      </c>
      <c r="E35" s="12">
        <v>7</v>
      </c>
      <c r="F35" s="8">
        <v>1.41</v>
      </c>
      <c r="G35" s="12">
        <v>13</v>
      </c>
      <c r="H35" s="8">
        <v>3.19</v>
      </c>
      <c r="I35" s="12">
        <v>0</v>
      </c>
    </row>
    <row r="36" spans="2:9" ht="15" customHeight="1" x14ac:dyDescent="0.2">
      <c r="B36" t="s">
        <v>76</v>
      </c>
      <c r="C36" s="12">
        <v>16</v>
      </c>
      <c r="D36" s="8">
        <v>1.75</v>
      </c>
      <c r="E36" s="12">
        <v>10</v>
      </c>
      <c r="F36" s="8">
        <v>2.02</v>
      </c>
      <c r="G36" s="12">
        <v>6</v>
      </c>
      <c r="H36" s="8">
        <v>1.47</v>
      </c>
      <c r="I36" s="12">
        <v>0</v>
      </c>
    </row>
    <row r="37" spans="2:9" ht="15" customHeight="1" x14ac:dyDescent="0.2">
      <c r="B37" t="s">
        <v>94</v>
      </c>
      <c r="C37" s="12">
        <v>15</v>
      </c>
      <c r="D37" s="8">
        <v>1.64</v>
      </c>
      <c r="E37" s="12">
        <v>3</v>
      </c>
      <c r="F37" s="8">
        <v>0.61</v>
      </c>
      <c r="G37" s="12">
        <v>12</v>
      </c>
      <c r="H37" s="8">
        <v>2.95</v>
      </c>
      <c r="I37" s="12">
        <v>0</v>
      </c>
    </row>
    <row r="38" spans="2:9" ht="15" customHeight="1" x14ac:dyDescent="0.2">
      <c r="B38" t="s">
        <v>99</v>
      </c>
      <c r="C38" s="12">
        <v>15</v>
      </c>
      <c r="D38" s="8">
        <v>1.64</v>
      </c>
      <c r="E38" s="12">
        <v>11</v>
      </c>
      <c r="F38" s="8">
        <v>2.2200000000000002</v>
      </c>
      <c r="G38" s="12">
        <v>4</v>
      </c>
      <c r="H38" s="8">
        <v>0.98</v>
      </c>
      <c r="I38" s="12">
        <v>0</v>
      </c>
    </row>
    <row r="39" spans="2:9" ht="15" customHeight="1" x14ac:dyDescent="0.2">
      <c r="B39" t="s">
        <v>90</v>
      </c>
      <c r="C39" s="12">
        <v>15</v>
      </c>
      <c r="D39" s="8">
        <v>1.64</v>
      </c>
      <c r="E39" s="12">
        <v>0</v>
      </c>
      <c r="F39" s="8">
        <v>0</v>
      </c>
      <c r="G39" s="12">
        <v>15</v>
      </c>
      <c r="H39" s="8">
        <v>3.69</v>
      </c>
      <c r="I39" s="12">
        <v>0</v>
      </c>
    </row>
    <row r="40" spans="2:9" ht="15" customHeight="1" x14ac:dyDescent="0.2">
      <c r="B40" t="s">
        <v>100</v>
      </c>
      <c r="C40" s="12">
        <v>14</v>
      </c>
      <c r="D40" s="8">
        <v>1.53</v>
      </c>
      <c r="E40" s="12">
        <v>2</v>
      </c>
      <c r="F40" s="8">
        <v>0.4</v>
      </c>
      <c r="G40" s="12">
        <v>12</v>
      </c>
      <c r="H40" s="8">
        <v>2.95</v>
      </c>
      <c r="I40" s="12">
        <v>0</v>
      </c>
    </row>
    <row r="41" spans="2:9" ht="15" customHeight="1" x14ac:dyDescent="0.2">
      <c r="B41" t="s">
        <v>97</v>
      </c>
      <c r="C41" s="12">
        <v>14</v>
      </c>
      <c r="D41" s="8">
        <v>1.53</v>
      </c>
      <c r="E41" s="12">
        <v>5</v>
      </c>
      <c r="F41" s="8">
        <v>1.01</v>
      </c>
      <c r="G41" s="12">
        <v>9</v>
      </c>
      <c r="H41" s="8">
        <v>2.21</v>
      </c>
      <c r="I41" s="12">
        <v>0</v>
      </c>
    </row>
    <row r="42" spans="2:9" ht="15" customHeight="1" x14ac:dyDescent="0.2">
      <c r="B42" t="s">
        <v>73</v>
      </c>
      <c r="C42" s="12">
        <v>14</v>
      </c>
      <c r="D42" s="8">
        <v>1.53</v>
      </c>
      <c r="E42" s="12">
        <v>3</v>
      </c>
      <c r="F42" s="8">
        <v>0.61</v>
      </c>
      <c r="G42" s="12">
        <v>11</v>
      </c>
      <c r="H42" s="8">
        <v>2.7</v>
      </c>
      <c r="I42" s="12">
        <v>0</v>
      </c>
    </row>
    <row r="43" spans="2:9" ht="15" customHeight="1" x14ac:dyDescent="0.2">
      <c r="B43" t="s">
        <v>81</v>
      </c>
      <c r="C43" s="12">
        <v>13</v>
      </c>
      <c r="D43" s="8">
        <v>1.42</v>
      </c>
      <c r="E43" s="12">
        <v>1</v>
      </c>
      <c r="F43" s="8">
        <v>0.2</v>
      </c>
      <c r="G43" s="12">
        <v>12</v>
      </c>
      <c r="H43" s="8">
        <v>2.95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51</v>
      </c>
      <c r="D47" s="8">
        <v>5.58</v>
      </c>
      <c r="E47" s="12">
        <v>48</v>
      </c>
      <c r="F47" s="8">
        <v>9.6999999999999993</v>
      </c>
      <c r="G47" s="12">
        <v>3</v>
      </c>
      <c r="H47" s="8">
        <v>0.74</v>
      </c>
      <c r="I47" s="12">
        <v>0</v>
      </c>
    </row>
    <row r="48" spans="2:9" ht="15" customHeight="1" x14ac:dyDescent="0.2">
      <c r="B48" t="s">
        <v>118</v>
      </c>
      <c r="C48" s="12">
        <v>37</v>
      </c>
      <c r="D48" s="8">
        <v>4.05</v>
      </c>
      <c r="E48" s="12">
        <v>27</v>
      </c>
      <c r="F48" s="8">
        <v>5.45</v>
      </c>
      <c r="G48" s="12">
        <v>10</v>
      </c>
      <c r="H48" s="8">
        <v>2.46</v>
      </c>
      <c r="I48" s="12">
        <v>0</v>
      </c>
    </row>
    <row r="49" spans="2:9" ht="15" customHeight="1" x14ac:dyDescent="0.2">
      <c r="B49" t="s">
        <v>129</v>
      </c>
      <c r="C49" s="12">
        <v>33</v>
      </c>
      <c r="D49" s="8">
        <v>3.61</v>
      </c>
      <c r="E49" s="12">
        <v>30</v>
      </c>
      <c r="F49" s="8">
        <v>6.06</v>
      </c>
      <c r="G49" s="12">
        <v>3</v>
      </c>
      <c r="H49" s="8">
        <v>0.74</v>
      </c>
      <c r="I49" s="12">
        <v>0</v>
      </c>
    </row>
    <row r="50" spans="2:9" ht="15" customHeight="1" x14ac:dyDescent="0.2">
      <c r="B50" t="s">
        <v>131</v>
      </c>
      <c r="C50" s="12">
        <v>28</v>
      </c>
      <c r="D50" s="8">
        <v>3.06</v>
      </c>
      <c r="E50" s="12">
        <v>27</v>
      </c>
      <c r="F50" s="8">
        <v>5.45</v>
      </c>
      <c r="G50" s="12">
        <v>1</v>
      </c>
      <c r="H50" s="8">
        <v>0.25</v>
      </c>
      <c r="I50" s="12">
        <v>0</v>
      </c>
    </row>
    <row r="51" spans="2:9" ht="15" customHeight="1" x14ac:dyDescent="0.2">
      <c r="B51" t="s">
        <v>122</v>
      </c>
      <c r="C51" s="12">
        <v>26</v>
      </c>
      <c r="D51" s="8">
        <v>2.84</v>
      </c>
      <c r="E51" s="12">
        <v>19</v>
      </c>
      <c r="F51" s="8">
        <v>3.84</v>
      </c>
      <c r="G51" s="12">
        <v>7</v>
      </c>
      <c r="H51" s="8">
        <v>1.72</v>
      </c>
      <c r="I51" s="12">
        <v>0</v>
      </c>
    </row>
    <row r="52" spans="2:9" ht="15" customHeight="1" x14ac:dyDescent="0.2">
      <c r="B52" t="s">
        <v>116</v>
      </c>
      <c r="C52" s="12">
        <v>24</v>
      </c>
      <c r="D52" s="8">
        <v>2.63</v>
      </c>
      <c r="E52" s="12">
        <v>3</v>
      </c>
      <c r="F52" s="8">
        <v>0.61</v>
      </c>
      <c r="G52" s="12">
        <v>21</v>
      </c>
      <c r="H52" s="8">
        <v>5.16</v>
      </c>
      <c r="I52" s="12">
        <v>0</v>
      </c>
    </row>
    <row r="53" spans="2:9" ht="15" customHeight="1" x14ac:dyDescent="0.2">
      <c r="B53" t="s">
        <v>128</v>
      </c>
      <c r="C53" s="12">
        <v>23</v>
      </c>
      <c r="D53" s="8">
        <v>2.52</v>
      </c>
      <c r="E53" s="12">
        <v>20</v>
      </c>
      <c r="F53" s="8">
        <v>4.04</v>
      </c>
      <c r="G53" s="12">
        <v>3</v>
      </c>
      <c r="H53" s="8">
        <v>0.74</v>
      </c>
      <c r="I53" s="12">
        <v>0</v>
      </c>
    </row>
    <row r="54" spans="2:9" ht="15" customHeight="1" x14ac:dyDescent="0.2">
      <c r="B54" t="s">
        <v>120</v>
      </c>
      <c r="C54" s="12">
        <v>21</v>
      </c>
      <c r="D54" s="8">
        <v>2.2999999999999998</v>
      </c>
      <c r="E54" s="12">
        <v>8</v>
      </c>
      <c r="F54" s="8">
        <v>1.62</v>
      </c>
      <c r="G54" s="12">
        <v>13</v>
      </c>
      <c r="H54" s="8">
        <v>3.19</v>
      </c>
      <c r="I54" s="12">
        <v>0</v>
      </c>
    </row>
    <row r="55" spans="2:9" ht="15" customHeight="1" x14ac:dyDescent="0.2">
      <c r="B55" t="s">
        <v>117</v>
      </c>
      <c r="C55" s="12">
        <v>20</v>
      </c>
      <c r="D55" s="8">
        <v>2.19</v>
      </c>
      <c r="E55" s="12">
        <v>8</v>
      </c>
      <c r="F55" s="8">
        <v>1.62</v>
      </c>
      <c r="G55" s="12">
        <v>12</v>
      </c>
      <c r="H55" s="8">
        <v>2.95</v>
      </c>
      <c r="I55" s="12">
        <v>0</v>
      </c>
    </row>
    <row r="56" spans="2:9" ht="15" customHeight="1" x14ac:dyDescent="0.2">
      <c r="B56" t="s">
        <v>134</v>
      </c>
      <c r="C56" s="12">
        <v>19</v>
      </c>
      <c r="D56" s="8">
        <v>2.08</v>
      </c>
      <c r="E56" s="12">
        <v>16</v>
      </c>
      <c r="F56" s="8">
        <v>3.23</v>
      </c>
      <c r="G56" s="12">
        <v>3</v>
      </c>
      <c r="H56" s="8">
        <v>0.74</v>
      </c>
      <c r="I56" s="12">
        <v>0</v>
      </c>
    </row>
    <row r="57" spans="2:9" ht="15" customHeight="1" x14ac:dyDescent="0.2">
      <c r="B57" t="s">
        <v>140</v>
      </c>
      <c r="C57" s="12">
        <v>18</v>
      </c>
      <c r="D57" s="8">
        <v>1.97</v>
      </c>
      <c r="E57" s="12">
        <v>12</v>
      </c>
      <c r="F57" s="8">
        <v>2.42</v>
      </c>
      <c r="G57" s="12">
        <v>6</v>
      </c>
      <c r="H57" s="8">
        <v>1.47</v>
      </c>
      <c r="I57" s="12">
        <v>0</v>
      </c>
    </row>
    <row r="58" spans="2:9" ht="15" customHeight="1" x14ac:dyDescent="0.2">
      <c r="B58" t="s">
        <v>119</v>
      </c>
      <c r="C58" s="12">
        <v>16</v>
      </c>
      <c r="D58" s="8">
        <v>1.75</v>
      </c>
      <c r="E58" s="12">
        <v>6</v>
      </c>
      <c r="F58" s="8">
        <v>1.21</v>
      </c>
      <c r="G58" s="12">
        <v>10</v>
      </c>
      <c r="H58" s="8">
        <v>2.46</v>
      </c>
      <c r="I58" s="12">
        <v>0</v>
      </c>
    </row>
    <row r="59" spans="2:9" ht="15" customHeight="1" x14ac:dyDescent="0.2">
      <c r="B59" t="s">
        <v>159</v>
      </c>
      <c r="C59" s="12">
        <v>15</v>
      </c>
      <c r="D59" s="8">
        <v>1.64</v>
      </c>
      <c r="E59" s="12">
        <v>1</v>
      </c>
      <c r="F59" s="8">
        <v>0.2</v>
      </c>
      <c r="G59" s="12">
        <v>14</v>
      </c>
      <c r="H59" s="8">
        <v>3.44</v>
      </c>
      <c r="I59" s="12">
        <v>0</v>
      </c>
    </row>
    <row r="60" spans="2:9" ht="15" customHeight="1" x14ac:dyDescent="0.2">
      <c r="B60" t="s">
        <v>130</v>
      </c>
      <c r="C60" s="12">
        <v>15</v>
      </c>
      <c r="D60" s="8">
        <v>1.64</v>
      </c>
      <c r="E60" s="12">
        <v>14</v>
      </c>
      <c r="F60" s="8">
        <v>2.83</v>
      </c>
      <c r="G60" s="12">
        <v>1</v>
      </c>
      <c r="H60" s="8">
        <v>0.25</v>
      </c>
      <c r="I60" s="12">
        <v>0</v>
      </c>
    </row>
    <row r="61" spans="2:9" ht="15" customHeight="1" x14ac:dyDescent="0.2">
      <c r="B61" t="s">
        <v>133</v>
      </c>
      <c r="C61" s="12">
        <v>14</v>
      </c>
      <c r="D61" s="8">
        <v>1.53</v>
      </c>
      <c r="E61" s="12">
        <v>12</v>
      </c>
      <c r="F61" s="8">
        <v>2.42</v>
      </c>
      <c r="G61" s="12">
        <v>2</v>
      </c>
      <c r="H61" s="8">
        <v>0.49</v>
      </c>
      <c r="I61" s="12">
        <v>0</v>
      </c>
    </row>
    <row r="62" spans="2:9" ht="15" customHeight="1" x14ac:dyDescent="0.2">
      <c r="B62" t="s">
        <v>160</v>
      </c>
      <c r="C62" s="12">
        <v>13</v>
      </c>
      <c r="D62" s="8">
        <v>1.42</v>
      </c>
      <c r="E62" s="12">
        <v>11</v>
      </c>
      <c r="F62" s="8">
        <v>2.2200000000000002</v>
      </c>
      <c r="G62" s="12">
        <v>2</v>
      </c>
      <c r="H62" s="8">
        <v>0.49</v>
      </c>
      <c r="I62" s="12">
        <v>0</v>
      </c>
    </row>
    <row r="63" spans="2:9" ht="15" customHeight="1" x14ac:dyDescent="0.2">
      <c r="B63" t="s">
        <v>156</v>
      </c>
      <c r="C63" s="12">
        <v>12</v>
      </c>
      <c r="D63" s="8">
        <v>1.31</v>
      </c>
      <c r="E63" s="12">
        <v>7</v>
      </c>
      <c r="F63" s="8">
        <v>1.41</v>
      </c>
      <c r="G63" s="12">
        <v>5</v>
      </c>
      <c r="H63" s="8">
        <v>1.23</v>
      </c>
      <c r="I63" s="12">
        <v>0</v>
      </c>
    </row>
    <row r="64" spans="2:9" ht="15" customHeight="1" x14ac:dyDescent="0.2">
      <c r="B64" t="s">
        <v>154</v>
      </c>
      <c r="C64" s="12">
        <v>12</v>
      </c>
      <c r="D64" s="8">
        <v>1.31</v>
      </c>
      <c r="E64" s="12">
        <v>4</v>
      </c>
      <c r="F64" s="8">
        <v>0.81</v>
      </c>
      <c r="G64" s="12">
        <v>8</v>
      </c>
      <c r="H64" s="8">
        <v>1.97</v>
      </c>
      <c r="I64" s="12">
        <v>0</v>
      </c>
    </row>
    <row r="65" spans="2:9" ht="15" customHeight="1" x14ac:dyDescent="0.2">
      <c r="B65" t="s">
        <v>144</v>
      </c>
      <c r="C65" s="12">
        <v>12</v>
      </c>
      <c r="D65" s="8">
        <v>1.31</v>
      </c>
      <c r="E65" s="12">
        <v>9</v>
      </c>
      <c r="F65" s="8">
        <v>1.82</v>
      </c>
      <c r="G65" s="12">
        <v>3</v>
      </c>
      <c r="H65" s="8">
        <v>0.74</v>
      </c>
      <c r="I65" s="12">
        <v>0</v>
      </c>
    </row>
    <row r="66" spans="2:9" ht="15" customHeight="1" x14ac:dyDescent="0.2">
      <c r="B66" t="s">
        <v>152</v>
      </c>
      <c r="C66" s="12">
        <v>12</v>
      </c>
      <c r="D66" s="8">
        <v>1.31</v>
      </c>
      <c r="E66" s="12">
        <v>4</v>
      </c>
      <c r="F66" s="8">
        <v>0.81</v>
      </c>
      <c r="G66" s="12">
        <v>8</v>
      </c>
      <c r="H66" s="8">
        <v>1.97</v>
      </c>
      <c r="I66" s="12">
        <v>0</v>
      </c>
    </row>
    <row r="67" spans="2:9" ht="15" customHeight="1" x14ac:dyDescent="0.2">
      <c r="B67" t="s">
        <v>121</v>
      </c>
      <c r="C67" s="12">
        <v>12</v>
      </c>
      <c r="D67" s="8">
        <v>1.31</v>
      </c>
      <c r="E67" s="12">
        <v>7</v>
      </c>
      <c r="F67" s="8">
        <v>1.41</v>
      </c>
      <c r="G67" s="12">
        <v>5</v>
      </c>
      <c r="H67" s="8">
        <v>1.23</v>
      </c>
      <c r="I67" s="12">
        <v>0</v>
      </c>
    </row>
    <row r="68" spans="2:9" ht="15" customHeight="1" x14ac:dyDescent="0.2">
      <c r="B68" t="s">
        <v>123</v>
      </c>
      <c r="C68" s="12">
        <v>12</v>
      </c>
      <c r="D68" s="8">
        <v>1.31</v>
      </c>
      <c r="E68" s="12">
        <v>8</v>
      </c>
      <c r="F68" s="8">
        <v>1.62</v>
      </c>
      <c r="G68" s="12">
        <v>4</v>
      </c>
      <c r="H68" s="8">
        <v>0.98</v>
      </c>
      <c r="I68" s="12">
        <v>0</v>
      </c>
    </row>
    <row r="69" spans="2:9" ht="15" customHeight="1" x14ac:dyDescent="0.2">
      <c r="B69" t="s">
        <v>127</v>
      </c>
      <c r="C69" s="12">
        <v>12</v>
      </c>
      <c r="D69" s="8">
        <v>1.31</v>
      </c>
      <c r="E69" s="12">
        <v>7</v>
      </c>
      <c r="F69" s="8">
        <v>1.41</v>
      </c>
      <c r="G69" s="12">
        <v>4</v>
      </c>
      <c r="H69" s="8">
        <v>0.98</v>
      </c>
      <c r="I69" s="12">
        <v>0</v>
      </c>
    </row>
    <row r="71" spans="2:9" ht="15" customHeight="1" x14ac:dyDescent="0.2">
      <c r="B71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437E5-BF0E-4C40-B1F6-1493DAA7C023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225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155</v>
      </c>
      <c r="D6" s="8">
        <v>15.69</v>
      </c>
      <c r="E6" s="12">
        <v>81</v>
      </c>
      <c r="F6" s="8">
        <v>13.82</v>
      </c>
      <c r="G6" s="12">
        <v>74</v>
      </c>
      <c r="H6" s="8">
        <v>19.53</v>
      </c>
      <c r="I6" s="12">
        <v>0</v>
      </c>
    </row>
    <row r="7" spans="2:9" ht="15" customHeight="1" x14ac:dyDescent="0.2">
      <c r="B7" t="s">
        <v>48</v>
      </c>
      <c r="C7" s="12">
        <v>124</v>
      </c>
      <c r="D7" s="8">
        <v>12.55</v>
      </c>
      <c r="E7" s="12">
        <v>53</v>
      </c>
      <c r="F7" s="8">
        <v>9.0399999999999991</v>
      </c>
      <c r="G7" s="12">
        <v>71</v>
      </c>
      <c r="H7" s="8">
        <v>18.73</v>
      </c>
      <c r="I7" s="12">
        <v>0</v>
      </c>
    </row>
    <row r="8" spans="2:9" ht="15" customHeight="1" x14ac:dyDescent="0.2">
      <c r="B8" t="s">
        <v>49</v>
      </c>
      <c r="C8" s="12">
        <v>2</v>
      </c>
      <c r="D8" s="8">
        <v>0.2</v>
      </c>
      <c r="E8" s="12">
        <v>0</v>
      </c>
      <c r="F8" s="8">
        <v>0</v>
      </c>
      <c r="G8" s="12">
        <v>2</v>
      </c>
      <c r="H8" s="8">
        <v>0.53</v>
      </c>
      <c r="I8" s="12">
        <v>0</v>
      </c>
    </row>
    <row r="9" spans="2:9" ht="15" customHeight="1" x14ac:dyDescent="0.2">
      <c r="B9" t="s">
        <v>50</v>
      </c>
      <c r="C9" s="12">
        <v>2</v>
      </c>
      <c r="D9" s="8">
        <v>0.2</v>
      </c>
      <c r="E9" s="12">
        <v>1</v>
      </c>
      <c r="F9" s="8">
        <v>0.17</v>
      </c>
      <c r="G9" s="12">
        <v>1</v>
      </c>
      <c r="H9" s="8">
        <v>0.26</v>
      </c>
      <c r="I9" s="12">
        <v>0</v>
      </c>
    </row>
    <row r="10" spans="2:9" ht="15" customHeight="1" x14ac:dyDescent="0.2">
      <c r="B10" t="s">
        <v>51</v>
      </c>
      <c r="C10" s="12">
        <v>4</v>
      </c>
      <c r="D10" s="8">
        <v>0.4</v>
      </c>
      <c r="E10" s="12">
        <v>0</v>
      </c>
      <c r="F10" s="8">
        <v>0</v>
      </c>
      <c r="G10" s="12">
        <v>4</v>
      </c>
      <c r="H10" s="8">
        <v>1.06</v>
      </c>
      <c r="I10" s="12">
        <v>0</v>
      </c>
    </row>
    <row r="11" spans="2:9" ht="15" customHeight="1" x14ac:dyDescent="0.2">
      <c r="B11" t="s">
        <v>52</v>
      </c>
      <c r="C11" s="12">
        <v>221</v>
      </c>
      <c r="D11" s="8">
        <v>22.37</v>
      </c>
      <c r="E11" s="12">
        <v>124</v>
      </c>
      <c r="F11" s="8">
        <v>21.16</v>
      </c>
      <c r="G11" s="12">
        <v>96</v>
      </c>
      <c r="H11" s="8">
        <v>25.33</v>
      </c>
      <c r="I11" s="12">
        <v>1</v>
      </c>
    </row>
    <row r="12" spans="2:9" ht="15" customHeight="1" x14ac:dyDescent="0.2">
      <c r="B12" t="s">
        <v>53</v>
      </c>
      <c r="C12" s="12">
        <v>4</v>
      </c>
      <c r="D12" s="8">
        <v>0.4</v>
      </c>
      <c r="E12" s="12">
        <v>1</v>
      </c>
      <c r="F12" s="8">
        <v>0.17</v>
      </c>
      <c r="G12" s="12">
        <v>3</v>
      </c>
      <c r="H12" s="8">
        <v>0.79</v>
      </c>
      <c r="I12" s="12">
        <v>0</v>
      </c>
    </row>
    <row r="13" spans="2:9" ht="15" customHeight="1" x14ac:dyDescent="0.2">
      <c r="B13" t="s">
        <v>54</v>
      </c>
      <c r="C13" s="12">
        <v>54</v>
      </c>
      <c r="D13" s="8">
        <v>5.47</v>
      </c>
      <c r="E13" s="12">
        <v>20</v>
      </c>
      <c r="F13" s="8">
        <v>3.41</v>
      </c>
      <c r="G13" s="12">
        <v>33</v>
      </c>
      <c r="H13" s="8">
        <v>8.7100000000000009</v>
      </c>
      <c r="I13" s="12">
        <v>0</v>
      </c>
    </row>
    <row r="14" spans="2:9" ht="15" customHeight="1" x14ac:dyDescent="0.2">
      <c r="B14" t="s">
        <v>55</v>
      </c>
      <c r="C14" s="12">
        <v>41</v>
      </c>
      <c r="D14" s="8">
        <v>4.1500000000000004</v>
      </c>
      <c r="E14" s="12">
        <v>30</v>
      </c>
      <c r="F14" s="8">
        <v>5.12</v>
      </c>
      <c r="G14" s="12">
        <v>10</v>
      </c>
      <c r="H14" s="8">
        <v>2.64</v>
      </c>
      <c r="I14" s="12">
        <v>0</v>
      </c>
    </row>
    <row r="15" spans="2:9" ht="15" customHeight="1" x14ac:dyDescent="0.2">
      <c r="B15" t="s">
        <v>56</v>
      </c>
      <c r="C15" s="12">
        <v>106</v>
      </c>
      <c r="D15" s="8">
        <v>10.73</v>
      </c>
      <c r="E15" s="12">
        <v>90</v>
      </c>
      <c r="F15" s="8">
        <v>15.36</v>
      </c>
      <c r="G15" s="12">
        <v>15</v>
      </c>
      <c r="H15" s="8">
        <v>3.96</v>
      </c>
      <c r="I15" s="12">
        <v>0</v>
      </c>
    </row>
    <row r="16" spans="2:9" ht="15" customHeight="1" x14ac:dyDescent="0.2">
      <c r="B16" t="s">
        <v>57</v>
      </c>
      <c r="C16" s="12">
        <v>140</v>
      </c>
      <c r="D16" s="8">
        <v>14.17</v>
      </c>
      <c r="E16" s="12">
        <v>115</v>
      </c>
      <c r="F16" s="8">
        <v>19.62</v>
      </c>
      <c r="G16" s="12">
        <v>23</v>
      </c>
      <c r="H16" s="8">
        <v>6.07</v>
      </c>
      <c r="I16" s="12">
        <v>0</v>
      </c>
    </row>
    <row r="17" spans="2:9" ht="15" customHeight="1" x14ac:dyDescent="0.2">
      <c r="B17" t="s">
        <v>58</v>
      </c>
      <c r="C17" s="12">
        <v>41</v>
      </c>
      <c r="D17" s="8">
        <v>4.1500000000000004</v>
      </c>
      <c r="E17" s="12">
        <v>33</v>
      </c>
      <c r="F17" s="8">
        <v>5.63</v>
      </c>
      <c r="G17" s="12">
        <v>8</v>
      </c>
      <c r="H17" s="8">
        <v>2.11</v>
      </c>
      <c r="I17" s="12">
        <v>0</v>
      </c>
    </row>
    <row r="18" spans="2:9" ht="15" customHeight="1" x14ac:dyDescent="0.2">
      <c r="B18" t="s">
        <v>59</v>
      </c>
      <c r="C18" s="12">
        <v>44</v>
      </c>
      <c r="D18" s="8">
        <v>4.45</v>
      </c>
      <c r="E18" s="12">
        <v>19</v>
      </c>
      <c r="F18" s="8">
        <v>3.24</v>
      </c>
      <c r="G18" s="12">
        <v>22</v>
      </c>
      <c r="H18" s="8">
        <v>5.8</v>
      </c>
      <c r="I18" s="12">
        <v>0</v>
      </c>
    </row>
    <row r="19" spans="2:9" ht="15" customHeight="1" x14ac:dyDescent="0.2">
      <c r="B19" t="s">
        <v>60</v>
      </c>
      <c r="C19" s="12">
        <v>50</v>
      </c>
      <c r="D19" s="8">
        <v>5.0599999999999996</v>
      </c>
      <c r="E19" s="12">
        <v>19</v>
      </c>
      <c r="F19" s="8">
        <v>3.24</v>
      </c>
      <c r="G19" s="12">
        <v>17</v>
      </c>
      <c r="H19" s="8">
        <v>4.49</v>
      </c>
      <c r="I19" s="12">
        <v>0</v>
      </c>
    </row>
    <row r="20" spans="2:9" ht="15" customHeight="1" x14ac:dyDescent="0.2">
      <c r="B20" s="9" t="s">
        <v>191</v>
      </c>
      <c r="C20" s="12">
        <f>SUM(LTBL_22224[総数／事業所数])</f>
        <v>988</v>
      </c>
      <c r="E20" s="12">
        <f>SUBTOTAL(109,LTBL_22224[個人／事業所数])</f>
        <v>586</v>
      </c>
      <c r="G20" s="12">
        <f>SUBTOTAL(109,LTBL_22224[法人／事業所数])</f>
        <v>379</v>
      </c>
      <c r="I20" s="12">
        <f>SUBTOTAL(109,LTBL_22224[法人以外の団体／事業所数])</f>
        <v>1</v>
      </c>
    </row>
    <row r="21" spans="2:9" ht="15" customHeight="1" x14ac:dyDescent="0.2">
      <c r="E21" s="11">
        <f>LTBL_22224[[#Totals],[個人／事業所数]]/LTBL_22224[[#Totals],[総数／事業所数]]</f>
        <v>0.59311740890688258</v>
      </c>
      <c r="G21" s="11">
        <f>LTBL_22224[[#Totals],[法人／事業所数]]/LTBL_22224[[#Totals],[総数／事業所数]]</f>
        <v>0.38360323886639675</v>
      </c>
      <c r="I21" s="11">
        <f>LTBL_22224[[#Totals],[法人以外の団体／事業所数]]/LTBL_22224[[#Totals],[総数／事業所数]]</f>
        <v>1.0121457489878543E-3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115</v>
      </c>
      <c r="D24" s="8">
        <v>11.64</v>
      </c>
      <c r="E24" s="12">
        <v>104</v>
      </c>
      <c r="F24" s="8">
        <v>17.75</v>
      </c>
      <c r="G24" s="12">
        <v>11</v>
      </c>
      <c r="H24" s="8">
        <v>2.9</v>
      </c>
      <c r="I24" s="12">
        <v>0</v>
      </c>
    </row>
    <row r="25" spans="2:9" ht="15" customHeight="1" x14ac:dyDescent="0.2">
      <c r="B25" t="s">
        <v>84</v>
      </c>
      <c r="C25" s="12">
        <v>92</v>
      </c>
      <c r="D25" s="8">
        <v>9.31</v>
      </c>
      <c r="E25" s="12">
        <v>87</v>
      </c>
      <c r="F25" s="8">
        <v>14.85</v>
      </c>
      <c r="G25" s="12">
        <v>5</v>
      </c>
      <c r="H25" s="8">
        <v>1.32</v>
      </c>
      <c r="I25" s="12">
        <v>0</v>
      </c>
    </row>
    <row r="26" spans="2:9" ht="15" customHeight="1" x14ac:dyDescent="0.2">
      <c r="B26" t="s">
        <v>69</v>
      </c>
      <c r="C26" s="12">
        <v>84</v>
      </c>
      <c r="D26" s="8">
        <v>8.5</v>
      </c>
      <c r="E26" s="12">
        <v>34</v>
      </c>
      <c r="F26" s="8">
        <v>5.8</v>
      </c>
      <c r="G26" s="12">
        <v>50</v>
      </c>
      <c r="H26" s="8">
        <v>13.19</v>
      </c>
      <c r="I26" s="12">
        <v>0</v>
      </c>
    </row>
    <row r="27" spans="2:9" ht="15" customHeight="1" x14ac:dyDescent="0.2">
      <c r="B27" t="s">
        <v>79</v>
      </c>
      <c r="C27" s="12">
        <v>61</v>
      </c>
      <c r="D27" s="8">
        <v>6.17</v>
      </c>
      <c r="E27" s="12">
        <v>33</v>
      </c>
      <c r="F27" s="8">
        <v>5.63</v>
      </c>
      <c r="G27" s="12">
        <v>28</v>
      </c>
      <c r="H27" s="8">
        <v>7.39</v>
      </c>
      <c r="I27" s="12">
        <v>0</v>
      </c>
    </row>
    <row r="28" spans="2:9" ht="15" customHeight="1" x14ac:dyDescent="0.2">
      <c r="B28" t="s">
        <v>77</v>
      </c>
      <c r="C28" s="12">
        <v>49</v>
      </c>
      <c r="D28" s="8">
        <v>4.96</v>
      </c>
      <c r="E28" s="12">
        <v>39</v>
      </c>
      <c r="F28" s="8">
        <v>6.66</v>
      </c>
      <c r="G28" s="12">
        <v>10</v>
      </c>
      <c r="H28" s="8">
        <v>2.64</v>
      </c>
      <c r="I28" s="12">
        <v>0</v>
      </c>
    </row>
    <row r="29" spans="2:9" ht="15" customHeight="1" x14ac:dyDescent="0.2">
      <c r="B29" t="s">
        <v>81</v>
      </c>
      <c r="C29" s="12">
        <v>44</v>
      </c>
      <c r="D29" s="8">
        <v>4.45</v>
      </c>
      <c r="E29" s="12">
        <v>18</v>
      </c>
      <c r="F29" s="8">
        <v>3.07</v>
      </c>
      <c r="G29" s="12">
        <v>25</v>
      </c>
      <c r="H29" s="8">
        <v>6.6</v>
      </c>
      <c r="I29" s="12">
        <v>0</v>
      </c>
    </row>
    <row r="30" spans="2:9" ht="15" customHeight="1" x14ac:dyDescent="0.2">
      <c r="B30" t="s">
        <v>70</v>
      </c>
      <c r="C30" s="12">
        <v>43</v>
      </c>
      <c r="D30" s="8">
        <v>4.3499999999999996</v>
      </c>
      <c r="E30" s="12">
        <v>32</v>
      </c>
      <c r="F30" s="8">
        <v>5.46</v>
      </c>
      <c r="G30" s="12">
        <v>11</v>
      </c>
      <c r="H30" s="8">
        <v>2.9</v>
      </c>
      <c r="I30" s="12">
        <v>0</v>
      </c>
    </row>
    <row r="31" spans="2:9" ht="15" customHeight="1" x14ac:dyDescent="0.2">
      <c r="B31" t="s">
        <v>78</v>
      </c>
      <c r="C31" s="12">
        <v>42</v>
      </c>
      <c r="D31" s="8">
        <v>4.25</v>
      </c>
      <c r="E31" s="12">
        <v>25</v>
      </c>
      <c r="F31" s="8">
        <v>4.2699999999999996</v>
      </c>
      <c r="G31" s="12">
        <v>17</v>
      </c>
      <c r="H31" s="8">
        <v>4.49</v>
      </c>
      <c r="I31" s="12">
        <v>0</v>
      </c>
    </row>
    <row r="32" spans="2:9" ht="15" customHeight="1" x14ac:dyDescent="0.2">
      <c r="B32" t="s">
        <v>86</v>
      </c>
      <c r="C32" s="12">
        <v>41</v>
      </c>
      <c r="D32" s="8">
        <v>4.1500000000000004</v>
      </c>
      <c r="E32" s="12">
        <v>33</v>
      </c>
      <c r="F32" s="8">
        <v>5.63</v>
      </c>
      <c r="G32" s="12">
        <v>8</v>
      </c>
      <c r="H32" s="8">
        <v>2.11</v>
      </c>
      <c r="I32" s="12">
        <v>0</v>
      </c>
    </row>
    <row r="33" spans="2:9" ht="15" customHeight="1" x14ac:dyDescent="0.2">
      <c r="B33" t="s">
        <v>97</v>
      </c>
      <c r="C33" s="12">
        <v>30</v>
      </c>
      <c r="D33" s="8">
        <v>3.04</v>
      </c>
      <c r="E33" s="12">
        <v>14</v>
      </c>
      <c r="F33" s="8">
        <v>2.39</v>
      </c>
      <c r="G33" s="12">
        <v>16</v>
      </c>
      <c r="H33" s="8">
        <v>4.22</v>
      </c>
      <c r="I33" s="12">
        <v>0</v>
      </c>
    </row>
    <row r="34" spans="2:9" ht="15" customHeight="1" x14ac:dyDescent="0.2">
      <c r="B34" t="s">
        <v>71</v>
      </c>
      <c r="C34" s="12">
        <v>28</v>
      </c>
      <c r="D34" s="8">
        <v>2.83</v>
      </c>
      <c r="E34" s="12">
        <v>15</v>
      </c>
      <c r="F34" s="8">
        <v>2.56</v>
      </c>
      <c r="G34" s="12">
        <v>13</v>
      </c>
      <c r="H34" s="8">
        <v>3.43</v>
      </c>
      <c r="I34" s="12">
        <v>0</v>
      </c>
    </row>
    <row r="35" spans="2:9" ht="15" customHeight="1" x14ac:dyDescent="0.2">
      <c r="B35" t="s">
        <v>76</v>
      </c>
      <c r="C35" s="12">
        <v>28</v>
      </c>
      <c r="D35" s="8">
        <v>2.83</v>
      </c>
      <c r="E35" s="12">
        <v>22</v>
      </c>
      <c r="F35" s="8">
        <v>3.75</v>
      </c>
      <c r="G35" s="12">
        <v>6</v>
      </c>
      <c r="H35" s="8">
        <v>1.58</v>
      </c>
      <c r="I35" s="12">
        <v>0</v>
      </c>
    </row>
    <row r="36" spans="2:9" ht="15" customHeight="1" x14ac:dyDescent="0.2">
      <c r="B36" t="s">
        <v>83</v>
      </c>
      <c r="C36" s="12">
        <v>25</v>
      </c>
      <c r="D36" s="8">
        <v>2.5299999999999998</v>
      </c>
      <c r="E36" s="12">
        <v>17</v>
      </c>
      <c r="F36" s="8">
        <v>2.9</v>
      </c>
      <c r="G36" s="12">
        <v>7</v>
      </c>
      <c r="H36" s="8">
        <v>1.85</v>
      </c>
      <c r="I36" s="12">
        <v>0</v>
      </c>
    </row>
    <row r="37" spans="2:9" ht="15" customHeight="1" x14ac:dyDescent="0.2">
      <c r="B37" t="s">
        <v>90</v>
      </c>
      <c r="C37" s="12">
        <v>24</v>
      </c>
      <c r="D37" s="8">
        <v>2.4300000000000002</v>
      </c>
      <c r="E37" s="12">
        <v>0</v>
      </c>
      <c r="F37" s="8">
        <v>0</v>
      </c>
      <c r="G37" s="12">
        <v>21</v>
      </c>
      <c r="H37" s="8">
        <v>5.54</v>
      </c>
      <c r="I37" s="12">
        <v>0</v>
      </c>
    </row>
    <row r="38" spans="2:9" ht="15" customHeight="1" x14ac:dyDescent="0.2">
      <c r="B38" t="s">
        <v>73</v>
      </c>
      <c r="C38" s="12">
        <v>21</v>
      </c>
      <c r="D38" s="8">
        <v>2.13</v>
      </c>
      <c r="E38" s="12">
        <v>6</v>
      </c>
      <c r="F38" s="8">
        <v>1.02</v>
      </c>
      <c r="G38" s="12">
        <v>15</v>
      </c>
      <c r="H38" s="8">
        <v>3.96</v>
      </c>
      <c r="I38" s="12">
        <v>0</v>
      </c>
    </row>
    <row r="39" spans="2:9" ht="15" customHeight="1" x14ac:dyDescent="0.2">
      <c r="B39" t="s">
        <v>87</v>
      </c>
      <c r="C39" s="12">
        <v>20</v>
      </c>
      <c r="D39" s="8">
        <v>2.02</v>
      </c>
      <c r="E39" s="12">
        <v>19</v>
      </c>
      <c r="F39" s="8">
        <v>3.24</v>
      </c>
      <c r="G39" s="12">
        <v>1</v>
      </c>
      <c r="H39" s="8">
        <v>0.26</v>
      </c>
      <c r="I39" s="12">
        <v>0</v>
      </c>
    </row>
    <row r="40" spans="2:9" ht="15" customHeight="1" x14ac:dyDescent="0.2">
      <c r="B40" t="s">
        <v>95</v>
      </c>
      <c r="C40" s="12">
        <v>17</v>
      </c>
      <c r="D40" s="8">
        <v>1.72</v>
      </c>
      <c r="E40" s="12">
        <v>9</v>
      </c>
      <c r="F40" s="8">
        <v>1.54</v>
      </c>
      <c r="G40" s="12">
        <v>6</v>
      </c>
      <c r="H40" s="8">
        <v>1.58</v>
      </c>
      <c r="I40" s="12">
        <v>0</v>
      </c>
    </row>
    <row r="41" spans="2:9" ht="15" customHeight="1" x14ac:dyDescent="0.2">
      <c r="B41" t="s">
        <v>82</v>
      </c>
      <c r="C41" s="12">
        <v>16</v>
      </c>
      <c r="D41" s="8">
        <v>1.62</v>
      </c>
      <c r="E41" s="12">
        <v>13</v>
      </c>
      <c r="F41" s="8">
        <v>2.2200000000000002</v>
      </c>
      <c r="G41" s="12">
        <v>3</v>
      </c>
      <c r="H41" s="8">
        <v>0.79</v>
      </c>
      <c r="I41" s="12">
        <v>0</v>
      </c>
    </row>
    <row r="42" spans="2:9" ht="15" customHeight="1" x14ac:dyDescent="0.2">
      <c r="B42" t="s">
        <v>72</v>
      </c>
      <c r="C42" s="12">
        <v>13</v>
      </c>
      <c r="D42" s="8">
        <v>1.32</v>
      </c>
      <c r="E42" s="12">
        <v>3</v>
      </c>
      <c r="F42" s="8">
        <v>0.51</v>
      </c>
      <c r="G42" s="12">
        <v>10</v>
      </c>
      <c r="H42" s="8">
        <v>2.64</v>
      </c>
      <c r="I42" s="12">
        <v>0</v>
      </c>
    </row>
    <row r="43" spans="2:9" ht="15" customHeight="1" x14ac:dyDescent="0.2">
      <c r="B43" t="s">
        <v>94</v>
      </c>
      <c r="C43" s="12">
        <v>13</v>
      </c>
      <c r="D43" s="8">
        <v>1.32</v>
      </c>
      <c r="E43" s="12">
        <v>6</v>
      </c>
      <c r="F43" s="8">
        <v>1.02</v>
      </c>
      <c r="G43" s="12">
        <v>7</v>
      </c>
      <c r="H43" s="8">
        <v>1.85</v>
      </c>
      <c r="I43" s="12">
        <v>0</v>
      </c>
    </row>
    <row r="44" spans="2:9" ht="15" customHeight="1" x14ac:dyDescent="0.2">
      <c r="B44" t="s">
        <v>106</v>
      </c>
      <c r="C44" s="12">
        <v>13</v>
      </c>
      <c r="D44" s="8">
        <v>1.32</v>
      </c>
      <c r="E44" s="12">
        <v>0</v>
      </c>
      <c r="F44" s="8">
        <v>0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132</v>
      </c>
      <c r="C48" s="12">
        <v>54</v>
      </c>
      <c r="D48" s="8">
        <v>5.47</v>
      </c>
      <c r="E48" s="12">
        <v>49</v>
      </c>
      <c r="F48" s="8">
        <v>8.36</v>
      </c>
      <c r="G48" s="12">
        <v>5</v>
      </c>
      <c r="H48" s="8">
        <v>1.32</v>
      </c>
      <c r="I48" s="12">
        <v>0</v>
      </c>
    </row>
    <row r="49" spans="2:9" ht="15" customHeight="1" x14ac:dyDescent="0.2">
      <c r="B49" t="s">
        <v>131</v>
      </c>
      <c r="C49" s="12">
        <v>37</v>
      </c>
      <c r="D49" s="8">
        <v>3.74</v>
      </c>
      <c r="E49" s="12">
        <v>35</v>
      </c>
      <c r="F49" s="8">
        <v>5.97</v>
      </c>
      <c r="G49" s="12">
        <v>2</v>
      </c>
      <c r="H49" s="8">
        <v>0.53</v>
      </c>
      <c r="I49" s="12">
        <v>0</v>
      </c>
    </row>
    <row r="50" spans="2:9" ht="15" customHeight="1" x14ac:dyDescent="0.2">
      <c r="B50" t="s">
        <v>118</v>
      </c>
      <c r="C50" s="12">
        <v>32</v>
      </c>
      <c r="D50" s="8">
        <v>3.24</v>
      </c>
      <c r="E50" s="12">
        <v>21</v>
      </c>
      <c r="F50" s="8">
        <v>3.58</v>
      </c>
      <c r="G50" s="12">
        <v>11</v>
      </c>
      <c r="H50" s="8">
        <v>2.9</v>
      </c>
      <c r="I50" s="12">
        <v>0</v>
      </c>
    </row>
    <row r="51" spans="2:9" ht="15" customHeight="1" x14ac:dyDescent="0.2">
      <c r="B51" t="s">
        <v>122</v>
      </c>
      <c r="C51" s="12">
        <v>32</v>
      </c>
      <c r="D51" s="8">
        <v>3.24</v>
      </c>
      <c r="E51" s="12">
        <v>19</v>
      </c>
      <c r="F51" s="8">
        <v>3.24</v>
      </c>
      <c r="G51" s="12">
        <v>13</v>
      </c>
      <c r="H51" s="8">
        <v>3.43</v>
      </c>
      <c r="I51" s="12">
        <v>0</v>
      </c>
    </row>
    <row r="52" spans="2:9" ht="15" customHeight="1" x14ac:dyDescent="0.2">
      <c r="B52" t="s">
        <v>133</v>
      </c>
      <c r="C52" s="12">
        <v>32</v>
      </c>
      <c r="D52" s="8">
        <v>3.24</v>
      </c>
      <c r="E52" s="12">
        <v>28</v>
      </c>
      <c r="F52" s="8">
        <v>4.78</v>
      </c>
      <c r="G52" s="12">
        <v>4</v>
      </c>
      <c r="H52" s="8">
        <v>1.06</v>
      </c>
      <c r="I52" s="12">
        <v>0</v>
      </c>
    </row>
    <row r="53" spans="2:9" ht="15" customHeight="1" x14ac:dyDescent="0.2">
      <c r="B53" t="s">
        <v>129</v>
      </c>
      <c r="C53" s="12">
        <v>31</v>
      </c>
      <c r="D53" s="8">
        <v>3.14</v>
      </c>
      <c r="E53" s="12">
        <v>30</v>
      </c>
      <c r="F53" s="8">
        <v>5.12</v>
      </c>
      <c r="G53" s="12">
        <v>1</v>
      </c>
      <c r="H53" s="8">
        <v>0.26</v>
      </c>
      <c r="I53" s="12">
        <v>0</v>
      </c>
    </row>
    <row r="54" spans="2:9" ht="15" customHeight="1" x14ac:dyDescent="0.2">
      <c r="B54" t="s">
        <v>116</v>
      </c>
      <c r="C54" s="12">
        <v>30</v>
      </c>
      <c r="D54" s="8">
        <v>3.04</v>
      </c>
      <c r="E54" s="12">
        <v>6</v>
      </c>
      <c r="F54" s="8">
        <v>1.02</v>
      </c>
      <c r="G54" s="12">
        <v>24</v>
      </c>
      <c r="H54" s="8">
        <v>6.33</v>
      </c>
      <c r="I54" s="12">
        <v>0</v>
      </c>
    </row>
    <row r="55" spans="2:9" ht="15" customHeight="1" x14ac:dyDescent="0.2">
      <c r="B55" t="s">
        <v>157</v>
      </c>
      <c r="C55" s="12">
        <v>29</v>
      </c>
      <c r="D55" s="8">
        <v>2.94</v>
      </c>
      <c r="E55" s="12">
        <v>14</v>
      </c>
      <c r="F55" s="8">
        <v>2.39</v>
      </c>
      <c r="G55" s="12">
        <v>15</v>
      </c>
      <c r="H55" s="8">
        <v>3.96</v>
      </c>
      <c r="I55" s="12">
        <v>0</v>
      </c>
    </row>
    <row r="56" spans="2:9" ht="15" customHeight="1" x14ac:dyDescent="0.2">
      <c r="B56" t="s">
        <v>126</v>
      </c>
      <c r="C56" s="12">
        <v>26</v>
      </c>
      <c r="D56" s="8">
        <v>2.63</v>
      </c>
      <c r="E56" s="12">
        <v>12</v>
      </c>
      <c r="F56" s="8">
        <v>2.0499999999999998</v>
      </c>
      <c r="G56" s="12">
        <v>13</v>
      </c>
      <c r="H56" s="8">
        <v>3.43</v>
      </c>
      <c r="I56" s="12">
        <v>0</v>
      </c>
    </row>
    <row r="57" spans="2:9" ht="15" customHeight="1" x14ac:dyDescent="0.2">
      <c r="B57" t="s">
        <v>128</v>
      </c>
      <c r="C57" s="12">
        <v>23</v>
      </c>
      <c r="D57" s="8">
        <v>2.33</v>
      </c>
      <c r="E57" s="12">
        <v>23</v>
      </c>
      <c r="F57" s="8">
        <v>3.92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121</v>
      </c>
      <c r="C58" s="12">
        <v>21</v>
      </c>
      <c r="D58" s="8">
        <v>2.13</v>
      </c>
      <c r="E58" s="12">
        <v>16</v>
      </c>
      <c r="F58" s="8">
        <v>2.73</v>
      </c>
      <c r="G58" s="12">
        <v>5</v>
      </c>
      <c r="H58" s="8">
        <v>1.32</v>
      </c>
      <c r="I58" s="12">
        <v>0</v>
      </c>
    </row>
    <row r="59" spans="2:9" ht="15" customHeight="1" x14ac:dyDescent="0.2">
      <c r="B59" t="s">
        <v>127</v>
      </c>
      <c r="C59" s="12">
        <v>19</v>
      </c>
      <c r="D59" s="8">
        <v>1.92</v>
      </c>
      <c r="E59" s="12">
        <v>14</v>
      </c>
      <c r="F59" s="8">
        <v>2.39</v>
      </c>
      <c r="G59" s="12">
        <v>4</v>
      </c>
      <c r="H59" s="8">
        <v>1.06</v>
      </c>
      <c r="I59" s="12">
        <v>0</v>
      </c>
    </row>
    <row r="60" spans="2:9" ht="15" customHeight="1" x14ac:dyDescent="0.2">
      <c r="B60" t="s">
        <v>140</v>
      </c>
      <c r="C60" s="12">
        <v>17</v>
      </c>
      <c r="D60" s="8">
        <v>1.72</v>
      </c>
      <c r="E60" s="12">
        <v>14</v>
      </c>
      <c r="F60" s="8">
        <v>2.39</v>
      </c>
      <c r="G60" s="12">
        <v>3</v>
      </c>
      <c r="H60" s="8">
        <v>0.79</v>
      </c>
      <c r="I60" s="12">
        <v>0</v>
      </c>
    </row>
    <row r="61" spans="2:9" ht="15" customHeight="1" x14ac:dyDescent="0.2">
      <c r="B61" t="s">
        <v>173</v>
      </c>
      <c r="C61" s="12">
        <v>17</v>
      </c>
      <c r="D61" s="8">
        <v>1.72</v>
      </c>
      <c r="E61" s="12">
        <v>0</v>
      </c>
      <c r="F61" s="8">
        <v>0</v>
      </c>
      <c r="G61" s="12">
        <v>17</v>
      </c>
      <c r="H61" s="8">
        <v>4.49</v>
      </c>
      <c r="I61" s="12">
        <v>0</v>
      </c>
    </row>
    <row r="62" spans="2:9" ht="15" customHeight="1" x14ac:dyDescent="0.2">
      <c r="B62" t="s">
        <v>137</v>
      </c>
      <c r="C62" s="12">
        <v>15</v>
      </c>
      <c r="D62" s="8">
        <v>1.52</v>
      </c>
      <c r="E62" s="12">
        <v>14</v>
      </c>
      <c r="F62" s="8">
        <v>2.39</v>
      </c>
      <c r="G62" s="12">
        <v>1</v>
      </c>
      <c r="H62" s="8">
        <v>0.26</v>
      </c>
      <c r="I62" s="12">
        <v>0</v>
      </c>
    </row>
    <row r="63" spans="2:9" ht="15" customHeight="1" x14ac:dyDescent="0.2">
      <c r="B63" t="s">
        <v>136</v>
      </c>
      <c r="C63" s="12">
        <v>15</v>
      </c>
      <c r="D63" s="8">
        <v>1.52</v>
      </c>
      <c r="E63" s="12">
        <v>14</v>
      </c>
      <c r="F63" s="8">
        <v>2.39</v>
      </c>
      <c r="G63" s="12">
        <v>1</v>
      </c>
      <c r="H63" s="8">
        <v>0.26</v>
      </c>
      <c r="I63" s="12">
        <v>0</v>
      </c>
    </row>
    <row r="64" spans="2:9" ht="15" customHeight="1" x14ac:dyDescent="0.2">
      <c r="B64" t="s">
        <v>134</v>
      </c>
      <c r="C64" s="12">
        <v>15</v>
      </c>
      <c r="D64" s="8">
        <v>1.52</v>
      </c>
      <c r="E64" s="12">
        <v>15</v>
      </c>
      <c r="F64" s="8">
        <v>2.56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117</v>
      </c>
      <c r="C65" s="12">
        <v>14</v>
      </c>
      <c r="D65" s="8">
        <v>1.42</v>
      </c>
      <c r="E65" s="12">
        <v>5</v>
      </c>
      <c r="F65" s="8">
        <v>0.85</v>
      </c>
      <c r="G65" s="12">
        <v>9</v>
      </c>
      <c r="H65" s="8">
        <v>2.37</v>
      </c>
      <c r="I65" s="12">
        <v>0</v>
      </c>
    </row>
    <row r="66" spans="2:9" ht="15" customHeight="1" x14ac:dyDescent="0.2">
      <c r="B66" t="s">
        <v>130</v>
      </c>
      <c r="C66" s="12">
        <v>14</v>
      </c>
      <c r="D66" s="8">
        <v>1.42</v>
      </c>
      <c r="E66" s="12">
        <v>13</v>
      </c>
      <c r="F66" s="8">
        <v>2.2200000000000002</v>
      </c>
      <c r="G66" s="12">
        <v>1</v>
      </c>
      <c r="H66" s="8">
        <v>0.26</v>
      </c>
      <c r="I66" s="12">
        <v>0</v>
      </c>
    </row>
    <row r="67" spans="2:9" ht="15" customHeight="1" x14ac:dyDescent="0.2">
      <c r="B67" t="s">
        <v>144</v>
      </c>
      <c r="C67" s="12">
        <v>13</v>
      </c>
      <c r="D67" s="8">
        <v>1.32</v>
      </c>
      <c r="E67" s="12">
        <v>12</v>
      </c>
      <c r="F67" s="8">
        <v>2.0499999999999998</v>
      </c>
      <c r="G67" s="12">
        <v>1</v>
      </c>
      <c r="H67" s="8">
        <v>0.26</v>
      </c>
      <c r="I67" s="12">
        <v>0</v>
      </c>
    </row>
    <row r="68" spans="2:9" ht="15" customHeight="1" x14ac:dyDescent="0.2">
      <c r="B68" t="s">
        <v>123</v>
      </c>
      <c r="C68" s="12">
        <v>13</v>
      </c>
      <c r="D68" s="8">
        <v>1.32</v>
      </c>
      <c r="E68" s="12">
        <v>4</v>
      </c>
      <c r="F68" s="8">
        <v>0.68</v>
      </c>
      <c r="G68" s="12">
        <v>9</v>
      </c>
      <c r="H68" s="8">
        <v>2.37</v>
      </c>
      <c r="I68" s="12">
        <v>0</v>
      </c>
    </row>
    <row r="69" spans="2:9" ht="15" customHeight="1" x14ac:dyDescent="0.2">
      <c r="B69" t="s">
        <v>174</v>
      </c>
      <c r="C69" s="12">
        <v>13</v>
      </c>
      <c r="D69" s="8">
        <v>1.32</v>
      </c>
      <c r="E69" s="12">
        <v>0</v>
      </c>
      <c r="F69" s="8">
        <v>0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0D05F-3A94-4BA0-AFDF-8B970DF7D80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226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7.0000000000000007E-2</v>
      </c>
      <c r="E5" s="12">
        <v>1</v>
      </c>
      <c r="F5" s="8">
        <v>0.11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200</v>
      </c>
      <c r="D6" s="8">
        <v>14.28</v>
      </c>
      <c r="E6" s="12">
        <v>91</v>
      </c>
      <c r="F6" s="8">
        <v>10.199999999999999</v>
      </c>
      <c r="G6" s="12">
        <v>109</v>
      </c>
      <c r="H6" s="8">
        <v>22.24</v>
      </c>
      <c r="I6" s="12">
        <v>0</v>
      </c>
    </row>
    <row r="7" spans="2:9" ht="15" customHeight="1" x14ac:dyDescent="0.2">
      <c r="B7" t="s">
        <v>48</v>
      </c>
      <c r="C7" s="12">
        <v>104</v>
      </c>
      <c r="D7" s="8">
        <v>7.42</v>
      </c>
      <c r="E7" s="12">
        <v>38</v>
      </c>
      <c r="F7" s="8">
        <v>4.26</v>
      </c>
      <c r="G7" s="12">
        <v>66</v>
      </c>
      <c r="H7" s="8">
        <v>13.47</v>
      </c>
      <c r="I7" s="12">
        <v>0</v>
      </c>
    </row>
    <row r="8" spans="2:9" ht="15" customHeight="1" x14ac:dyDescent="0.2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9</v>
      </c>
      <c r="D9" s="8">
        <v>0.64</v>
      </c>
      <c r="E9" s="12">
        <v>0</v>
      </c>
      <c r="F9" s="8">
        <v>0</v>
      </c>
      <c r="G9" s="12">
        <v>9</v>
      </c>
      <c r="H9" s="8">
        <v>1.84</v>
      </c>
      <c r="I9" s="12">
        <v>0</v>
      </c>
    </row>
    <row r="10" spans="2:9" ht="15" customHeight="1" x14ac:dyDescent="0.2">
      <c r="B10" t="s">
        <v>51</v>
      </c>
      <c r="C10" s="12">
        <v>9</v>
      </c>
      <c r="D10" s="8">
        <v>0.64</v>
      </c>
      <c r="E10" s="12">
        <v>1</v>
      </c>
      <c r="F10" s="8">
        <v>0.11</v>
      </c>
      <c r="G10" s="12">
        <v>8</v>
      </c>
      <c r="H10" s="8">
        <v>1.63</v>
      </c>
      <c r="I10" s="12">
        <v>0</v>
      </c>
    </row>
    <row r="11" spans="2:9" ht="15" customHeight="1" x14ac:dyDescent="0.2">
      <c r="B11" t="s">
        <v>52</v>
      </c>
      <c r="C11" s="12">
        <v>269</v>
      </c>
      <c r="D11" s="8">
        <v>19.2</v>
      </c>
      <c r="E11" s="12">
        <v>125</v>
      </c>
      <c r="F11" s="8">
        <v>14.01</v>
      </c>
      <c r="G11" s="12">
        <v>144</v>
      </c>
      <c r="H11" s="8">
        <v>29.39</v>
      </c>
      <c r="I11" s="12">
        <v>0</v>
      </c>
    </row>
    <row r="12" spans="2:9" ht="15" customHeight="1" x14ac:dyDescent="0.2">
      <c r="B12" t="s">
        <v>53</v>
      </c>
      <c r="C12" s="12">
        <v>5</v>
      </c>
      <c r="D12" s="8">
        <v>0.36</v>
      </c>
      <c r="E12" s="12">
        <v>2</v>
      </c>
      <c r="F12" s="8">
        <v>0.22</v>
      </c>
      <c r="G12" s="12">
        <v>3</v>
      </c>
      <c r="H12" s="8">
        <v>0.61</v>
      </c>
      <c r="I12" s="12">
        <v>0</v>
      </c>
    </row>
    <row r="13" spans="2:9" ht="15" customHeight="1" x14ac:dyDescent="0.2">
      <c r="B13" t="s">
        <v>54</v>
      </c>
      <c r="C13" s="12">
        <v>224</v>
      </c>
      <c r="D13" s="8">
        <v>15.99</v>
      </c>
      <c r="E13" s="12">
        <v>189</v>
      </c>
      <c r="F13" s="8">
        <v>21.19</v>
      </c>
      <c r="G13" s="12">
        <v>35</v>
      </c>
      <c r="H13" s="8">
        <v>7.14</v>
      </c>
      <c r="I13" s="12">
        <v>0</v>
      </c>
    </row>
    <row r="14" spans="2:9" ht="15" customHeight="1" x14ac:dyDescent="0.2">
      <c r="B14" t="s">
        <v>55</v>
      </c>
      <c r="C14" s="12">
        <v>51</v>
      </c>
      <c r="D14" s="8">
        <v>3.64</v>
      </c>
      <c r="E14" s="12">
        <v>25</v>
      </c>
      <c r="F14" s="8">
        <v>2.8</v>
      </c>
      <c r="G14" s="12">
        <v>25</v>
      </c>
      <c r="H14" s="8">
        <v>5.0999999999999996</v>
      </c>
      <c r="I14" s="12">
        <v>0</v>
      </c>
    </row>
    <row r="15" spans="2:9" ht="15" customHeight="1" x14ac:dyDescent="0.2">
      <c r="B15" t="s">
        <v>56</v>
      </c>
      <c r="C15" s="12">
        <v>192</v>
      </c>
      <c r="D15" s="8">
        <v>13.7</v>
      </c>
      <c r="E15" s="12">
        <v>156</v>
      </c>
      <c r="F15" s="8">
        <v>17.489999999999998</v>
      </c>
      <c r="G15" s="12">
        <v>32</v>
      </c>
      <c r="H15" s="8">
        <v>6.53</v>
      </c>
      <c r="I15" s="12">
        <v>0</v>
      </c>
    </row>
    <row r="16" spans="2:9" ht="15" customHeight="1" x14ac:dyDescent="0.2">
      <c r="B16" t="s">
        <v>57</v>
      </c>
      <c r="C16" s="12">
        <v>174</v>
      </c>
      <c r="D16" s="8">
        <v>12.42</v>
      </c>
      <c r="E16" s="12">
        <v>150</v>
      </c>
      <c r="F16" s="8">
        <v>16.82</v>
      </c>
      <c r="G16" s="12">
        <v>22</v>
      </c>
      <c r="H16" s="8">
        <v>4.49</v>
      </c>
      <c r="I16" s="12">
        <v>0</v>
      </c>
    </row>
    <row r="17" spans="2:9" ht="15" customHeight="1" x14ac:dyDescent="0.2">
      <c r="B17" t="s">
        <v>58</v>
      </c>
      <c r="C17" s="12">
        <v>48</v>
      </c>
      <c r="D17" s="8">
        <v>3.43</v>
      </c>
      <c r="E17" s="12">
        <v>40</v>
      </c>
      <c r="F17" s="8">
        <v>4.4800000000000004</v>
      </c>
      <c r="G17" s="12">
        <v>5</v>
      </c>
      <c r="H17" s="8">
        <v>1.02</v>
      </c>
      <c r="I17" s="12">
        <v>1</v>
      </c>
    </row>
    <row r="18" spans="2:9" ht="15" customHeight="1" x14ac:dyDescent="0.2">
      <c r="B18" t="s">
        <v>59</v>
      </c>
      <c r="C18" s="12">
        <v>67</v>
      </c>
      <c r="D18" s="8">
        <v>4.78</v>
      </c>
      <c r="E18" s="12">
        <v>50</v>
      </c>
      <c r="F18" s="8">
        <v>5.61</v>
      </c>
      <c r="G18" s="12">
        <v>13</v>
      </c>
      <c r="H18" s="8">
        <v>2.65</v>
      </c>
      <c r="I18" s="12">
        <v>0</v>
      </c>
    </row>
    <row r="19" spans="2:9" ht="15" customHeight="1" x14ac:dyDescent="0.2">
      <c r="B19" t="s">
        <v>60</v>
      </c>
      <c r="C19" s="12">
        <v>48</v>
      </c>
      <c r="D19" s="8">
        <v>3.43</v>
      </c>
      <c r="E19" s="12">
        <v>24</v>
      </c>
      <c r="F19" s="8">
        <v>2.69</v>
      </c>
      <c r="G19" s="12">
        <v>19</v>
      </c>
      <c r="H19" s="8">
        <v>3.88</v>
      </c>
      <c r="I19" s="12">
        <v>1</v>
      </c>
    </row>
    <row r="20" spans="2:9" ht="15" customHeight="1" x14ac:dyDescent="0.2">
      <c r="B20" s="9" t="s">
        <v>191</v>
      </c>
      <c r="C20" s="12">
        <f>SUM(LTBL_22225[総数／事業所数])</f>
        <v>1401</v>
      </c>
      <c r="E20" s="12">
        <f>SUBTOTAL(109,LTBL_22225[個人／事業所数])</f>
        <v>892</v>
      </c>
      <c r="G20" s="12">
        <f>SUBTOTAL(109,LTBL_22225[法人／事業所数])</f>
        <v>490</v>
      </c>
      <c r="I20" s="12">
        <f>SUBTOTAL(109,LTBL_22225[法人以外の団体／事業所数])</f>
        <v>2</v>
      </c>
    </row>
    <row r="21" spans="2:9" ht="15" customHeight="1" x14ac:dyDescent="0.2">
      <c r="E21" s="11">
        <f>LTBL_22225[[#Totals],[個人／事業所数]]/LTBL_22225[[#Totals],[総数／事業所数]]</f>
        <v>0.63668807994289789</v>
      </c>
      <c r="G21" s="11">
        <f>LTBL_22225[[#Totals],[法人／事業所数]]/LTBL_22225[[#Totals],[総数／事業所数]]</f>
        <v>0.34975017844396861</v>
      </c>
      <c r="I21" s="11">
        <f>LTBL_22225[[#Totals],[法人以外の団体／事業所数]]/LTBL_22225[[#Totals],[総数／事業所数]]</f>
        <v>1.4275517487508922E-3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81</v>
      </c>
      <c r="C24" s="12">
        <v>208</v>
      </c>
      <c r="D24" s="8">
        <v>14.85</v>
      </c>
      <c r="E24" s="12">
        <v>186</v>
      </c>
      <c r="F24" s="8">
        <v>20.85</v>
      </c>
      <c r="G24" s="12">
        <v>22</v>
      </c>
      <c r="H24" s="8">
        <v>4.49</v>
      </c>
      <c r="I24" s="12">
        <v>0</v>
      </c>
    </row>
    <row r="25" spans="2:9" ht="15" customHeight="1" x14ac:dyDescent="0.2">
      <c r="B25" t="s">
        <v>84</v>
      </c>
      <c r="C25" s="12">
        <v>172</v>
      </c>
      <c r="D25" s="8">
        <v>12.28</v>
      </c>
      <c r="E25" s="12">
        <v>151</v>
      </c>
      <c r="F25" s="8">
        <v>16.93</v>
      </c>
      <c r="G25" s="12">
        <v>21</v>
      </c>
      <c r="H25" s="8">
        <v>4.29</v>
      </c>
      <c r="I25" s="12">
        <v>0</v>
      </c>
    </row>
    <row r="26" spans="2:9" ht="15" customHeight="1" x14ac:dyDescent="0.2">
      <c r="B26" t="s">
        <v>85</v>
      </c>
      <c r="C26" s="12">
        <v>150</v>
      </c>
      <c r="D26" s="8">
        <v>10.71</v>
      </c>
      <c r="E26" s="12">
        <v>134</v>
      </c>
      <c r="F26" s="8">
        <v>15.02</v>
      </c>
      <c r="G26" s="12">
        <v>15</v>
      </c>
      <c r="H26" s="8">
        <v>3.06</v>
      </c>
      <c r="I26" s="12">
        <v>0</v>
      </c>
    </row>
    <row r="27" spans="2:9" ht="15" customHeight="1" x14ac:dyDescent="0.2">
      <c r="B27" t="s">
        <v>69</v>
      </c>
      <c r="C27" s="12">
        <v>91</v>
      </c>
      <c r="D27" s="8">
        <v>6.5</v>
      </c>
      <c r="E27" s="12">
        <v>31</v>
      </c>
      <c r="F27" s="8">
        <v>3.48</v>
      </c>
      <c r="G27" s="12">
        <v>60</v>
      </c>
      <c r="H27" s="8">
        <v>12.24</v>
      </c>
      <c r="I27" s="12">
        <v>0</v>
      </c>
    </row>
    <row r="28" spans="2:9" ht="15" customHeight="1" x14ac:dyDescent="0.2">
      <c r="B28" t="s">
        <v>79</v>
      </c>
      <c r="C28" s="12">
        <v>78</v>
      </c>
      <c r="D28" s="8">
        <v>5.57</v>
      </c>
      <c r="E28" s="12">
        <v>32</v>
      </c>
      <c r="F28" s="8">
        <v>3.59</v>
      </c>
      <c r="G28" s="12">
        <v>46</v>
      </c>
      <c r="H28" s="8">
        <v>9.39</v>
      </c>
      <c r="I28" s="12">
        <v>0</v>
      </c>
    </row>
    <row r="29" spans="2:9" ht="15" customHeight="1" x14ac:dyDescent="0.2">
      <c r="B29" t="s">
        <v>70</v>
      </c>
      <c r="C29" s="12">
        <v>71</v>
      </c>
      <c r="D29" s="8">
        <v>5.07</v>
      </c>
      <c r="E29" s="12">
        <v>47</v>
      </c>
      <c r="F29" s="8">
        <v>5.27</v>
      </c>
      <c r="G29" s="12">
        <v>24</v>
      </c>
      <c r="H29" s="8">
        <v>4.9000000000000004</v>
      </c>
      <c r="I29" s="12">
        <v>0</v>
      </c>
    </row>
    <row r="30" spans="2:9" ht="15" customHeight="1" x14ac:dyDescent="0.2">
      <c r="B30" t="s">
        <v>77</v>
      </c>
      <c r="C30" s="12">
        <v>58</v>
      </c>
      <c r="D30" s="8">
        <v>4.1399999999999997</v>
      </c>
      <c r="E30" s="12">
        <v>35</v>
      </c>
      <c r="F30" s="8">
        <v>3.92</v>
      </c>
      <c r="G30" s="12">
        <v>23</v>
      </c>
      <c r="H30" s="8">
        <v>4.6900000000000004</v>
      </c>
      <c r="I30" s="12">
        <v>0</v>
      </c>
    </row>
    <row r="31" spans="2:9" ht="15" customHeight="1" x14ac:dyDescent="0.2">
      <c r="B31" t="s">
        <v>87</v>
      </c>
      <c r="C31" s="12">
        <v>54</v>
      </c>
      <c r="D31" s="8">
        <v>3.85</v>
      </c>
      <c r="E31" s="12">
        <v>50</v>
      </c>
      <c r="F31" s="8">
        <v>5.61</v>
      </c>
      <c r="G31" s="12">
        <v>4</v>
      </c>
      <c r="H31" s="8">
        <v>0.82</v>
      </c>
      <c r="I31" s="12">
        <v>0</v>
      </c>
    </row>
    <row r="32" spans="2:9" ht="15" customHeight="1" x14ac:dyDescent="0.2">
      <c r="B32" t="s">
        <v>86</v>
      </c>
      <c r="C32" s="12">
        <v>48</v>
      </c>
      <c r="D32" s="8">
        <v>3.43</v>
      </c>
      <c r="E32" s="12">
        <v>40</v>
      </c>
      <c r="F32" s="8">
        <v>4.4800000000000004</v>
      </c>
      <c r="G32" s="12">
        <v>5</v>
      </c>
      <c r="H32" s="8">
        <v>1.02</v>
      </c>
      <c r="I32" s="12">
        <v>1</v>
      </c>
    </row>
    <row r="33" spans="2:9" ht="15" customHeight="1" x14ac:dyDescent="0.2">
      <c r="B33" t="s">
        <v>78</v>
      </c>
      <c r="C33" s="12">
        <v>40</v>
      </c>
      <c r="D33" s="8">
        <v>2.86</v>
      </c>
      <c r="E33" s="12">
        <v>21</v>
      </c>
      <c r="F33" s="8">
        <v>2.35</v>
      </c>
      <c r="G33" s="12">
        <v>19</v>
      </c>
      <c r="H33" s="8">
        <v>3.88</v>
      </c>
      <c r="I33" s="12">
        <v>0</v>
      </c>
    </row>
    <row r="34" spans="2:9" ht="15" customHeight="1" x14ac:dyDescent="0.2">
      <c r="B34" t="s">
        <v>71</v>
      </c>
      <c r="C34" s="12">
        <v>38</v>
      </c>
      <c r="D34" s="8">
        <v>2.71</v>
      </c>
      <c r="E34" s="12">
        <v>13</v>
      </c>
      <c r="F34" s="8">
        <v>1.46</v>
      </c>
      <c r="G34" s="12">
        <v>25</v>
      </c>
      <c r="H34" s="8">
        <v>5.0999999999999996</v>
      </c>
      <c r="I34" s="12">
        <v>0</v>
      </c>
    </row>
    <row r="35" spans="2:9" ht="15" customHeight="1" x14ac:dyDescent="0.2">
      <c r="B35" t="s">
        <v>76</v>
      </c>
      <c r="C35" s="12">
        <v>29</v>
      </c>
      <c r="D35" s="8">
        <v>2.0699999999999998</v>
      </c>
      <c r="E35" s="12">
        <v>14</v>
      </c>
      <c r="F35" s="8">
        <v>1.57</v>
      </c>
      <c r="G35" s="12">
        <v>15</v>
      </c>
      <c r="H35" s="8">
        <v>3.06</v>
      </c>
      <c r="I35" s="12">
        <v>0</v>
      </c>
    </row>
    <row r="36" spans="2:9" ht="15" customHeight="1" x14ac:dyDescent="0.2">
      <c r="B36" t="s">
        <v>83</v>
      </c>
      <c r="C36" s="12">
        <v>25</v>
      </c>
      <c r="D36" s="8">
        <v>1.78</v>
      </c>
      <c r="E36" s="12">
        <v>8</v>
      </c>
      <c r="F36" s="8">
        <v>0.9</v>
      </c>
      <c r="G36" s="12">
        <v>16</v>
      </c>
      <c r="H36" s="8">
        <v>3.27</v>
      </c>
      <c r="I36" s="12">
        <v>0</v>
      </c>
    </row>
    <row r="37" spans="2:9" ht="15" customHeight="1" x14ac:dyDescent="0.2">
      <c r="B37" t="s">
        <v>82</v>
      </c>
      <c r="C37" s="12">
        <v>23</v>
      </c>
      <c r="D37" s="8">
        <v>1.64</v>
      </c>
      <c r="E37" s="12">
        <v>17</v>
      </c>
      <c r="F37" s="8">
        <v>1.91</v>
      </c>
      <c r="G37" s="12">
        <v>6</v>
      </c>
      <c r="H37" s="8">
        <v>1.22</v>
      </c>
      <c r="I37" s="12">
        <v>0</v>
      </c>
    </row>
    <row r="38" spans="2:9" ht="15" customHeight="1" x14ac:dyDescent="0.2">
      <c r="B38" t="s">
        <v>88</v>
      </c>
      <c r="C38" s="12">
        <v>21</v>
      </c>
      <c r="D38" s="8">
        <v>1.5</v>
      </c>
      <c r="E38" s="12">
        <v>14</v>
      </c>
      <c r="F38" s="8">
        <v>1.57</v>
      </c>
      <c r="G38" s="12">
        <v>7</v>
      </c>
      <c r="H38" s="8">
        <v>1.43</v>
      </c>
      <c r="I38" s="12">
        <v>0</v>
      </c>
    </row>
    <row r="39" spans="2:9" ht="15" customHeight="1" x14ac:dyDescent="0.2">
      <c r="B39" t="s">
        <v>93</v>
      </c>
      <c r="C39" s="12">
        <v>16</v>
      </c>
      <c r="D39" s="8">
        <v>1.1399999999999999</v>
      </c>
      <c r="E39" s="12">
        <v>5</v>
      </c>
      <c r="F39" s="8">
        <v>0.56000000000000005</v>
      </c>
      <c r="G39" s="12">
        <v>11</v>
      </c>
      <c r="H39" s="8">
        <v>2.2400000000000002</v>
      </c>
      <c r="I39" s="12">
        <v>0</v>
      </c>
    </row>
    <row r="40" spans="2:9" ht="15" customHeight="1" x14ac:dyDescent="0.2">
      <c r="B40" t="s">
        <v>72</v>
      </c>
      <c r="C40" s="12">
        <v>14</v>
      </c>
      <c r="D40" s="8">
        <v>1</v>
      </c>
      <c r="E40" s="12">
        <v>5</v>
      </c>
      <c r="F40" s="8">
        <v>0.56000000000000005</v>
      </c>
      <c r="G40" s="12">
        <v>9</v>
      </c>
      <c r="H40" s="8">
        <v>1.84</v>
      </c>
      <c r="I40" s="12">
        <v>0</v>
      </c>
    </row>
    <row r="41" spans="2:9" ht="15" customHeight="1" x14ac:dyDescent="0.2">
      <c r="B41" t="s">
        <v>74</v>
      </c>
      <c r="C41" s="12">
        <v>14</v>
      </c>
      <c r="D41" s="8">
        <v>1</v>
      </c>
      <c r="E41" s="12">
        <v>7</v>
      </c>
      <c r="F41" s="8">
        <v>0.78</v>
      </c>
      <c r="G41" s="12">
        <v>7</v>
      </c>
      <c r="H41" s="8">
        <v>1.43</v>
      </c>
      <c r="I41" s="12">
        <v>0</v>
      </c>
    </row>
    <row r="42" spans="2:9" ht="15" customHeight="1" x14ac:dyDescent="0.2">
      <c r="B42" t="s">
        <v>89</v>
      </c>
      <c r="C42" s="12">
        <v>14</v>
      </c>
      <c r="D42" s="8">
        <v>1</v>
      </c>
      <c r="E42" s="12">
        <v>4</v>
      </c>
      <c r="F42" s="8">
        <v>0.45</v>
      </c>
      <c r="G42" s="12">
        <v>10</v>
      </c>
      <c r="H42" s="8">
        <v>2.04</v>
      </c>
      <c r="I42" s="12">
        <v>0</v>
      </c>
    </row>
    <row r="43" spans="2:9" ht="15" customHeight="1" x14ac:dyDescent="0.2">
      <c r="B43" t="s">
        <v>95</v>
      </c>
      <c r="C43" s="12">
        <v>14</v>
      </c>
      <c r="D43" s="8">
        <v>1</v>
      </c>
      <c r="E43" s="12">
        <v>12</v>
      </c>
      <c r="F43" s="8">
        <v>1.35</v>
      </c>
      <c r="G43" s="12">
        <v>2</v>
      </c>
      <c r="H43" s="8">
        <v>0.41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165</v>
      </c>
      <c r="D47" s="8">
        <v>11.78</v>
      </c>
      <c r="E47" s="12">
        <v>155</v>
      </c>
      <c r="F47" s="8">
        <v>17.38</v>
      </c>
      <c r="G47" s="12">
        <v>10</v>
      </c>
      <c r="H47" s="8">
        <v>2.04</v>
      </c>
      <c r="I47" s="12">
        <v>0</v>
      </c>
    </row>
    <row r="48" spans="2:9" ht="15" customHeight="1" x14ac:dyDescent="0.2">
      <c r="B48" t="s">
        <v>132</v>
      </c>
      <c r="C48" s="12">
        <v>77</v>
      </c>
      <c r="D48" s="8">
        <v>5.5</v>
      </c>
      <c r="E48" s="12">
        <v>67</v>
      </c>
      <c r="F48" s="8">
        <v>7.51</v>
      </c>
      <c r="G48" s="12">
        <v>10</v>
      </c>
      <c r="H48" s="8">
        <v>2.04</v>
      </c>
      <c r="I48" s="12">
        <v>0</v>
      </c>
    </row>
    <row r="49" spans="2:9" ht="15" customHeight="1" x14ac:dyDescent="0.2">
      <c r="B49" t="s">
        <v>128</v>
      </c>
      <c r="C49" s="12">
        <v>45</v>
      </c>
      <c r="D49" s="8">
        <v>3.21</v>
      </c>
      <c r="E49" s="12">
        <v>38</v>
      </c>
      <c r="F49" s="8">
        <v>4.26</v>
      </c>
      <c r="G49" s="12">
        <v>7</v>
      </c>
      <c r="H49" s="8">
        <v>1.43</v>
      </c>
      <c r="I49" s="12">
        <v>0</v>
      </c>
    </row>
    <row r="50" spans="2:9" ht="15" customHeight="1" x14ac:dyDescent="0.2">
      <c r="B50" t="s">
        <v>131</v>
      </c>
      <c r="C50" s="12">
        <v>45</v>
      </c>
      <c r="D50" s="8">
        <v>3.21</v>
      </c>
      <c r="E50" s="12">
        <v>45</v>
      </c>
      <c r="F50" s="8">
        <v>5.04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130</v>
      </c>
      <c r="C51" s="12">
        <v>41</v>
      </c>
      <c r="D51" s="8">
        <v>2.93</v>
      </c>
      <c r="E51" s="12">
        <v>37</v>
      </c>
      <c r="F51" s="8">
        <v>4.1500000000000004</v>
      </c>
      <c r="G51" s="12">
        <v>4</v>
      </c>
      <c r="H51" s="8">
        <v>0.82</v>
      </c>
      <c r="I51" s="12">
        <v>0</v>
      </c>
    </row>
    <row r="52" spans="2:9" ht="15" customHeight="1" x14ac:dyDescent="0.2">
      <c r="B52" t="s">
        <v>134</v>
      </c>
      <c r="C52" s="12">
        <v>40</v>
      </c>
      <c r="D52" s="8">
        <v>2.86</v>
      </c>
      <c r="E52" s="12">
        <v>36</v>
      </c>
      <c r="F52" s="8">
        <v>4.04</v>
      </c>
      <c r="G52" s="12">
        <v>4</v>
      </c>
      <c r="H52" s="8">
        <v>0.82</v>
      </c>
      <c r="I52" s="12">
        <v>0</v>
      </c>
    </row>
    <row r="53" spans="2:9" ht="15" customHeight="1" x14ac:dyDescent="0.2">
      <c r="B53" t="s">
        <v>116</v>
      </c>
      <c r="C53" s="12">
        <v>36</v>
      </c>
      <c r="D53" s="8">
        <v>2.57</v>
      </c>
      <c r="E53" s="12">
        <v>6</v>
      </c>
      <c r="F53" s="8">
        <v>0.67</v>
      </c>
      <c r="G53" s="12">
        <v>30</v>
      </c>
      <c r="H53" s="8">
        <v>6.12</v>
      </c>
      <c r="I53" s="12">
        <v>0</v>
      </c>
    </row>
    <row r="54" spans="2:9" ht="15" customHeight="1" x14ac:dyDescent="0.2">
      <c r="B54" t="s">
        <v>129</v>
      </c>
      <c r="C54" s="12">
        <v>34</v>
      </c>
      <c r="D54" s="8">
        <v>2.4300000000000002</v>
      </c>
      <c r="E54" s="12">
        <v>32</v>
      </c>
      <c r="F54" s="8">
        <v>3.59</v>
      </c>
      <c r="G54" s="12">
        <v>2</v>
      </c>
      <c r="H54" s="8">
        <v>0.41</v>
      </c>
      <c r="I54" s="12">
        <v>0</v>
      </c>
    </row>
    <row r="55" spans="2:9" ht="15" customHeight="1" x14ac:dyDescent="0.2">
      <c r="B55" t="s">
        <v>133</v>
      </c>
      <c r="C55" s="12">
        <v>32</v>
      </c>
      <c r="D55" s="8">
        <v>2.2799999999999998</v>
      </c>
      <c r="E55" s="12">
        <v>29</v>
      </c>
      <c r="F55" s="8">
        <v>3.25</v>
      </c>
      <c r="G55" s="12">
        <v>3</v>
      </c>
      <c r="H55" s="8">
        <v>0.61</v>
      </c>
      <c r="I55" s="12">
        <v>0</v>
      </c>
    </row>
    <row r="56" spans="2:9" ht="15" customHeight="1" x14ac:dyDescent="0.2">
      <c r="B56" t="s">
        <v>121</v>
      </c>
      <c r="C56" s="12">
        <v>27</v>
      </c>
      <c r="D56" s="8">
        <v>1.93</v>
      </c>
      <c r="E56" s="12">
        <v>16</v>
      </c>
      <c r="F56" s="8">
        <v>1.79</v>
      </c>
      <c r="G56" s="12">
        <v>11</v>
      </c>
      <c r="H56" s="8">
        <v>2.2400000000000002</v>
      </c>
      <c r="I56" s="12">
        <v>0</v>
      </c>
    </row>
    <row r="57" spans="2:9" ht="15" customHeight="1" x14ac:dyDescent="0.2">
      <c r="B57" t="s">
        <v>122</v>
      </c>
      <c r="C57" s="12">
        <v>26</v>
      </c>
      <c r="D57" s="8">
        <v>1.86</v>
      </c>
      <c r="E57" s="12">
        <v>11</v>
      </c>
      <c r="F57" s="8">
        <v>1.23</v>
      </c>
      <c r="G57" s="12">
        <v>15</v>
      </c>
      <c r="H57" s="8">
        <v>3.06</v>
      </c>
      <c r="I57" s="12">
        <v>0</v>
      </c>
    </row>
    <row r="58" spans="2:9" ht="15" customHeight="1" x14ac:dyDescent="0.2">
      <c r="B58" t="s">
        <v>118</v>
      </c>
      <c r="C58" s="12">
        <v>25</v>
      </c>
      <c r="D58" s="8">
        <v>1.78</v>
      </c>
      <c r="E58" s="12">
        <v>15</v>
      </c>
      <c r="F58" s="8">
        <v>1.68</v>
      </c>
      <c r="G58" s="12">
        <v>10</v>
      </c>
      <c r="H58" s="8">
        <v>2.04</v>
      </c>
      <c r="I58" s="12">
        <v>0</v>
      </c>
    </row>
    <row r="59" spans="2:9" ht="15" customHeight="1" x14ac:dyDescent="0.2">
      <c r="B59" t="s">
        <v>124</v>
      </c>
      <c r="C59" s="12">
        <v>24</v>
      </c>
      <c r="D59" s="8">
        <v>1.71</v>
      </c>
      <c r="E59" s="12">
        <v>12</v>
      </c>
      <c r="F59" s="8">
        <v>1.35</v>
      </c>
      <c r="G59" s="12">
        <v>12</v>
      </c>
      <c r="H59" s="8">
        <v>2.4500000000000002</v>
      </c>
      <c r="I59" s="12">
        <v>0</v>
      </c>
    </row>
    <row r="60" spans="2:9" ht="15" customHeight="1" x14ac:dyDescent="0.2">
      <c r="B60" t="s">
        <v>146</v>
      </c>
      <c r="C60" s="12">
        <v>22</v>
      </c>
      <c r="D60" s="8">
        <v>1.57</v>
      </c>
      <c r="E60" s="12">
        <v>20</v>
      </c>
      <c r="F60" s="8">
        <v>2.2400000000000002</v>
      </c>
      <c r="G60" s="12">
        <v>2</v>
      </c>
      <c r="H60" s="8">
        <v>0.41</v>
      </c>
      <c r="I60" s="12">
        <v>0</v>
      </c>
    </row>
    <row r="61" spans="2:9" ht="15" customHeight="1" x14ac:dyDescent="0.2">
      <c r="B61" t="s">
        <v>127</v>
      </c>
      <c r="C61" s="12">
        <v>21</v>
      </c>
      <c r="D61" s="8">
        <v>1.5</v>
      </c>
      <c r="E61" s="12">
        <v>5</v>
      </c>
      <c r="F61" s="8">
        <v>0.56000000000000005</v>
      </c>
      <c r="G61" s="12">
        <v>15</v>
      </c>
      <c r="H61" s="8">
        <v>3.06</v>
      </c>
      <c r="I61" s="12">
        <v>0</v>
      </c>
    </row>
    <row r="62" spans="2:9" ht="15" customHeight="1" x14ac:dyDescent="0.2">
      <c r="B62" t="s">
        <v>135</v>
      </c>
      <c r="C62" s="12">
        <v>21</v>
      </c>
      <c r="D62" s="8">
        <v>1.5</v>
      </c>
      <c r="E62" s="12">
        <v>14</v>
      </c>
      <c r="F62" s="8">
        <v>1.57</v>
      </c>
      <c r="G62" s="12">
        <v>7</v>
      </c>
      <c r="H62" s="8">
        <v>1.43</v>
      </c>
      <c r="I62" s="12">
        <v>0</v>
      </c>
    </row>
    <row r="63" spans="2:9" ht="15" customHeight="1" x14ac:dyDescent="0.2">
      <c r="B63" t="s">
        <v>161</v>
      </c>
      <c r="C63" s="12">
        <v>18</v>
      </c>
      <c r="D63" s="8">
        <v>1.28</v>
      </c>
      <c r="E63" s="12">
        <v>13</v>
      </c>
      <c r="F63" s="8">
        <v>1.46</v>
      </c>
      <c r="G63" s="12">
        <v>5</v>
      </c>
      <c r="H63" s="8">
        <v>1.02</v>
      </c>
      <c r="I63" s="12">
        <v>0</v>
      </c>
    </row>
    <row r="64" spans="2:9" ht="15" customHeight="1" x14ac:dyDescent="0.2">
      <c r="B64" t="s">
        <v>120</v>
      </c>
      <c r="C64" s="12">
        <v>17</v>
      </c>
      <c r="D64" s="8">
        <v>1.21</v>
      </c>
      <c r="E64" s="12">
        <v>7</v>
      </c>
      <c r="F64" s="8">
        <v>0.78</v>
      </c>
      <c r="G64" s="12">
        <v>10</v>
      </c>
      <c r="H64" s="8">
        <v>2.04</v>
      </c>
      <c r="I64" s="12">
        <v>0</v>
      </c>
    </row>
    <row r="65" spans="2:9" ht="15" customHeight="1" x14ac:dyDescent="0.2">
      <c r="B65" t="s">
        <v>137</v>
      </c>
      <c r="C65" s="12">
        <v>17</v>
      </c>
      <c r="D65" s="8">
        <v>1.21</v>
      </c>
      <c r="E65" s="12">
        <v>8</v>
      </c>
      <c r="F65" s="8">
        <v>0.9</v>
      </c>
      <c r="G65" s="12">
        <v>9</v>
      </c>
      <c r="H65" s="8">
        <v>1.84</v>
      </c>
      <c r="I65" s="12">
        <v>0</v>
      </c>
    </row>
    <row r="66" spans="2:9" ht="15" customHeight="1" x14ac:dyDescent="0.2">
      <c r="B66" t="s">
        <v>125</v>
      </c>
      <c r="C66" s="12">
        <v>17</v>
      </c>
      <c r="D66" s="8">
        <v>1.21</v>
      </c>
      <c r="E66" s="12">
        <v>9</v>
      </c>
      <c r="F66" s="8">
        <v>1.01</v>
      </c>
      <c r="G66" s="12">
        <v>8</v>
      </c>
      <c r="H66" s="8">
        <v>1.63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3489-658D-42B1-8C61-2B0E461EFED0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227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7.0000000000000007E-2</v>
      </c>
      <c r="E5" s="12">
        <v>0</v>
      </c>
      <c r="F5" s="8">
        <v>0</v>
      </c>
      <c r="G5" s="12">
        <v>1</v>
      </c>
      <c r="H5" s="8">
        <v>0.18</v>
      </c>
      <c r="I5" s="12">
        <v>0</v>
      </c>
    </row>
    <row r="6" spans="2:9" ht="15" customHeight="1" x14ac:dyDescent="0.2">
      <c r="B6" t="s">
        <v>47</v>
      </c>
      <c r="C6" s="12">
        <v>254</v>
      </c>
      <c r="D6" s="8">
        <v>17.75</v>
      </c>
      <c r="E6" s="12">
        <v>138</v>
      </c>
      <c r="F6" s="8">
        <v>16.27</v>
      </c>
      <c r="G6" s="12">
        <v>116</v>
      </c>
      <c r="H6" s="8">
        <v>20.420000000000002</v>
      </c>
      <c r="I6" s="12">
        <v>0</v>
      </c>
    </row>
    <row r="7" spans="2:9" ht="15" customHeight="1" x14ac:dyDescent="0.2">
      <c r="B7" t="s">
        <v>48</v>
      </c>
      <c r="C7" s="12">
        <v>271</v>
      </c>
      <c r="D7" s="8">
        <v>18.940000000000001</v>
      </c>
      <c r="E7" s="12">
        <v>144</v>
      </c>
      <c r="F7" s="8">
        <v>16.98</v>
      </c>
      <c r="G7" s="12">
        <v>127</v>
      </c>
      <c r="H7" s="8">
        <v>22.36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7.0000000000000007E-2</v>
      </c>
      <c r="E8" s="12">
        <v>0</v>
      </c>
      <c r="F8" s="8">
        <v>0</v>
      </c>
      <c r="G8" s="12">
        <v>1</v>
      </c>
      <c r="H8" s="8">
        <v>0.18</v>
      </c>
      <c r="I8" s="12">
        <v>0</v>
      </c>
    </row>
    <row r="9" spans="2:9" ht="15" customHeight="1" x14ac:dyDescent="0.2">
      <c r="B9" t="s">
        <v>50</v>
      </c>
      <c r="C9" s="12">
        <v>5</v>
      </c>
      <c r="D9" s="8">
        <v>0.35</v>
      </c>
      <c r="E9" s="12">
        <v>0</v>
      </c>
      <c r="F9" s="8">
        <v>0</v>
      </c>
      <c r="G9" s="12">
        <v>5</v>
      </c>
      <c r="H9" s="8">
        <v>0.88</v>
      </c>
      <c r="I9" s="12">
        <v>0</v>
      </c>
    </row>
    <row r="10" spans="2:9" ht="15" customHeight="1" x14ac:dyDescent="0.2">
      <c r="B10" t="s">
        <v>51</v>
      </c>
      <c r="C10" s="12">
        <v>18</v>
      </c>
      <c r="D10" s="8">
        <v>1.26</v>
      </c>
      <c r="E10" s="12">
        <v>0</v>
      </c>
      <c r="F10" s="8">
        <v>0</v>
      </c>
      <c r="G10" s="12">
        <v>18</v>
      </c>
      <c r="H10" s="8">
        <v>3.17</v>
      </c>
      <c r="I10" s="12">
        <v>0</v>
      </c>
    </row>
    <row r="11" spans="2:9" ht="15" customHeight="1" x14ac:dyDescent="0.2">
      <c r="B11" t="s">
        <v>52</v>
      </c>
      <c r="C11" s="12">
        <v>348</v>
      </c>
      <c r="D11" s="8">
        <v>24.32</v>
      </c>
      <c r="E11" s="12">
        <v>201</v>
      </c>
      <c r="F11" s="8">
        <v>23.7</v>
      </c>
      <c r="G11" s="12">
        <v>147</v>
      </c>
      <c r="H11" s="8">
        <v>25.88</v>
      </c>
      <c r="I11" s="12">
        <v>0</v>
      </c>
    </row>
    <row r="12" spans="2:9" ht="15" customHeight="1" x14ac:dyDescent="0.2">
      <c r="B12" t="s">
        <v>53</v>
      </c>
      <c r="C12" s="12">
        <v>13</v>
      </c>
      <c r="D12" s="8">
        <v>0.91</v>
      </c>
      <c r="E12" s="12">
        <v>3</v>
      </c>
      <c r="F12" s="8">
        <v>0.35</v>
      </c>
      <c r="G12" s="12">
        <v>10</v>
      </c>
      <c r="H12" s="8">
        <v>1.76</v>
      </c>
      <c r="I12" s="12">
        <v>0</v>
      </c>
    </row>
    <row r="13" spans="2:9" ht="15" customHeight="1" x14ac:dyDescent="0.2">
      <c r="B13" t="s">
        <v>54</v>
      </c>
      <c r="C13" s="12">
        <v>71</v>
      </c>
      <c r="D13" s="8">
        <v>4.96</v>
      </c>
      <c r="E13" s="12">
        <v>35</v>
      </c>
      <c r="F13" s="8">
        <v>4.13</v>
      </c>
      <c r="G13" s="12">
        <v>36</v>
      </c>
      <c r="H13" s="8">
        <v>6.34</v>
      </c>
      <c r="I13" s="12">
        <v>0</v>
      </c>
    </row>
    <row r="14" spans="2:9" ht="15" customHeight="1" x14ac:dyDescent="0.2">
      <c r="B14" t="s">
        <v>55</v>
      </c>
      <c r="C14" s="12">
        <v>38</v>
      </c>
      <c r="D14" s="8">
        <v>2.66</v>
      </c>
      <c r="E14" s="12">
        <v>24</v>
      </c>
      <c r="F14" s="8">
        <v>2.83</v>
      </c>
      <c r="G14" s="12">
        <v>13</v>
      </c>
      <c r="H14" s="8">
        <v>2.29</v>
      </c>
      <c r="I14" s="12">
        <v>0</v>
      </c>
    </row>
    <row r="15" spans="2:9" ht="15" customHeight="1" x14ac:dyDescent="0.2">
      <c r="B15" t="s">
        <v>56</v>
      </c>
      <c r="C15" s="12">
        <v>126</v>
      </c>
      <c r="D15" s="8">
        <v>8.81</v>
      </c>
      <c r="E15" s="12">
        <v>95</v>
      </c>
      <c r="F15" s="8">
        <v>11.2</v>
      </c>
      <c r="G15" s="12">
        <v>30</v>
      </c>
      <c r="H15" s="8">
        <v>5.28</v>
      </c>
      <c r="I15" s="12">
        <v>0</v>
      </c>
    </row>
    <row r="16" spans="2:9" ht="15" customHeight="1" x14ac:dyDescent="0.2">
      <c r="B16" t="s">
        <v>57</v>
      </c>
      <c r="C16" s="12">
        <v>146</v>
      </c>
      <c r="D16" s="8">
        <v>10.199999999999999</v>
      </c>
      <c r="E16" s="12">
        <v>124</v>
      </c>
      <c r="F16" s="8">
        <v>14.62</v>
      </c>
      <c r="G16" s="12">
        <v>21</v>
      </c>
      <c r="H16" s="8">
        <v>3.7</v>
      </c>
      <c r="I16" s="12">
        <v>1</v>
      </c>
    </row>
    <row r="17" spans="2:9" ht="15" customHeight="1" x14ac:dyDescent="0.2">
      <c r="B17" t="s">
        <v>58</v>
      </c>
      <c r="C17" s="12">
        <v>52</v>
      </c>
      <c r="D17" s="8">
        <v>3.63</v>
      </c>
      <c r="E17" s="12">
        <v>35</v>
      </c>
      <c r="F17" s="8">
        <v>4.13</v>
      </c>
      <c r="G17" s="12">
        <v>13</v>
      </c>
      <c r="H17" s="8">
        <v>2.29</v>
      </c>
      <c r="I17" s="12">
        <v>0</v>
      </c>
    </row>
    <row r="18" spans="2:9" ht="15" customHeight="1" x14ac:dyDescent="0.2">
      <c r="B18" t="s">
        <v>59</v>
      </c>
      <c r="C18" s="12">
        <v>50</v>
      </c>
      <c r="D18" s="8">
        <v>3.49</v>
      </c>
      <c r="E18" s="12">
        <v>28</v>
      </c>
      <c r="F18" s="8">
        <v>3.3</v>
      </c>
      <c r="G18" s="12">
        <v>16</v>
      </c>
      <c r="H18" s="8">
        <v>2.82</v>
      </c>
      <c r="I18" s="12">
        <v>0</v>
      </c>
    </row>
    <row r="19" spans="2:9" ht="15" customHeight="1" x14ac:dyDescent="0.2">
      <c r="B19" t="s">
        <v>60</v>
      </c>
      <c r="C19" s="12">
        <v>37</v>
      </c>
      <c r="D19" s="8">
        <v>2.59</v>
      </c>
      <c r="E19" s="12">
        <v>21</v>
      </c>
      <c r="F19" s="8">
        <v>2.48</v>
      </c>
      <c r="G19" s="12">
        <v>14</v>
      </c>
      <c r="H19" s="8">
        <v>2.46</v>
      </c>
      <c r="I19" s="12">
        <v>2</v>
      </c>
    </row>
    <row r="20" spans="2:9" ht="15" customHeight="1" x14ac:dyDescent="0.2">
      <c r="B20" s="9" t="s">
        <v>191</v>
      </c>
      <c r="C20" s="12">
        <f>SUM(LTBL_22226[総数／事業所数])</f>
        <v>1431</v>
      </c>
      <c r="E20" s="12">
        <f>SUBTOTAL(109,LTBL_22226[個人／事業所数])</f>
        <v>848</v>
      </c>
      <c r="G20" s="12">
        <f>SUBTOTAL(109,LTBL_22226[法人／事業所数])</f>
        <v>568</v>
      </c>
      <c r="I20" s="12">
        <f>SUBTOTAL(109,LTBL_22226[法人以外の団体／事業所数])</f>
        <v>3</v>
      </c>
    </row>
    <row r="21" spans="2:9" ht="15" customHeight="1" x14ac:dyDescent="0.2">
      <c r="E21" s="11">
        <f>LTBL_22226[[#Totals],[個人／事業所数]]/LTBL_22226[[#Totals],[総数／事業所数]]</f>
        <v>0.59259259259259256</v>
      </c>
      <c r="G21" s="11">
        <f>LTBL_22226[[#Totals],[法人／事業所数]]/LTBL_22226[[#Totals],[総数／事業所数]]</f>
        <v>0.39692522711390638</v>
      </c>
      <c r="I21" s="11">
        <f>LTBL_22226[[#Totals],[法人以外の団体／事業所数]]/LTBL_22226[[#Totals],[総数／事業所数]]</f>
        <v>2.0964360587002098E-3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126</v>
      </c>
      <c r="D24" s="8">
        <v>8.81</v>
      </c>
      <c r="E24" s="12">
        <v>118</v>
      </c>
      <c r="F24" s="8">
        <v>13.92</v>
      </c>
      <c r="G24" s="12">
        <v>8</v>
      </c>
      <c r="H24" s="8">
        <v>1.41</v>
      </c>
      <c r="I24" s="12">
        <v>0</v>
      </c>
    </row>
    <row r="25" spans="2:9" ht="15" customHeight="1" x14ac:dyDescent="0.2">
      <c r="B25" t="s">
        <v>69</v>
      </c>
      <c r="C25" s="12">
        <v>107</v>
      </c>
      <c r="D25" s="8">
        <v>7.48</v>
      </c>
      <c r="E25" s="12">
        <v>57</v>
      </c>
      <c r="F25" s="8">
        <v>6.72</v>
      </c>
      <c r="G25" s="12">
        <v>50</v>
      </c>
      <c r="H25" s="8">
        <v>8.8000000000000007</v>
      </c>
      <c r="I25" s="12">
        <v>0</v>
      </c>
    </row>
    <row r="26" spans="2:9" ht="15" customHeight="1" x14ac:dyDescent="0.2">
      <c r="B26" t="s">
        <v>84</v>
      </c>
      <c r="C26" s="12">
        <v>107</v>
      </c>
      <c r="D26" s="8">
        <v>7.48</v>
      </c>
      <c r="E26" s="12">
        <v>87</v>
      </c>
      <c r="F26" s="8">
        <v>10.26</v>
      </c>
      <c r="G26" s="12">
        <v>20</v>
      </c>
      <c r="H26" s="8">
        <v>3.52</v>
      </c>
      <c r="I26" s="12">
        <v>0</v>
      </c>
    </row>
    <row r="27" spans="2:9" ht="15" customHeight="1" x14ac:dyDescent="0.2">
      <c r="B27" t="s">
        <v>79</v>
      </c>
      <c r="C27" s="12">
        <v>105</v>
      </c>
      <c r="D27" s="8">
        <v>7.34</v>
      </c>
      <c r="E27" s="12">
        <v>64</v>
      </c>
      <c r="F27" s="8">
        <v>7.55</v>
      </c>
      <c r="G27" s="12">
        <v>41</v>
      </c>
      <c r="H27" s="8">
        <v>7.22</v>
      </c>
      <c r="I27" s="12">
        <v>0</v>
      </c>
    </row>
    <row r="28" spans="2:9" ht="15" customHeight="1" x14ac:dyDescent="0.2">
      <c r="B28" t="s">
        <v>97</v>
      </c>
      <c r="C28" s="12">
        <v>102</v>
      </c>
      <c r="D28" s="8">
        <v>7.13</v>
      </c>
      <c r="E28" s="12">
        <v>67</v>
      </c>
      <c r="F28" s="8">
        <v>7.9</v>
      </c>
      <c r="G28" s="12">
        <v>35</v>
      </c>
      <c r="H28" s="8">
        <v>6.16</v>
      </c>
      <c r="I28" s="12">
        <v>0</v>
      </c>
    </row>
    <row r="29" spans="2:9" ht="15" customHeight="1" x14ac:dyDescent="0.2">
      <c r="B29" t="s">
        <v>70</v>
      </c>
      <c r="C29" s="12">
        <v>101</v>
      </c>
      <c r="D29" s="8">
        <v>7.06</v>
      </c>
      <c r="E29" s="12">
        <v>67</v>
      </c>
      <c r="F29" s="8">
        <v>7.9</v>
      </c>
      <c r="G29" s="12">
        <v>34</v>
      </c>
      <c r="H29" s="8">
        <v>5.99</v>
      </c>
      <c r="I29" s="12">
        <v>0</v>
      </c>
    </row>
    <row r="30" spans="2:9" ht="15" customHeight="1" x14ac:dyDescent="0.2">
      <c r="B30" t="s">
        <v>77</v>
      </c>
      <c r="C30" s="12">
        <v>83</v>
      </c>
      <c r="D30" s="8">
        <v>5.8</v>
      </c>
      <c r="E30" s="12">
        <v>64</v>
      </c>
      <c r="F30" s="8">
        <v>7.55</v>
      </c>
      <c r="G30" s="12">
        <v>19</v>
      </c>
      <c r="H30" s="8">
        <v>3.35</v>
      </c>
      <c r="I30" s="12">
        <v>0</v>
      </c>
    </row>
    <row r="31" spans="2:9" ht="15" customHeight="1" x14ac:dyDescent="0.2">
      <c r="B31" t="s">
        <v>78</v>
      </c>
      <c r="C31" s="12">
        <v>54</v>
      </c>
      <c r="D31" s="8">
        <v>3.77</v>
      </c>
      <c r="E31" s="12">
        <v>30</v>
      </c>
      <c r="F31" s="8">
        <v>3.54</v>
      </c>
      <c r="G31" s="12">
        <v>24</v>
      </c>
      <c r="H31" s="8">
        <v>4.2300000000000004</v>
      </c>
      <c r="I31" s="12">
        <v>0</v>
      </c>
    </row>
    <row r="32" spans="2:9" ht="15" customHeight="1" x14ac:dyDescent="0.2">
      <c r="B32" t="s">
        <v>86</v>
      </c>
      <c r="C32" s="12">
        <v>52</v>
      </c>
      <c r="D32" s="8">
        <v>3.63</v>
      </c>
      <c r="E32" s="12">
        <v>35</v>
      </c>
      <c r="F32" s="8">
        <v>4.13</v>
      </c>
      <c r="G32" s="12">
        <v>13</v>
      </c>
      <c r="H32" s="8">
        <v>2.29</v>
      </c>
      <c r="I32" s="12">
        <v>0</v>
      </c>
    </row>
    <row r="33" spans="2:9" ht="15" customHeight="1" x14ac:dyDescent="0.2">
      <c r="B33" t="s">
        <v>81</v>
      </c>
      <c r="C33" s="12">
        <v>49</v>
      </c>
      <c r="D33" s="8">
        <v>3.42</v>
      </c>
      <c r="E33" s="12">
        <v>28</v>
      </c>
      <c r="F33" s="8">
        <v>3.3</v>
      </c>
      <c r="G33" s="12">
        <v>21</v>
      </c>
      <c r="H33" s="8">
        <v>3.7</v>
      </c>
      <c r="I33" s="12">
        <v>0</v>
      </c>
    </row>
    <row r="34" spans="2:9" ht="15" customHeight="1" x14ac:dyDescent="0.2">
      <c r="B34" t="s">
        <v>71</v>
      </c>
      <c r="C34" s="12">
        <v>46</v>
      </c>
      <c r="D34" s="8">
        <v>3.21</v>
      </c>
      <c r="E34" s="12">
        <v>14</v>
      </c>
      <c r="F34" s="8">
        <v>1.65</v>
      </c>
      <c r="G34" s="12">
        <v>32</v>
      </c>
      <c r="H34" s="8">
        <v>5.63</v>
      </c>
      <c r="I34" s="12">
        <v>0</v>
      </c>
    </row>
    <row r="35" spans="2:9" ht="15" customHeight="1" x14ac:dyDescent="0.2">
      <c r="B35" t="s">
        <v>76</v>
      </c>
      <c r="C35" s="12">
        <v>31</v>
      </c>
      <c r="D35" s="8">
        <v>2.17</v>
      </c>
      <c r="E35" s="12">
        <v>19</v>
      </c>
      <c r="F35" s="8">
        <v>2.2400000000000002</v>
      </c>
      <c r="G35" s="12">
        <v>12</v>
      </c>
      <c r="H35" s="8">
        <v>2.11</v>
      </c>
      <c r="I35" s="12">
        <v>0</v>
      </c>
    </row>
    <row r="36" spans="2:9" ht="15" customHeight="1" x14ac:dyDescent="0.2">
      <c r="B36" t="s">
        <v>87</v>
      </c>
      <c r="C36" s="12">
        <v>29</v>
      </c>
      <c r="D36" s="8">
        <v>2.0299999999999998</v>
      </c>
      <c r="E36" s="12">
        <v>28</v>
      </c>
      <c r="F36" s="8">
        <v>3.3</v>
      </c>
      <c r="G36" s="12">
        <v>1</v>
      </c>
      <c r="H36" s="8">
        <v>0.18</v>
      </c>
      <c r="I36" s="12">
        <v>0</v>
      </c>
    </row>
    <row r="37" spans="2:9" ht="15" customHeight="1" x14ac:dyDescent="0.2">
      <c r="B37" t="s">
        <v>72</v>
      </c>
      <c r="C37" s="12">
        <v>24</v>
      </c>
      <c r="D37" s="8">
        <v>1.68</v>
      </c>
      <c r="E37" s="12">
        <v>9</v>
      </c>
      <c r="F37" s="8">
        <v>1.06</v>
      </c>
      <c r="G37" s="12">
        <v>15</v>
      </c>
      <c r="H37" s="8">
        <v>2.64</v>
      </c>
      <c r="I37" s="12">
        <v>0</v>
      </c>
    </row>
    <row r="38" spans="2:9" ht="15" customHeight="1" x14ac:dyDescent="0.2">
      <c r="B38" t="s">
        <v>107</v>
      </c>
      <c r="C38" s="12">
        <v>23</v>
      </c>
      <c r="D38" s="8">
        <v>1.61</v>
      </c>
      <c r="E38" s="12">
        <v>11</v>
      </c>
      <c r="F38" s="8">
        <v>1.3</v>
      </c>
      <c r="G38" s="12">
        <v>12</v>
      </c>
      <c r="H38" s="8">
        <v>2.11</v>
      </c>
      <c r="I38" s="12">
        <v>0</v>
      </c>
    </row>
    <row r="39" spans="2:9" ht="15" customHeight="1" x14ac:dyDescent="0.2">
      <c r="B39" t="s">
        <v>90</v>
      </c>
      <c r="C39" s="12">
        <v>21</v>
      </c>
      <c r="D39" s="8">
        <v>1.47</v>
      </c>
      <c r="E39" s="12">
        <v>0</v>
      </c>
      <c r="F39" s="8">
        <v>0</v>
      </c>
      <c r="G39" s="12">
        <v>15</v>
      </c>
      <c r="H39" s="8">
        <v>2.64</v>
      </c>
      <c r="I39" s="12">
        <v>0</v>
      </c>
    </row>
    <row r="40" spans="2:9" ht="15" customHeight="1" x14ac:dyDescent="0.2">
      <c r="B40" t="s">
        <v>96</v>
      </c>
      <c r="C40" s="12">
        <v>19</v>
      </c>
      <c r="D40" s="8">
        <v>1.33</v>
      </c>
      <c r="E40" s="12">
        <v>12</v>
      </c>
      <c r="F40" s="8">
        <v>1.42</v>
      </c>
      <c r="G40" s="12">
        <v>7</v>
      </c>
      <c r="H40" s="8">
        <v>1.23</v>
      </c>
      <c r="I40" s="12">
        <v>0</v>
      </c>
    </row>
    <row r="41" spans="2:9" ht="15" customHeight="1" x14ac:dyDescent="0.2">
      <c r="B41" t="s">
        <v>74</v>
      </c>
      <c r="C41" s="12">
        <v>19</v>
      </c>
      <c r="D41" s="8">
        <v>1.33</v>
      </c>
      <c r="E41" s="12">
        <v>4</v>
      </c>
      <c r="F41" s="8">
        <v>0.47</v>
      </c>
      <c r="G41" s="12">
        <v>15</v>
      </c>
      <c r="H41" s="8">
        <v>2.64</v>
      </c>
      <c r="I41" s="12">
        <v>0</v>
      </c>
    </row>
    <row r="42" spans="2:9" ht="15" customHeight="1" x14ac:dyDescent="0.2">
      <c r="B42" t="s">
        <v>83</v>
      </c>
      <c r="C42" s="12">
        <v>19</v>
      </c>
      <c r="D42" s="8">
        <v>1.33</v>
      </c>
      <c r="E42" s="12">
        <v>11</v>
      </c>
      <c r="F42" s="8">
        <v>1.3</v>
      </c>
      <c r="G42" s="12">
        <v>8</v>
      </c>
      <c r="H42" s="8">
        <v>1.41</v>
      </c>
      <c r="I42" s="12">
        <v>0</v>
      </c>
    </row>
    <row r="43" spans="2:9" ht="15" customHeight="1" x14ac:dyDescent="0.2">
      <c r="B43" t="s">
        <v>94</v>
      </c>
      <c r="C43" s="12">
        <v>17</v>
      </c>
      <c r="D43" s="8">
        <v>1.19</v>
      </c>
      <c r="E43" s="12">
        <v>4</v>
      </c>
      <c r="F43" s="8">
        <v>0.47</v>
      </c>
      <c r="G43" s="12">
        <v>13</v>
      </c>
      <c r="H43" s="8">
        <v>2.29</v>
      </c>
      <c r="I43" s="12">
        <v>0</v>
      </c>
    </row>
    <row r="44" spans="2:9" ht="15" customHeight="1" x14ac:dyDescent="0.2">
      <c r="B44" t="s">
        <v>82</v>
      </c>
      <c r="C44" s="12">
        <v>17</v>
      </c>
      <c r="D44" s="8">
        <v>1.19</v>
      </c>
      <c r="E44" s="12">
        <v>13</v>
      </c>
      <c r="F44" s="8">
        <v>1.53</v>
      </c>
      <c r="G44" s="12">
        <v>4</v>
      </c>
      <c r="H44" s="8">
        <v>0.7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157</v>
      </c>
      <c r="C48" s="12">
        <v>100</v>
      </c>
      <c r="D48" s="8">
        <v>6.99</v>
      </c>
      <c r="E48" s="12">
        <v>67</v>
      </c>
      <c r="F48" s="8">
        <v>7.9</v>
      </c>
      <c r="G48" s="12">
        <v>33</v>
      </c>
      <c r="H48" s="8">
        <v>5.81</v>
      </c>
      <c r="I48" s="12">
        <v>0</v>
      </c>
    </row>
    <row r="49" spans="2:9" ht="15" customHeight="1" x14ac:dyDescent="0.2">
      <c r="B49" t="s">
        <v>132</v>
      </c>
      <c r="C49" s="12">
        <v>53</v>
      </c>
      <c r="D49" s="8">
        <v>3.7</v>
      </c>
      <c r="E49" s="12">
        <v>52</v>
      </c>
      <c r="F49" s="8">
        <v>6.13</v>
      </c>
      <c r="G49" s="12">
        <v>1</v>
      </c>
      <c r="H49" s="8">
        <v>0.18</v>
      </c>
      <c r="I49" s="12">
        <v>0</v>
      </c>
    </row>
    <row r="50" spans="2:9" ht="15" customHeight="1" x14ac:dyDescent="0.2">
      <c r="B50" t="s">
        <v>131</v>
      </c>
      <c r="C50" s="12">
        <v>48</v>
      </c>
      <c r="D50" s="8">
        <v>3.35</v>
      </c>
      <c r="E50" s="12">
        <v>46</v>
      </c>
      <c r="F50" s="8">
        <v>5.42</v>
      </c>
      <c r="G50" s="12">
        <v>2</v>
      </c>
      <c r="H50" s="8">
        <v>0.35</v>
      </c>
      <c r="I50" s="12">
        <v>0</v>
      </c>
    </row>
    <row r="51" spans="2:9" ht="15" customHeight="1" x14ac:dyDescent="0.2">
      <c r="B51" t="s">
        <v>118</v>
      </c>
      <c r="C51" s="12">
        <v>47</v>
      </c>
      <c r="D51" s="8">
        <v>3.28</v>
      </c>
      <c r="E51" s="12">
        <v>32</v>
      </c>
      <c r="F51" s="8">
        <v>3.77</v>
      </c>
      <c r="G51" s="12">
        <v>15</v>
      </c>
      <c r="H51" s="8">
        <v>2.64</v>
      </c>
      <c r="I51" s="12">
        <v>0</v>
      </c>
    </row>
    <row r="52" spans="2:9" ht="15" customHeight="1" x14ac:dyDescent="0.2">
      <c r="B52" t="s">
        <v>122</v>
      </c>
      <c r="C52" s="12">
        <v>42</v>
      </c>
      <c r="D52" s="8">
        <v>2.94</v>
      </c>
      <c r="E52" s="12">
        <v>22</v>
      </c>
      <c r="F52" s="8">
        <v>2.59</v>
      </c>
      <c r="G52" s="12">
        <v>20</v>
      </c>
      <c r="H52" s="8">
        <v>3.52</v>
      </c>
      <c r="I52" s="12">
        <v>0</v>
      </c>
    </row>
    <row r="53" spans="2:9" ht="15" customHeight="1" x14ac:dyDescent="0.2">
      <c r="B53" t="s">
        <v>116</v>
      </c>
      <c r="C53" s="12">
        <v>33</v>
      </c>
      <c r="D53" s="8">
        <v>2.31</v>
      </c>
      <c r="E53" s="12">
        <v>14</v>
      </c>
      <c r="F53" s="8">
        <v>1.65</v>
      </c>
      <c r="G53" s="12">
        <v>19</v>
      </c>
      <c r="H53" s="8">
        <v>3.35</v>
      </c>
      <c r="I53" s="12">
        <v>0</v>
      </c>
    </row>
    <row r="54" spans="2:9" ht="15" customHeight="1" x14ac:dyDescent="0.2">
      <c r="B54" t="s">
        <v>126</v>
      </c>
      <c r="C54" s="12">
        <v>33</v>
      </c>
      <c r="D54" s="8">
        <v>2.31</v>
      </c>
      <c r="E54" s="12">
        <v>24</v>
      </c>
      <c r="F54" s="8">
        <v>2.83</v>
      </c>
      <c r="G54" s="12">
        <v>9</v>
      </c>
      <c r="H54" s="8">
        <v>1.58</v>
      </c>
      <c r="I54" s="12">
        <v>0</v>
      </c>
    </row>
    <row r="55" spans="2:9" ht="15" customHeight="1" x14ac:dyDescent="0.2">
      <c r="B55" t="s">
        <v>121</v>
      </c>
      <c r="C55" s="12">
        <v>30</v>
      </c>
      <c r="D55" s="8">
        <v>2.1</v>
      </c>
      <c r="E55" s="12">
        <v>21</v>
      </c>
      <c r="F55" s="8">
        <v>2.48</v>
      </c>
      <c r="G55" s="12">
        <v>9</v>
      </c>
      <c r="H55" s="8">
        <v>1.58</v>
      </c>
      <c r="I55" s="12">
        <v>0</v>
      </c>
    </row>
    <row r="56" spans="2:9" ht="15" customHeight="1" x14ac:dyDescent="0.2">
      <c r="B56" t="s">
        <v>124</v>
      </c>
      <c r="C56" s="12">
        <v>29</v>
      </c>
      <c r="D56" s="8">
        <v>2.0299999999999998</v>
      </c>
      <c r="E56" s="12">
        <v>22</v>
      </c>
      <c r="F56" s="8">
        <v>2.59</v>
      </c>
      <c r="G56" s="12">
        <v>7</v>
      </c>
      <c r="H56" s="8">
        <v>1.23</v>
      </c>
      <c r="I56" s="12">
        <v>0</v>
      </c>
    </row>
    <row r="57" spans="2:9" ht="15" customHeight="1" x14ac:dyDescent="0.2">
      <c r="B57" t="s">
        <v>129</v>
      </c>
      <c r="C57" s="12">
        <v>29</v>
      </c>
      <c r="D57" s="8">
        <v>2.0299999999999998</v>
      </c>
      <c r="E57" s="12">
        <v>27</v>
      </c>
      <c r="F57" s="8">
        <v>3.18</v>
      </c>
      <c r="G57" s="12">
        <v>2</v>
      </c>
      <c r="H57" s="8">
        <v>0.35</v>
      </c>
      <c r="I57" s="12">
        <v>0</v>
      </c>
    </row>
    <row r="58" spans="2:9" ht="15" customHeight="1" x14ac:dyDescent="0.2">
      <c r="B58" t="s">
        <v>136</v>
      </c>
      <c r="C58" s="12">
        <v>27</v>
      </c>
      <c r="D58" s="8">
        <v>1.89</v>
      </c>
      <c r="E58" s="12">
        <v>22</v>
      </c>
      <c r="F58" s="8">
        <v>2.59</v>
      </c>
      <c r="G58" s="12">
        <v>5</v>
      </c>
      <c r="H58" s="8">
        <v>0.88</v>
      </c>
      <c r="I58" s="12">
        <v>0</v>
      </c>
    </row>
    <row r="59" spans="2:9" ht="15" customHeight="1" x14ac:dyDescent="0.2">
      <c r="B59" t="s">
        <v>156</v>
      </c>
      <c r="C59" s="12">
        <v>23</v>
      </c>
      <c r="D59" s="8">
        <v>1.61</v>
      </c>
      <c r="E59" s="12">
        <v>21</v>
      </c>
      <c r="F59" s="8">
        <v>2.48</v>
      </c>
      <c r="G59" s="12">
        <v>2</v>
      </c>
      <c r="H59" s="8">
        <v>0.35</v>
      </c>
      <c r="I59" s="12">
        <v>0</v>
      </c>
    </row>
    <row r="60" spans="2:9" ht="15" customHeight="1" x14ac:dyDescent="0.2">
      <c r="B60" t="s">
        <v>119</v>
      </c>
      <c r="C60" s="12">
        <v>22</v>
      </c>
      <c r="D60" s="8">
        <v>1.54</v>
      </c>
      <c r="E60" s="12">
        <v>9</v>
      </c>
      <c r="F60" s="8">
        <v>1.06</v>
      </c>
      <c r="G60" s="12">
        <v>13</v>
      </c>
      <c r="H60" s="8">
        <v>2.29</v>
      </c>
      <c r="I60" s="12">
        <v>0</v>
      </c>
    </row>
    <row r="61" spans="2:9" ht="15" customHeight="1" x14ac:dyDescent="0.2">
      <c r="B61" t="s">
        <v>153</v>
      </c>
      <c r="C61" s="12">
        <v>22</v>
      </c>
      <c r="D61" s="8">
        <v>1.54</v>
      </c>
      <c r="E61" s="12">
        <v>20</v>
      </c>
      <c r="F61" s="8">
        <v>2.36</v>
      </c>
      <c r="G61" s="12">
        <v>2</v>
      </c>
      <c r="H61" s="8">
        <v>0.35</v>
      </c>
      <c r="I61" s="12">
        <v>0</v>
      </c>
    </row>
    <row r="62" spans="2:9" ht="15" customHeight="1" x14ac:dyDescent="0.2">
      <c r="B62" t="s">
        <v>128</v>
      </c>
      <c r="C62" s="12">
        <v>21</v>
      </c>
      <c r="D62" s="8">
        <v>1.47</v>
      </c>
      <c r="E62" s="12">
        <v>17</v>
      </c>
      <c r="F62" s="8">
        <v>2</v>
      </c>
      <c r="G62" s="12">
        <v>4</v>
      </c>
      <c r="H62" s="8">
        <v>0.7</v>
      </c>
      <c r="I62" s="12">
        <v>0</v>
      </c>
    </row>
    <row r="63" spans="2:9" ht="15" customHeight="1" x14ac:dyDescent="0.2">
      <c r="B63" t="s">
        <v>130</v>
      </c>
      <c r="C63" s="12">
        <v>21</v>
      </c>
      <c r="D63" s="8">
        <v>1.47</v>
      </c>
      <c r="E63" s="12">
        <v>13</v>
      </c>
      <c r="F63" s="8">
        <v>1.53</v>
      </c>
      <c r="G63" s="12">
        <v>8</v>
      </c>
      <c r="H63" s="8">
        <v>1.41</v>
      </c>
      <c r="I63" s="12">
        <v>0</v>
      </c>
    </row>
    <row r="64" spans="2:9" ht="15" customHeight="1" x14ac:dyDescent="0.2">
      <c r="B64" t="s">
        <v>168</v>
      </c>
      <c r="C64" s="12">
        <v>20</v>
      </c>
      <c r="D64" s="8">
        <v>1.4</v>
      </c>
      <c r="E64" s="12">
        <v>14</v>
      </c>
      <c r="F64" s="8">
        <v>1.65</v>
      </c>
      <c r="G64" s="12">
        <v>6</v>
      </c>
      <c r="H64" s="8">
        <v>1.06</v>
      </c>
      <c r="I64" s="12">
        <v>0</v>
      </c>
    </row>
    <row r="65" spans="2:9" ht="15" customHeight="1" x14ac:dyDescent="0.2">
      <c r="B65" t="s">
        <v>133</v>
      </c>
      <c r="C65" s="12">
        <v>20</v>
      </c>
      <c r="D65" s="8">
        <v>1.4</v>
      </c>
      <c r="E65" s="12">
        <v>13</v>
      </c>
      <c r="F65" s="8">
        <v>1.53</v>
      </c>
      <c r="G65" s="12">
        <v>7</v>
      </c>
      <c r="H65" s="8">
        <v>1.23</v>
      </c>
      <c r="I65" s="12">
        <v>0</v>
      </c>
    </row>
    <row r="66" spans="2:9" ht="15" customHeight="1" x14ac:dyDescent="0.2">
      <c r="B66" t="s">
        <v>175</v>
      </c>
      <c r="C66" s="12">
        <v>19</v>
      </c>
      <c r="D66" s="8">
        <v>1.33</v>
      </c>
      <c r="E66" s="12">
        <v>8</v>
      </c>
      <c r="F66" s="8">
        <v>0.94</v>
      </c>
      <c r="G66" s="12">
        <v>11</v>
      </c>
      <c r="H66" s="8">
        <v>1.94</v>
      </c>
      <c r="I66" s="12">
        <v>0</v>
      </c>
    </row>
    <row r="67" spans="2:9" ht="15" customHeight="1" x14ac:dyDescent="0.2">
      <c r="B67" t="s">
        <v>134</v>
      </c>
      <c r="C67" s="12">
        <v>19</v>
      </c>
      <c r="D67" s="8">
        <v>1.33</v>
      </c>
      <c r="E67" s="12">
        <v>18</v>
      </c>
      <c r="F67" s="8">
        <v>2.12</v>
      </c>
      <c r="G67" s="12">
        <v>1</v>
      </c>
      <c r="H67" s="8">
        <v>0.18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5263D-41AF-4D54-AEEA-48BA86DA4934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228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85</v>
      </c>
      <c r="D6" s="8">
        <v>17.63</v>
      </c>
      <c r="E6" s="12">
        <v>49</v>
      </c>
      <c r="F6" s="8">
        <v>16.07</v>
      </c>
      <c r="G6" s="12">
        <v>36</v>
      </c>
      <c r="H6" s="8">
        <v>20.81</v>
      </c>
      <c r="I6" s="12">
        <v>0</v>
      </c>
    </row>
    <row r="7" spans="2:9" ht="15" customHeight="1" x14ac:dyDescent="0.2">
      <c r="B7" t="s">
        <v>48</v>
      </c>
      <c r="C7" s="12">
        <v>16</v>
      </c>
      <c r="D7" s="8">
        <v>3.32</v>
      </c>
      <c r="E7" s="12">
        <v>8</v>
      </c>
      <c r="F7" s="8">
        <v>2.62</v>
      </c>
      <c r="G7" s="12">
        <v>8</v>
      </c>
      <c r="H7" s="8">
        <v>4.62</v>
      </c>
      <c r="I7" s="12">
        <v>0</v>
      </c>
    </row>
    <row r="8" spans="2:9" ht="15" customHeight="1" x14ac:dyDescent="0.2">
      <c r="B8" t="s">
        <v>49</v>
      </c>
      <c r="C8" s="12">
        <v>2</v>
      </c>
      <c r="D8" s="8">
        <v>0.41</v>
      </c>
      <c r="E8" s="12">
        <v>0</v>
      </c>
      <c r="F8" s="8">
        <v>0</v>
      </c>
      <c r="G8" s="12">
        <v>2</v>
      </c>
      <c r="H8" s="8">
        <v>1.1599999999999999</v>
      </c>
      <c r="I8" s="12">
        <v>0</v>
      </c>
    </row>
    <row r="9" spans="2:9" ht="15" customHeight="1" x14ac:dyDescent="0.2">
      <c r="B9" t="s">
        <v>50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51</v>
      </c>
      <c r="C10" s="12">
        <v>3</v>
      </c>
      <c r="D10" s="8">
        <v>0.62</v>
      </c>
      <c r="E10" s="12">
        <v>1</v>
      </c>
      <c r="F10" s="8">
        <v>0.33</v>
      </c>
      <c r="G10" s="12">
        <v>2</v>
      </c>
      <c r="H10" s="8">
        <v>1.1599999999999999</v>
      </c>
      <c r="I10" s="12">
        <v>0</v>
      </c>
    </row>
    <row r="11" spans="2:9" ht="15" customHeight="1" x14ac:dyDescent="0.2">
      <c r="B11" t="s">
        <v>52</v>
      </c>
      <c r="C11" s="12">
        <v>115</v>
      </c>
      <c r="D11" s="8">
        <v>23.86</v>
      </c>
      <c r="E11" s="12">
        <v>65</v>
      </c>
      <c r="F11" s="8">
        <v>21.31</v>
      </c>
      <c r="G11" s="12">
        <v>50</v>
      </c>
      <c r="H11" s="8">
        <v>28.9</v>
      </c>
      <c r="I11" s="12">
        <v>0</v>
      </c>
    </row>
    <row r="12" spans="2:9" ht="15" customHeight="1" x14ac:dyDescent="0.2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54</v>
      </c>
      <c r="C13" s="12">
        <v>63</v>
      </c>
      <c r="D13" s="8">
        <v>13.07</v>
      </c>
      <c r="E13" s="12">
        <v>35</v>
      </c>
      <c r="F13" s="8">
        <v>11.48</v>
      </c>
      <c r="G13" s="12">
        <v>28</v>
      </c>
      <c r="H13" s="8">
        <v>16.18</v>
      </c>
      <c r="I13" s="12">
        <v>0</v>
      </c>
    </row>
    <row r="14" spans="2:9" ht="15" customHeight="1" x14ac:dyDescent="0.2">
      <c r="B14" t="s">
        <v>55</v>
      </c>
      <c r="C14" s="12">
        <v>12</v>
      </c>
      <c r="D14" s="8">
        <v>2.4900000000000002</v>
      </c>
      <c r="E14" s="12">
        <v>9</v>
      </c>
      <c r="F14" s="8">
        <v>2.95</v>
      </c>
      <c r="G14" s="12">
        <v>3</v>
      </c>
      <c r="H14" s="8">
        <v>1.73</v>
      </c>
      <c r="I14" s="12">
        <v>0</v>
      </c>
    </row>
    <row r="15" spans="2:9" ht="15" customHeight="1" x14ac:dyDescent="0.2">
      <c r="B15" t="s">
        <v>56</v>
      </c>
      <c r="C15" s="12">
        <v>87</v>
      </c>
      <c r="D15" s="8">
        <v>18.05</v>
      </c>
      <c r="E15" s="12">
        <v>69</v>
      </c>
      <c r="F15" s="8">
        <v>22.62</v>
      </c>
      <c r="G15" s="12">
        <v>18</v>
      </c>
      <c r="H15" s="8">
        <v>10.4</v>
      </c>
      <c r="I15" s="12">
        <v>0</v>
      </c>
    </row>
    <row r="16" spans="2:9" ht="15" customHeight="1" x14ac:dyDescent="0.2">
      <c r="B16" t="s">
        <v>57</v>
      </c>
      <c r="C16" s="12">
        <v>63</v>
      </c>
      <c r="D16" s="8">
        <v>13.07</v>
      </c>
      <c r="E16" s="12">
        <v>48</v>
      </c>
      <c r="F16" s="8">
        <v>15.74</v>
      </c>
      <c r="G16" s="12">
        <v>12</v>
      </c>
      <c r="H16" s="8">
        <v>6.94</v>
      </c>
      <c r="I16" s="12">
        <v>3</v>
      </c>
    </row>
    <row r="17" spans="2:9" ht="15" customHeight="1" x14ac:dyDescent="0.2">
      <c r="B17" t="s">
        <v>58</v>
      </c>
      <c r="C17" s="12">
        <v>7</v>
      </c>
      <c r="D17" s="8">
        <v>1.45</v>
      </c>
      <c r="E17" s="12">
        <v>6</v>
      </c>
      <c r="F17" s="8">
        <v>1.97</v>
      </c>
      <c r="G17" s="12">
        <v>1</v>
      </c>
      <c r="H17" s="8">
        <v>0.57999999999999996</v>
      </c>
      <c r="I17" s="12">
        <v>0</v>
      </c>
    </row>
    <row r="18" spans="2:9" ht="15" customHeight="1" x14ac:dyDescent="0.2">
      <c r="B18" t="s">
        <v>59</v>
      </c>
      <c r="C18" s="12">
        <v>10</v>
      </c>
      <c r="D18" s="8">
        <v>2.0699999999999998</v>
      </c>
      <c r="E18" s="12">
        <v>7</v>
      </c>
      <c r="F18" s="8">
        <v>2.2999999999999998</v>
      </c>
      <c r="G18" s="12">
        <v>3</v>
      </c>
      <c r="H18" s="8">
        <v>1.73</v>
      </c>
      <c r="I18" s="12">
        <v>0</v>
      </c>
    </row>
    <row r="19" spans="2:9" ht="15" customHeight="1" x14ac:dyDescent="0.2">
      <c r="B19" t="s">
        <v>60</v>
      </c>
      <c r="C19" s="12">
        <v>19</v>
      </c>
      <c r="D19" s="8">
        <v>3.94</v>
      </c>
      <c r="E19" s="12">
        <v>8</v>
      </c>
      <c r="F19" s="8">
        <v>2.62</v>
      </c>
      <c r="G19" s="12">
        <v>10</v>
      </c>
      <c r="H19" s="8">
        <v>5.78</v>
      </c>
      <c r="I19" s="12">
        <v>1</v>
      </c>
    </row>
    <row r="20" spans="2:9" ht="15" customHeight="1" x14ac:dyDescent="0.2">
      <c r="B20" s="9" t="s">
        <v>191</v>
      </c>
      <c r="C20" s="12">
        <f>SUM(LTBL_22301[総数／事業所数])</f>
        <v>482</v>
      </c>
      <c r="E20" s="12">
        <f>SUBTOTAL(109,LTBL_22301[個人／事業所数])</f>
        <v>305</v>
      </c>
      <c r="G20" s="12">
        <f>SUBTOTAL(109,LTBL_22301[法人／事業所数])</f>
        <v>173</v>
      </c>
      <c r="I20" s="12">
        <f>SUBTOTAL(109,LTBL_22301[法人以外の団体／事業所数])</f>
        <v>4</v>
      </c>
    </row>
    <row r="21" spans="2:9" ht="15" customHeight="1" x14ac:dyDescent="0.2">
      <c r="E21" s="11">
        <f>LTBL_22301[[#Totals],[個人／事業所数]]/LTBL_22301[[#Totals],[総数／事業所数]]</f>
        <v>0.63278008298755184</v>
      </c>
      <c r="G21" s="11">
        <f>LTBL_22301[[#Totals],[法人／事業所数]]/LTBL_22301[[#Totals],[総数／事業所数]]</f>
        <v>0.35892116182572614</v>
      </c>
      <c r="I21" s="11">
        <f>LTBL_22301[[#Totals],[法人以外の団体／事業所数]]/LTBL_22301[[#Totals],[総数／事業所数]]</f>
        <v>8.2987551867219917E-3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57</v>
      </c>
      <c r="D24" s="8">
        <v>11.83</v>
      </c>
      <c r="E24" s="12">
        <v>47</v>
      </c>
      <c r="F24" s="8">
        <v>15.41</v>
      </c>
      <c r="G24" s="12">
        <v>10</v>
      </c>
      <c r="H24" s="8">
        <v>5.78</v>
      </c>
      <c r="I24" s="12">
        <v>0</v>
      </c>
    </row>
    <row r="25" spans="2:9" ht="15" customHeight="1" x14ac:dyDescent="0.2">
      <c r="B25" t="s">
        <v>81</v>
      </c>
      <c r="C25" s="12">
        <v>56</v>
      </c>
      <c r="D25" s="8">
        <v>11.62</v>
      </c>
      <c r="E25" s="12">
        <v>34</v>
      </c>
      <c r="F25" s="8">
        <v>11.15</v>
      </c>
      <c r="G25" s="12">
        <v>22</v>
      </c>
      <c r="H25" s="8">
        <v>12.72</v>
      </c>
      <c r="I25" s="12">
        <v>0</v>
      </c>
    </row>
    <row r="26" spans="2:9" ht="15" customHeight="1" x14ac:dyDescent="0.2">
      <c r="B26" t="s">
        <v>85</v>
      </c>
      <c r="C26" s="12">
        <v>49</v>
      </c>
      <c r="D26" s="8">
        <v>10.17</v>
      </c>
      <c r="E26" s="12">
        <v>42</v>
      </c>
      <c r="F26" s="8">
        <v>13.77</v>
      </c>
      <c r="G26" s="12">
        <v>6</v>
      </c>
      <c r="H26" s="8">
        <v>3.47</v>
      </c>
      <c r="I26" s="12">
        <v>1</v>
      </c>
    </row>
    <row r="27" spans="2:9" ht="15" customHeight="1" x14ac:dyDescent="0.2">
      <c r="B27" t="s">
        <v>77</v>
      </c>
      <c r="C27" s="12">
        <v>43</v>
      </c>
      <c r="D27" s="8">
        <v>8.92</v>
      </c>
      <c r="E27" s="12">
        <v>26</v>
      </c>
      <c r="F27" s="8">
        <v>8.52</v>
      </c>
      <c r="G27" s="12">
        <v>17</v>
      </c>
      <c r="H27" s="8">
        <v>9.83</v>
      </c>
      <c r="I27" s="12">
        <v>0</v>
      </c>
    </row>
    <row r="28" spans="2:9" ht="15" customHeight="1" x14ac:dyDescent="0.2">
      <c r="B28" t="s">
        <v>79</v>
      </c>
      <c r="C28" s="12">
        <v>38</v>
      </c>
      <c r="D28" s="8">
        <v>7.88</v>
      </c>
      <c r="E28" s="12">
        <v>21</v>
      </c>
      <c r="F28" s="8">
        <v>6.89</v>
      </c>
      <c r="G28" s="12">
        <v>17</v>
      </c>
      <c r="H28" s="8">
        <v>9.83</v>
      </c>
      <c r="I28" s="12">
        <v>0</v>
      </c>
    </row>
    <row r="29" spans="2:9" ht="15" customHeight="1" x14ac:dyDescent="0.2">
      <c r="B29" t="s">
        <v>69</v>
      </c>
      <c r="C29" s="12">
        <v>34</v>
      </c>
      <c r="D29" s="8">
        <v>7.05</v>
      </c>
      <c r="E29" s="12">
        <v>15</v>
      </c>
      <c r="F29" s="8">
        <v>4.92</v>
      </c>
      <c r="G29" s="12">
        <v>19</v>
      </c>
      <c r="H29" s="8">
        <v>10.98</v>
      </c>
      <c r="I29" s="12">
        <v>0</v>
      </c>
    </row>
    <row r="30" spans="2:9" ht="15" customHeight="1" x14ac:dyDescent="0.2">
      <c r="B30" t="s">
        <v>70</v>
      </c>
      <c r="C30" s="12">
        <v>32</v>
      </c>
      <c r="D30" s="8">
        <v>6.64</v>
      </c>
      <c r="E30" s="12">
        <v>24</v>
      </c>
      <c r="F30" s="8">
        <v>7.87</v>
      </c>
      <c r="G30" s="12">
        <v>8</v>
      </c>
      <c r="H30" s="8">
        <v>4.62</v>
      </c>
      <c r="I30" s="12">
        <v>0</v>
      </c>
    </row>
    <row r="31" spans="2:9" ht="15" customHeight="1" x14ac:dyDescent="0.2">
      <c r="B31" t="s">
        <v>99</v>
      </c>
      <c r="C31" s="12">
        <v>29</v>
      </c>
      <c r="D31" s="8">
        <v>6.02</v>
      </c>
      <c r="E31" s="12">
        <v>21</v>
      </c>
      <c r="F31" s="8">
        <v>6.89</v>
      </c>
      <c r="G31" s="12">
        <v>8</v>
      </c>
      <c r="H31" s="8">
        <v>4.62</v>
      </c>
      <c r="I31" s="12">
        <v>0</v>
      </c>
    </row>
    <row r="32" spans="2:9" ht="15" customHeight="1" x14ac:dyDescent="0.2">
      <c r="B32" t="s">
        <v>71</v>
      </c>
      <c r="C32" s="12">
        <v>19</v>
      </c>
      <c r="D32" s="8">
        <v>3.94</v>
      </c>
      <c r="E32" s="12">
        <v>10</v>
      </c>
      <c r="F32" s="8">
        <v>3.28</v>
      </c>
      <c r="G32" s="12">
        <v>9</v>
      </c>
      <c r="H32" s="8">
        <v>5.2</v>
      </c>
      <c r="I32" s="12">
        <v>0</v>
      </c>
    </row>
    <row r="33" spans="2:9" ht="15" customHeight="1" x14ac:dyDescent="0.2">
      <c r="B33" t="s">
        <v>76</v>
      </c>
      <c r="C33" s="12">
        <v>10</v>
      </c>
      <c r="D33" s="8">
        <v>2.0699999999999998</v>
      </c>
      <c r="E33" s="12">
        <v>9</v>
      </c>
      <c r="F33" s="8">
        <v>2.95</v>
      </c>
      <c r="G33" s="12">
        <v>1</v>
      </c>
      <c r="H33" s="8">
        <v>0.57999999999999996</v>
      </c>
      <c r="I33" s="12">
        <v>0</v>
      </c>
    </row>
    <row r="34" spans="2:9" ht="15" customHeight="1" x14ac:dyDescent="0.2">
      <c r="B34" t="s">
        <v>78</v>
      </c>
      <c r="C34" s="12">
        <v>10</v>
      </c>
      <c r="D34" s="8">
        <v>2.0699999999999998</v>
      </c>
      <c r="E34" s="12">
        <v>6</v>
      </c>
      <c r="F34" s="8">
        <v>1.97</v>
      </c>
      <c r="G34" s="12">
        <v>4</v>
      </c>
      <c r="H34" s="8">
        <v>2.31</v>
      </c>
      <c r="I34" s="12">
        <v>0</v>
      </c>
    </row>
    <row r="35" spans="2:9" ht="15" customHeight="1" x14ac:dyDescent="0.2">
      <c r="B35" t="s">
        <v>93</v>
      </c>
      <c r="C35" s="12">
        <v>8</v>
      </c>
      <c r="D35" s="8">
        <v>1.66</v>
      </c>
      <c r="E35" s="12">
        <v>1</v>
      </c>
      <c r="F35" s="8">
        <v>0.33</v>
      </c>
      <c r="G35" s="12">
        <v>7</v>
      </c>
      <c r="H35" s="8">
        <v>4.05</v>
      </c>
      <c r="I35" s="12">
        <v>0</v>
      </c>
    </row>
    <row r="36" spans="2:9" ht="15" customHeight="1" x14ac:dyDescent="0.2">
      <c r="B36" t="s">
        <v>102</v>
      </c>
      <c r="C36" s="12">
        <v>8</v>
      </c>
      <c r="D36" s="8">
        <v>1.66</v>
      </c>
      <c r="E36" s="12">
        <v>1</v>
      </c>
      <c r="F36" s="8">
        <v>0.33</v>
      </c>
      <c r="G36" s="12">
        <v>7</v>
      </c>
      <c r="H36" s="8">
        <v>4.05</v>
      </c>
      <c r="I36" s="12">
        <v>0</v>
      </c>
    </row>
    <row r="37" spans="2:9" ht="15" customHeight="1" x14ac:dyDescent="0.2">
      <c r="B37" t="s">
        <v>83</v>
      </c>
      <c r="C37" s="12">
        <v>7</v>
      </c>
      <c r="D37" s="8">
        <v>1.45</v>
      </c>
      <c r="E37" s="12">
        <v>4</v>
      </c>
      <c r="F37" s="8">
        <v>1.31</v>
      </c>
      <c r="G37" s="12">
        <v>3</v>
      </c>
      <c r="H37" s="8">
        <v>1.73</v>
      </c>
      <c r="I37" s="12">
        <v>0</v>
      </c>
    </row>
    <row r="38" spans="2:9" ht="15" customHeight="1" x14ac:dyDescent="0.2">
      <c r="B38" t="s">
        <v>95</v>
      </c>
      <c r="C38" s="12">
        <v>7</v>
      </c>
      <c r="D38" s="8">
        <v>1.45</v>
      </c>
      <c r="E38" s="12">
        <v>1</v>
      </c>
      <c r="F38" s="8">
        <v>0.33</v>
      </c>
      <c r="G38" s="12">
        <v>4</v>
      </c>
      <c r="H38" s="8">
        <v>2.31</v>
      </c>
      <c r="I38" s="12">
        <v>2</v>
      </c>
    </row>
    <row r="39" spans="2:9" ht="15" customHeight="1" x14ac:dyDescent="0.2">
      <c r="B39" t="s">
        <v>101</v>
      </c>
      <c r="C39" s="12">
        <v>7</v>
      </c>
      <c r="D39" s="8">
        <v>1.45</v>
      </c>
      <c r="E39" s="12">
        <v>5</v>
      </c>
      <c r="F39" s="8">
        <v>1.64</v>
      </c>
      <c r="G39" s="12">
        <v>2</v>
      </c>
      <c r="H39" s="8">
        <v>1.1599999999999999</v>
      </c>
      <c r="I39" s="12">
        <v>0</v>
      </c>
    </row>
    <row r="40" spans="2:9" ht="15" customHeight="1" x14ac:dyDescent="0.2">
      <c r="B40" t="s">
        <v>86</v>
      </c>
      <c r="C40" s="12">
        <v>7</v>
      </c>
      <c r="D40" s="8">
        <v>1.45</v>
      </c>
      <c r="E40" s="12">
        <v>6</v>
      </c>
      <c r="F40" s="8">
        <v>1.97</v>
      </c>
      <c r="G40" s="12">
        <v>1</v>
      </c>
      <c r="H40" s="8">
        <v>0.57999999999999996</v>
      </c>
      <c r="I40" s="12">
        <v>0</v>
      </c>
    </row>
    <row r="41" spans="2:9" ht="15" customHeight="1" x14ac:dyDescent="0.2">
      <c r="B41" t="s">
        <v>87</v>
      </c>
      <c r="C41" s="12">
        <v>7</v>
      </c>
      <c r="D41" s="8">
        <v>1.45</v>
      </c>
      <c r="E41" s="12">
        <v>7</v>
      </c>
      <c r="F41" s="8">
        <v>2.2999999999999998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80</v>
      </c>
      <c r="C42" s="12">
        <v>6</v>
      </c>
      <c r="D42" s="8">
        <v>1.24</v>
      </c>
      <c r="E42" s="12">
        <v>1</v>
      </c>
      <c r="F42" s="8">
        <v>0.33</v>
      </c>
      <c r="G42" s="12">
        <v>5</v>
      </c>
      <c r="H42" s="8">
        <v>2.89</v>
      </c>
      <c r="I42" s="12">
        <v>0</v>
      </c>
    </row>
    <row r="43" spans="2:9" ht="15" customHeight="1" x14ac:dyDescent="0.2">
      <c r="B43" t="s">
        <v>82</v>
      </c>
      <c r="C43" s="12">
        <v>5</v>
      </c>
      <c r="D43" s="8">
        <v>1.04</v>
      </c>
      <c r="E43" s="12">
        <v>5</v>
      </c>
      <c r="F43" s="8">
        <v>1.64</v>
      </c>
      <c r="G43" s="12">
        <v>0</v>
      </c>
      <c r="H43" s="8">
        <v>0</v>
      </c>
      <c r="I43" s="12">
        <v>0</v>
      </c>
    </row>
    <row r="44" spans="2:9" ht="15" customHeight="1" x14ac:dyDescent="0.2">
      <c r="B44" t="s">
        <v>88</v>
      </c>
      <c r="C44" s="12">
        <v>5</v>
      </c>
      <c r="D44" s="8">
        <v>1.04</v>
      </c>
      <c r="E44" s="12">
        <v>5</v>
      </c>
      <c r="F44" s="8">
        <v>1.64</v>
      </c>
      <c r="G44" s="12">
        <v>0</v>
      </c>
      <c r="H44" s="8">
        <v>0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40</v>
      </c>
      <c r="D48" s="8">
        <v>8.3000000000000007</v>
      </c>
      <c r="E48" s="12">
        <v>33</v>
      </c>
      <c r="F48" s="8">
        <v>10.82</v>
      </c>
      <c r="G48" s="12">
        <v>7</v>
      </c>
      <c r="H48" s="8">
        <v>4.05</v>
      </c>
      <c r="I48" s="12">
        <v>0</v>
      </c>
    </row>
    <row r="49" spans="2:9" ht="15" customHeight="1" x14ac:dyDescent="0.2">
      <c r="B49" t="s">
        <v>160</v>
      </c>
      <c r="C49" s="12">
        <v>26</v>
      </c>
      <c r="D49" s="8">
        <v>5.39</v>
      </c>
      <c r="E49" s="12">
        <v>20</v>
      </c>
      <c r="F49" s="8">
        <v>6.56</v>
      </c>
      <c r="G49" s="12">
        <v>6</v>
      </c>
      <c r="H49" s="8">
        <v>3.47</v>
      </c>
      <c r="I49" s="12">
        <v>0</v>
      </c>
    </row>
    <row r="50" spans="2:9" ht="15" customHeight="1" x14ac:dyDescent="0.2">
      <c r="B50" t="s">
        <v>132</v>
      </c>
      <c r="C50" s="12">
        <v>26</v>
      </c>
      <c r="D50" s="8">
        <v>5.39</v>
      </c>
      <c r="E50" s="12">
        <v>25</v>
      </c>
      <c r="F50" s="8">
        <v>8.1999999999999993</v>
      </c>
      <c r="G50" s="12">
        <v>1</v>
      </c>
      <c r="H50" s="8">
        <v>0.57999999999999996</v>
      </c>
      <c r="I50" s="12">
        <v>0</v>
      </c>
    </row>
    <row r="51" spans="2:9" ht="15" customHeight="1" x14ac:dyDescent="0.2">
      <c r="B51" t="s">
        <v>121</v>
      </c>
      <c r="C51" s="12">
        <v>20</v>
      </c>
      <c r="D51" s="8">
        <v>4.1500000000000004</v>
      </c>
      <c r="E51" s="12">
        <v>12</v>
      </c>
      <c r="F51" s="8">
        <v>3.93</v>
      </c>
      <c r="G51" s="12">
        <v>8</v>
      </c>
      <c r="H51" s="8">
        <v>4.62</v>
      </c>
      <c r="I51" s="12">
        <v>0</v>
      </c>
    </row>
    <row r="52" spans="2:9" ht="15" customHeight="1" x14ac:dyDescent="0.2">
      <c r="B52" t="s">
        <v>128</v>
      </c>
      <c r="C52" s="12">
        <v>16</v>
      </c>
      <c r="D52" s="8">
        <v>3.32</v>
      </c>
      <c r="E52" s="12">
        <v>12</v>
      </c>
      <c r="F52" s="8">
        <v>3.93</v>
      </c>
      <c r="G52" s="12">
        <v>4</v>
      </c>
      <c r="H52" s="8">
        <v>2.31</v>
      </c>
      <c r="I52" s="12">
        <v>0</v>
      </c>
    </row>
    <row r="53" spans="2:9" ht="15" customHeight="1" x14ac:dyDescent="0.2">
      <c r="B53" t="s">
        <v>116</v>
      </c>
      <c r="C53" s="12">
        <v>15</v>
      </c>
      <c r="D53" s="8">
        <v>3.11</v>
      </c>
      <c r="E53" s="12">
        <v>4</v>
      </c>
      <c r="F53" s="8">
        <v>1.31</v>
      </c>
      <c r="G53" s="12">
        <v>11</v>
      </c>
      <c r="H53" s="8">
        <v>6.36</v>
      </c>
      <c r="I53" s="12">
        <v>0</v>
      </c>
    </row>
    <row r="54" spans="2:9" ht="15" customHeight="1" x14ac:dyDescent="0.2">
      <c r="B54" t="s">
        <v>131</v>
      </c>
      <c r="C54" s="12">
        <v>13</v>
      </c>
      <c r="D54" s="8">
        <v>2.7</v>
      </c>
      <c r="E54" s="12">
        <v>13</v>
      </c>
      <c r="F54" s="8">
        <v>4.26</v>
      </c>
      <c r="G54" s="12">
        <v>0</v>
      </c>
      <c r="H54" s="8">
        <v>0</v>
      </c>
      <c r="I54" s="12">
        <v>0</v>
      </c>
    </row>
    <row r="55" spans="2:9" ht="15" customHeight="1" x14ac:dyDescent="0.2">
      <c r="B55" t="s">
        <v>129</v>
      </c>
      <c r="C55" s="12">
        <v>11</v>
      </c>
      <c r="D55" s="8">
        <v>2.2799999999999998</v>
      </c>
      <c r="E55" s="12">
        <v>10</v>
      </c>
      <c r="F55" s="8">
        <v>3.28</v>
      </c>
      <c r="G55" s="12">
        <v>1</v>
      </c>
      <c r="H55" s="8">
        <v>0.57999999999999996</v>
      </c>
      <c r="I55" s="12">
        <v>0</v>
      </c>
    </row>
    <row r="56" spans="2:9" ht="15" customHeight="1" x14ac:dyDescent="0.2">
      <c r="B56" t="s">
        <v>119</v>
      </c>
      <c r="C56" s="12">
        <v>10</v>
      </c>
      <c r="D56" s="8">
        <v>2.0699999999999998</v>
      </c>
      <c r="E56" s="12">
        <v>4</v>
      </c>
      <c r="F56" s="8">
        <v>1.31</v>
      </c>
      <c r="G56" s="12">
        <v>6</v>
      </c>
      <c r="H56" s="8">
        <v>3.47</v>
      </c>
      <c r="I56" s="12">
        <v>0</v>
      </c>
    </row>
    <row r="57" spans="2:9" ht="15" customHeight="1" x14ac:dyDescent="0.2">
      <c r="B57" t="s">
        <v>123</v>
      </c>
      <c r="C57" s="12">
        <v>10</v>
      </c>
      <c r="D57" s="8">
        <v>2.0699999999999998</v>
      </c>
      <c r="E57" s="12">
        <v>5</v>
      </c>
      <c r="F57" s="8">
        <v>1.64</v>
      </c>
      <c r="G57" s="12">
        <v>5</v>
      </c>
      <c r="H57" s="8">
        <v>2.89</v>
      </c>
      <c r="I57" s="12">
        <v>0</v>
      </c>
    </row>
    <row r="58" spans="2:9" ht="15" customHeight="1" x14ac:dyDescent="0.2">
      <c r="B58" t="s">
        <v>161</v>
      </c>
      <c r="C58" s="12">
        <v>10</v>
      </c>
      <c r="D58" s="8">
        <v>2.0699999999999998</v>
      </c>
      <c r="E58" s="12">
        <v>8</v>
      </c>
      <c r="F58" s="8">
        <v>2.62</v>
      </c>
      <c r="G58" s="12">
        <v>2</v>
      </c>
      <c r="H58" s="8">
        <v>1.1599999999999999</v>
      </c>
      <c r="I58" s="12">
        <v>0</v>
      </c>
    </row>
    <row r="59" spans="2:9" ht="15" customHeight="1" x14ac:dyDescent="0.2">
      <c r="B59" t="s">
        <v>136</v>
      </c>
      <c r="C59" s="12">
        <v>9</v>
      </c>
      <c r="D59" s="8">
        <v>1.87</v>
      </c>
      <c r="E59" s="12">
        <v>7</v>
      </c>
      <c r="F59" s="8">
        <v>2.2999999999999998</v>
      </c>
      <c r="G59" s="12">
        <v>2</v>
      </c>
      <c r="H59" s="8">
        <v>1.1599999999999999</v>
      </c>
      <c r="I59" s="12">
        <v>0</v>
      </c>
    </row>
    <row r="60" spans="2:9" ht="15" customHeight="1" x14ac:dyDescent="0.2">
      <c r="B60" t="s">
        <v>130</v>
      </c>
      <c r="C60" s="12">
        <v>9</v>
      </c>
      <c r="D60" s="8">
        <v>1.87</v>
      </c>
      <c r="E60" s="12">
        <v>7</v>
      </c>
      <c r="F60" s="8">
        <v>2.2999999999999998</v>
      </c>
      <c r="G60" s="12">
        <v>2</v>
      </c>
      <c r="H60" s="8">
        <v>1.1599999999999999</v>
      </c>
      <c r="I60" s="12">
        <v>0</v>
      </c>
    </row>
    <row r="61" spans="2:9" ht="15" customHeight="1" x14ac:dyDescent="0.2">
      <c r="B61" t="s">
        <v>144</v>
      </c>
      <c r="C61" s="12">
        <v>8</v>
      </c>
      <c r="D61" s="8">
        <v>1.66</v>
      </c>
      <c r="E61" s="12">
        <v>5</v>
      </c>
      <c r="F61" s="8">
        <v>1.64</v>
      </c>
      <c r="G61" s="12">
        <v>3</v>
      </c>
      <c r="H61" s="8">
        <v>1.73</v>
      </c>
      <c r="I61" s="12">
        <v>0</v>
      </c>
    </row>
    <row r="62" spans="2:9" ht="15" customHeight="1" x14ac:dyDescent="0.2">
      <c r="B62" t="s">
        <v>122</v>
      </c>
      <c r="C62" s="12">
        <v>8</v>
      </c>
      <c r="D62" s="8">
        <v>1.66</v>
      </c>
      <c r="E62" s="12">
        <v>5</v>
      </c>
      <c r="F62" s="8">
        <v>1.64</v>
      </c>
      <c r="G62" s="12">
        <v>3</v>
      </c>
      <c r="H62" s="8">
        <v>1.73</v>
      </c>
      <c r="I62" s="12">
        <v>0</v>
      </c>
    </row>
    <row r="63" spans="2:9" ht="15" customHeight="1" x14ac:dyDescent="0.2">
      <c r="B63" t="s">
        <v>124</v>
      </c>
      <c r="C63" s="12">
        <v>8</v>
      </c>
      <c r="D63" s="8">
        <v>1.66</v>
      </c>
      <c r="E63" s="12">
        <v>3</v>
      </c>
      <c r="F63" s="8">
        <v>0.98</v>
      </c>
      <c r="G63" s="12">
        <v>5</v>
      </c>
      <c r="H63" s="8">
        <v>2.89</v>
      </c>
      <c r="I63" s="12">
        <v>0</v>
      </c>
    </row>
    <row r="64" spans="2:9" ht="15" customHeight="1" x14ac:dyDescent="0.2">
      <c r="B64" t="s">
        <v>125</v>
      </c>
      <c r="C64" s="12">
        <v>8</v>
      </c>
      <c r="D64" s="8">
        <v>1.66</v>
      </c>
      <c r="E64" s="12">
        <v>0</v>
      </c>
      <c r="F64" s="8">
        <v>0</v>
      </c>
      <c r="G64" s="12">
        <v>8</v>
      </c>
      <c r="H64" s="8">
        <v>4.62</v>
      </c>
      <c r="I64" s="12">
        <v>0</v>
      </c>
    </row>
    <row r="65" spans="2:9" ht="15" customHeight="1" x14ac:dyDescent="0.2">
      <c r="B65" t="s">
        <v>139</v>
      </c>
      <c r="C65" s="12">
        <v>8</v>
      </c>
      <c r="D65" s="8">
        <v>1.66</v>
      </c>
      <c r="E65" s="12">
        <v>8</v>
      </c>
      <c r="F65" s="8">
        <v>2.62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117</v>
      </c>
      <c r="C66" s="12">
        <v>7</v>
      </c>
      <c r="D66" s="8">
        <v>1.45</v>
      </c>
      <c r="E66" s="12">
        <v>5</v>
      </c>
      <c r="F66" s="8">
        <v>1.64</v>
      </c>
      <c r="G66" s="12">
        <v>2</v>
      </c>
      <c r="H66" s="8">
        <v>1.1599999999999999</v>
      </c>
      <c r="I66" s="12">
        <v>0</v>
      </c>
    </row>
    <row r="67" spans="2:9" ht="15" customHeight="1" x14ac:dyDescent="0.2">
      <c r="B67" t="s">
        <v>120</v>
      </c>
      <c r="C67" s="12">
        <v>7</v>
      </c>
      <c r="D67" s="8">
        <v>1.45</v>
      </c>
      <c r="E67" s="12">
        <v>5</v>
      </c>
      <c r="F67" s="8">
        <v>1.64</v>
      </c>
      <c r="G67" s="12">
        <v>2</v>
      </c>
      <c r="H67" s="8">
        <v>1.1599999999999999</v>
      </c>
      <c r="I67" s="12">
        <v>0</v>
      </c>
    </row>
    <row r="68" spans="2:9" ht="15" customHeight="1" x14ac:dyDescent="0.2">
      <c r="B68" t="s">
        <v>166</v>
      </c>
      <c r="C68" s="12">
        <v>7</v>
      </c>
      <c r="D68" s="8">
        <v>1.45</v>
      </c>
      <c r="E68" s="12">
        <v>1</v>
      </c>
      <c r="F68" s="8">
        <v>0.33</v>
      </c>
      <c r="G68" s="12">
        <v>6</v>
      </c>
      <c r="H68" s="8">
        <v>3.47</v>
      </c>
      <c r="I68" s="12">
        <v>0</v>
      </c>
    </row>
    <row r="69" spans="2:9" ht="15" customHeight="1" x14ac:dyDescent="0.2">
      <c r="B69" t="s">
        <v>147</v>
      </c>
      <c r="C69" s="12">
        <v>7</v>
      </c>
      <c r="D69" s="8">
        <v>1.45</v>
      </c>
      <c r="E69" s="12">
        <v>0</v>
      </c>
      <c r="F69" s="8">
        <v>0</v>
      </c>
      <c r="G69" s="12">
        <v>7</v>
      </c>
      <c r="H69" s="8">
        <v>4.05</v>
      </c>
      <c r="I69" s="12">
        <v>0</v>
      </c>
    </row>
    <row r="70" spans="2:9" ht="15" customHeight="1" x14ac:dyDescent="0.2">
      <c r="B70" t="s">
        <v>176</v>
      </c>
      <c r="C70" s="12">
        <v>7</v>
      </c>
      <c r="D70" s="8">
        <v>1.45</v>
      </c>
      <c r="E70" s="12">
        <v>1</v>
      </c>
      <c r="F70" s="8">
        <v>0.33</v>
      </c>
      <c r="G70" s="12">
        <v>6</v>
      </c>
      <c r="H70" s="8">
        <v>3.47</v>
      </c>
      <c r="I70" s="12">
        <v>0</v>
      </c>
    </row>
    <row r="72" spans="2:9" ht="15" customHeight="1" x14ac:dyDescent="0.2">
      <c r="B72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67794-72DC-42B1-8593-D03C8F3A7588}">
  <sheetPr>
    <pageSetUpPr fitToPage="1"/>
  </sheetPr>
  <dimension ref="A1:I1054"/>
  <sheetViews>
    <sheetView workbookViewId="0"/>
  </sheetViews>
  <sheetFormatPr defaultRowHeight="13.2" x14ac:dyDescent="0.2"/>
  <cols>
    <col min="1" max="1" width="13" customWidth="1"/>
    <col min="2" max="2" width="45.77734375" customWidth="1"/>
    <col min="3" max="9" width="10.44140625" customWidth="1"/>
    <col min="10" max="10" width="27.109375" bestFit="1" customWidth="1"/>
  </cols>
  <sheetData>
    <row r="1" spans="1:9" ht="37.5" customHeight="1" x14ac:dyDescent="0.2">
      <c r="A1" s="6" t="s">
        <v>114</v>
      </c>
      <c r="B1" s="3" t="s">
        <v>188</v>
      </c>
      <c r="C1" s="7" t="s">
        <v>62</v>
      </c>
      <c r="D1" s="7" t="s">
        <v>63</v>
      </c>
      <c r="E1" s="7" t="s">
        <v>64</v>
      </c>
      <c r="F1" s="7" t="s">
        <v>65</v>
      </c>
      <c r="G1" s="7" t="s">
        <v>66</v>
      </c>
      <c r="H1" s="7" t="s">
        <v>67</v>
      </c>
      <c r="I1" s="7" t="s">
        <v>68</v>
      </c>
    </row>
    <row r="2" spans="1:9" x14ac:dyDescent="0.2">
      <c r="A2" s="1" t="s">
        <v>0</v>
      </c>
      <c r="C2" s="4"/>
      <c r="D2" s="8"/>
      <c r="E2" s="4"/>
      <c r="F2" s="8"/>
      <c r="G2" s="4"/>
      <c r="H2" s="8"/>
      <c r="I2" s="4"/>
    </row>
    <row r="3" spans="1:9" x14ac:dyDescent="0.2">
      <c r="A3" s="2">
        <v>1</v>
      </c>
      <c r="B3" s="1" t="s">
        <v>132</v>
      </c>
      <c r="C3" s="4">
        <v>5067</v>
      </c>
      <c r="D3" s="8">
        <v>5.24</v>
      </c>
      <c r="E3" s="4">
        <v>4503</v>
      </c>
      <c r="F3" s="8">
        <v>8.83</v>
      </c>
      <c r="G3" s="4">
        <v>562</v>
      </c>
      <c r="H3" s="8">
        <v>1.25</v>
      </c>
      <c r="I3" s="4">
        <v>2</v>
      </c>
    </row>
    <row r="4" spans="1:9" x14ac:dyDescent="0.2">
      <c r="A4" s="2">
        <v>2</v>
      </c>
      <c r="B4" s="1" t="s">
        <v>126</v>
      </c>
      <c r="C4" s="4">
        <v>4468</v>
      </c>
      <c r="D4" s="8">
        <v>4.62</v>
      </c>
      <c r="E4" s="4">
        <v>2740</v>
      </c>
      <c r="F4" s="8">
        <v>5.37</v>
      </c>
      <c r="G4" s="4">
        <v>1723</v>
      </c>
      <c r="H4" s="8">
        <v>3.83</v>
      </c>
      <c r="I4" s="4">
        <v>1</v>
      </c>
    </row>
    <row r="5" spans="1:9" x14ac:dyDescent="0.2">
      <c r="A5" s="2">
        <v>3</v>
      </c>
      <c r="B5" s="1" t="s">
        <v>131</v>
      </c>
      <c r="C5" s="4">
        <v>2685</v>
      </c>
      <c r="D5" s="8">
        <v>2.78</v>
      </c>
      <c r="E5" s="4">
        <v>2577</v>
      </c>
      <c r="F5" s="8">
        <v>5.05</v>
      </c>
      <c r="G5" s="4">
        <v>107</v>
      </c>
      <c r="H5" s="8">
        <v>0.24</v>
      </c>
      <c r="I5" s="4">
        <v>1</v>
      </c>
    </row>
    <row r="6" spans="1:9" x14ac:dyDescent="0.2">
      <c r="A6" s="2">
        <v>4</v>
      </c>
      <c r="B6" s="1" t="s">
        <v>128</v>
      </c>
      <c r="C6" s="4">
        <v>2554</v>
      </c>
      <c r="D6" s="8">
        <v>2.64</v>
      </c>
      <c r="E6" s="4">
        <v>2106</v>
      </c>
      <c r="F6" s="8">
        <v>4.13</v>
      </c>
      <c r="G6" s="4">
        <v>447</v>
      </c>
      <c r="H6" s="8">
        <v>0.99</v>
      </c>
      <c r="I6" s="4">
        <v>1</v>
      </c>
    </row>
    <row r="7" spans="1:9" x14ac:dyDescent="0.2">
      <c r="A7" s="2">
        <v>5</v>
      </c>
      <c r="B7" s="1" t="s">
        <v>129</v>
      </c>
      <c r="C7" s="4">
        <v>2394</v>
      </c>
      <c r="D7" s="8">
        <v>2.48</v>
      </c>
      <c r="E7" s="4">
        <v>2182</v>
      </c>
      <c r="F7" s="8">
        <v>4.28</v>
      </c>
      <c r="G7" s="4">
        <v>212</v>
      </c>
      <c r="H7" s="8">
        <v>0.47</v>
      </c>
      <c r="I7" s="4">
        <v>0</v>
      </c>
    </row>
    <row r="8" spans="1:9" x14ac:dyDescent="0.2">
      <c r="A8" s="2">
        <v>6</v>
      </c>
      <c r="B8" s="1" t="s">
        <v>133</v>
      </c>
      <c r="C8" s="4">
        <v>2211</v>
      </c>
      <c r="D8" s="8">
        <v>2.29</v>
      </c>
      <c r="E8" s="4">
        <v>1818</v>
      </c>
      <c r="F8" s="8">
        <v>3.56</v>
      </c>
      <c r="G8" s="4">
        <v>389</v>
      </c>
      <c r="H8" s="8">
        <v>0.87</v>
      </c>
      <c r="I8" s="4">
        <v>4</v>
      </c>
    </row>
    <row r="9" spans="1:9" x14ac:dyDescent="0.2">
      <c r="A9" s="2">
        <v>7</v>
      </c>
      <c r="B9" s="1" t="s">
        <v>134</v>
      </c>
      <c r="C9" s="4">
        <v>2130</v>
      </c>
      <c r="D9" s="8">
        <v>2.2000000000000002</v>
      </c>
      <c r="E9" s="4">
        <v>1870</v>
      </c>
      <c r="F9" s="8">
        <v>3.67</v>
      </c>
      <c r="G9" s="4">
        <v>259</v>
      </c>
      <c r="H9" s="8">
        <v>0.57999999999999996</v>
      </c>
      <c r="I9" s="4">
        <v>1</v>
      </c>
    </row>
    <row r="10" spans="1:9" x14ac:dyDescent="0.2">
      <c r="A10" s="2">
        <v>8</v>
      </c>
      <c r="B10" s="1" t="s">
        <v>122</v>
      </c>
      <c r="C10" s="4">
        <v>1936</v>
      </c>
      <c r="D10" s="8">
        <v>2</v>
      </c>
      <c r="E10" s="4">
        <v>1027</v>
      </c>
      <c r="F10" s="8">
        <v>2.0099999999999998</v>
      </c>
      <c r="G10" s="4">
        <v>909</v>
      </c>
      <c r="H10" s="8">
        <v>2.02</v>
      </c>
      <c r="I10" s="4">
        <v>0</v>
      </c>
    </row>
    <row r="11" spans="1:9" x14ac:dyDescent="0.2">
      <c r="A11" s="2">
        <v>9</v>
      </c>
      <c r="B11" s="1" t="s">
        <v>130</v>
      </c>
      <c r="C11" s="4">
        <v>1867</v>
      </c>
      <c r="D11" s="8">
        <v>1.93</v>
      </c>
      <c r="E11" s="4">
        <v>1716</v>
      </c>
      <c r="F11" s="8">
        <v>3.36</v>
      </c>
      <c r="G11" s="4">
        <v>151</v>
      </c>
      <c r="H11" s="8">
        <v>0.34</v>
      </c>
      <c r="I11" s="4">
        <v>0</v>
      </c>
    </row>
    <row r="12" spans="1:9" x14ac:dyDescent="0.2">
      <c r="A12" s="2">
        <v>10</v>
      </c>
      <c r="B12" s="1" t="s">
        <v>121</v>
      </c>
      <c r="C12" s="4">
        <v>1833</v>
      </c>
      <c r="D12" s="8">
        <v>1.9</v>
      </c>
      <c r="E12" s="4">
        <v>1201</v>
      </c>
      <c r="F12" s="8">
        <v>2.35</v>
      </c>
      <c r="G12" s="4">
        <v>626</v>
      </c>
      <c r="H12" s="8">
        <v>1.39</v>
      </c>
      <c r="I12" s="4">
        <v>6</v>
      </c>
    </row>
    <row r="13" spans="1:9" x14ac:dyDescent="0.2">
      <c r="A13" s="2">
        <v>11</v>
      </c>
      <c r="B13" s="1" t="s">
        <v>116</v>
      </c>
      <c r="C13" s="4">
        <v>1722</v>
      </c>
      <c r="D13" s="8">
        <v>1.78</v>
      </c>
      <c r="E13" s="4">
        <v>371</v>
      </c>
      <c r="F13" s="8">
        <v>0.73</v>
      </c>
      <c r="G13" s="4">
        <v>1351</v>
      </c>
      <c r="H13" s="8">
        <v>3.01</v>
      </c>
      <c r="I13" s="4">
        <v>0</v>
      </c>
    </row>
    <row r="14" spans="1:9" x14ac:dyDescent="0.2">
      <c r="A14" s="2">
        <v>12</v>
      </c>
      <c r="B14" s="1" t="s">
        <v>124</v>
      </c>
      <c r="C14" s="4">
        <v>1714</v>
      </c>
      <c r="D14" s="8">
        <v>1.77</v>
      </c>
      <c r="E14" s="4">
        <v>1060</v>
      </c>
      <c r="F14" s="8">
        <v>2.08</v>
      </c>
      <c r="G14" s="4">
        <v>651</v>
      </c>
      <c r="H14" s="8">
        <v>1.45</v>
      </c>
      <c r="I14" s="4">
        <v>2</v>
      </c>
    </row>
    <row r="15" spans="1:9" x14ac:dyDescent="0.2">
      <c r="A15" s="2">
        <v>13</v>
      </c>
      <c r="B15" s="1" t="s">
        <v>118</v>
      </c>
      <c r="C15" s="4">
        <v>1637</v>
      </c>
      <c r="D15" s="8">
        <v>1.69</v>
      </c>
      <c r="E15" s="4">
        <v>847</v>
      </c>
      <c r="F15" s="8">
        <v>1.66</v>
      </c>
      <c r="G15" s="4">
        <v>790</v>
      </c>
      <c r="H15" s="8">
        <v>1.76</v>
      </c>
      <c r="I15" s="4">
        <v>0</v>
      </c>
    </row>
    <row r="16" spans="1:9" x14ac:dyDescent="0.2">
      <c r="A16" s="2">
        <v>14</v>
      </c>
      <c r="B16" s="1" t="s">
        <v>125</v>
      </c>
      <c r="C16" s="4">
        <v>1559</v>
      </c>
      <c r="D16" s="8">
        <v>1.61</v>
      </c>
      <c r="E16" s="4">
        <v>344</v>
      </c>
      <c r="F16" s="8">
        <v>0.67</v>
      </c>
      <c r="G16" s="4">
        <v>1215</v>
      </c>
      <c r="H16" s="8">
        <v>2.7</v>
      </c>
      <c r="I16" s="4">
        <v>0</v>
      </c>
    </row>
    <row r="17" spans="1:9" x14ac:dyDescent="0.2">
      <c r="A17" s="2">
        <v>15</v>
      </c>
      <c r="B17" s="1" t="s">
        <v>119</v>
      </c>
      <c r="C17" s="4">
        <v>1465</v>
      </c>
      <c r="D17" s="8">
        <v>1.52</v>
      </c>
      <c r="E17" s="4">
        <v>479</v>
      </c>
      <c r="F17" s="8">
        <v>0.94</v>
      </c>
      <c r="G17" s="4">
        <v>986</v>
      </c>
      <c r="H17" s="8">
        <v>2.19</v>
      </c>
      <c r="I17" s="4">
        <v>0</v>
      </c>
    </row>
    <row r="18" spans="1:9" x14ac:dyDescent="0.2">
      <c r="A18" s="2">
        <v>16</v>
      </c>
      <c r="B18" s="1" t="s">
        <v>120</v>
      </c>
      <c r="C18" s="4">
        <v>1374</v>
      </c>
      <c r="D18" s="8">
        <v>1.42</v>
      </c>
      <c r="E18" s="4">
        <v>392</v>
      </c>
      <c r="F18" s="8">
        <v>0.77</v>
      </c>
      <c r="G18" s="4">
        <v>981</v>
      </c>
      <c r="H18" s="8">
        <v>2.1800000000000002</v>
      </c>
      <c r="I18" s="4">
        <v>1</v>
      </c>
    </row>
    <row r="19" spans="1:9" x14ac:dyDescent="0.2">
      <c r="A19" s="2">
        <v>17</v>
      </c>
      <c r="B19" s="1" t="s">
        <v>117</v>
      </c>
      <c r="C19" s="4">
        <v>1339</v>
      </c>
      <c r="D19" s="8">
        <v>1.39</v>
      </c>
      <c r="E19" s="4">
        <v>274</v>
      </c>
      <c r="F19" s="8">
        <v>0.54</v>
      </c>
      <c r="G19" s="4">
        <v>1065</v>
      </c>
      <c r="H19" s="8">
        <v>2.37</v>
      </c>
      <c r="I19" s="4">
        <v>0</v>
      </c>
    </row>
    <row r="20" spans="1:9" x14ac:dyDescent="0.2">
      <c r="A20" s="2">
        <v>18</v>
      </c>
      <c r="B20" s="1" t="s">
        <v>123</v>
      </c>
      <c r="C20" s="4">
        <v>1315</v>
      </c>
      <c r="D20" s="8">
        <v>1.36</v>
      </c>
      <c r="E20" s="4">
        <v>508</v>
      </c>
      <c r="F20" s="8">
        <v>1</v>
      </c>
      <c r="G20" s="4">
        <v>807</v>
      </c>
      <c r="H20" s="8">
        <v>1.8</v>
      </c>
      <c r="I20" s="4">
        <v>0</v>
      </c>
    </row>
    <row r="21" spans="1:9" x14ac:dyDescent="0.2">
      <c r="A21" s="2">
        <v>19</v>
      </c>
      <c r="B21" s="1" t="s">
        <v>127</v>
      </c>
      <c r="C21" s="4">
        <v>1261</v>
      </c>
      <c r="D21" s="8">
        <v>1.3</v>
      </c>
      <c r="E21" s="4">
        <v>599</v>
      </c>
      <c r="F21" s="8">
        <v>1.17</v>
      </c>
      <c r="G21" s="4">
        <v>638</v>
      </c>
      <c r="H21" s="8">
        <v>1.42</v>
      </c>
      <c r="I21" s="4">
        <v>0</v>
      </c>
    </row>
    <row r="22" spans="1:9" x14ac:dyDescent="0.2">
      <c r="A22" s="2">
        <v>20</v>
      </c>
      <c r="B22" s="1" t="s">
        <v>135</v>
      </c>
      <c r="C22" s="4">
        <v>1258</v>
      </c>
      <c r="D22" s="8">
        <v>1.3</v>
      </c>
      <c r="E22" s="4">
        <v>894</v>
      </c>
      <c r="F22" s="8">
        <v>1.75</v>
      </c>
      <c r="G22" s="4">
        <v>364</v>
      </c>
      <c r="H22" s="8">
        <v>0.81</v>
      </c>
      <c r="I22" s="4">
        <v>0</v>
      </c>
    </row>
    <row r="23" spans="1:9" x14ac:dyDescent="0.2">
      <c r="A23" s="1"/>
      <c r="C23" s="4"/>
      <c r="D23" s="8"/>
      <c r="E23" s="4"/>
      <c r="F23" s="8"/>
      <c r="G23" s="4"/>
      <c r="H23" s="8"/>
      <c r="I23" s="4"/>
    </row>
    <row r="24" spans="1:9" x14ac:dyDescent="0.2">
      <c r="A24" s="1" t="s">
        <v>1</v>
      </c>
      <c r="C24" s="4"/>
      <c r="D24" s="8"/>
      <c r="E24" s="4"/>
      <c r="F24" s="8"/>
      <c r="G24" s="4"/>
      <c r="H24" s="8"/>
      <c r="I24" s="4"/>
    </row>
    <row r="25" spans="1:9" x14ac:dyDescent="0.2">
      <c r="A25" s="2">
        <v>1</v>
      </c>
      <c r="B25" s="1" t="s">
        <v>132</v>
      </c>
      <c r="C25" s="4">
        <v>1036</v>
      </c>
      <c r="D25" s="8">
        <v>5.32</v>
      </c>
      <c r="E25" s="4">
        <v>910</v>
      </c>
      <c r="F25" s="8">
        <v>9.08</v>
      </c>
      <c r="G25" s="4">
        <v>126</v>
      </c>
      <c r="H25" s="8">
        <v>1.34</v>
      </c>
      <c r="I25" s="4">
        <v>0</v>
      </c>
    </row>
    <row r="26" spans="1:9" x14ac:dyDescent="0.2">
      <c r="A26" s="2">
        <v>2</v>
      </c>
      <c r="B26" s="1" t="s">
        <v>126</v>
      </c>
      <c r="C26" s="4">
        <v>729</v>
      </c>
      <c r="D26" s="8">
        <v>3.74</v>
      </c>
      <c r="E26" s="4">
        <v>356</v>
      </c>
      <c r="F26" s="8">
        <v>3.55</v>
      </c>
      <c r="G26" s="4">
        <v>373</v>
      </c>
      <c r="H26" s="8">
        <v>3.97</v>
      </c>
      <c r="I26" s="4">
        <v>0</v>
      </c>
    </row>
    <row r="27" spans="1:9" x14ac:dyDescent="0.2">
      <c r="A27" s="2">
        <v>3</v>
      </c>
      <c r="B27" s="1" t="s">
        <v>129</v>
      </c>
      <c r="C27" s="4">
        <v>613</v>
      </c>
      <c r="D27" s="8">
        <v>3.15</v>
      </c>
      <c r="E27" s="4">
        <v>574</v>
      </c>
      <c r="F27" s="8">
        <v>5.72</v>
      </c>
      <c r="G27" s="4">
        <v>39</v>
      </c>
      <c r="H27" s="8">
        <v>0.42</v>
      </c>
      <c r="I27" s="4">
        <v>0</v>
      </c>
    </row>
    <row r="28" spans="1:9" x14ac:dyDescent="0.2">
      <c r="A28" s="2">
        <v>4</v>
      </c>
      <c r="B28" s="1" t="s">
        <v>131</v>
      </c>
      <c r="C28" s="4">
        <v>549</v>
      </c>
      <c r="D28" s="8">
        <v>2.82</v>
      </c>
      <c r="E28" s="4">
        <v>536</v>
      </c>
      <c r="F28" s="8">
        <v>5.35</v>
      </c>
      <c r="G28" s="4">
        <v>13</v>
      </c>
      <c r="H28" s="8">
        <v>0.14000000000000001</v>
      </c>
      <c r="I28" s="4">
        <v>0</v>
      </c>
    </row>
    <row r="29" spans="1:9" x14ac:dyDescent="0.2">
      <c r="A29" s="2">
        <v>5</v>
      </c>
      <c r="B29" s="1" t="s">
        <v>128</v>
      </c>
      <c r="C29" s="4">
        <v>505</v>
      </c>
      <c r="D29" s="8">
        <v>2.59</v>
      </c>
      <c r="E29" s="4">
        <v>418</v>
      </c>
      <c r="F29" s="8">
        <v>4.17</v>
      </c>
      <c r="G29" s="4">
        <v>87</v>
      </c>
      <c r="H29" s="8">
        <v>0.93</v>
      </c>
      <c r="I29" s="4">
        <v>0</v>
      </c>
    </row>
    <row r="30" spans="1:9" x14ac:dyDescent="0.2">
      <c r="A30" s="2">
        <v>6</v>
      </c>
      <c r="B30" s="1" t="s">
        <v>134</v>
      </c>
      <c r="C30" s="4">
        <v>445</v>
      </c>
      <c r="D30" s="8">
        <v>2.2799999999999998</v>
      </c>
      <c r="E30" s="4">
        <v>400</v>
      </c>
      <c r="F30" s="8">
        <v>3.99</v>
      </c>
      <c r="G30" s="4">
        <v>45</v>
      </c>
      <c r="H30" s="8">
        <v>0.48</v>
      </c>
      <c r="I30" s="4">
        <v>0</v>
      </c>
    </row>
    <row r="31" spans="1:9" x14ac:dyDescent="0.2">
      <c r="A31" s="2">
        <v>7</v>
      </c>
      <c r="B31" s="1" t="s">
        <v>133</v>
      </c>
      <c r="C31" s="4">
        <v>411</v>
      </c>
      <c r="D31" s="8">
        <v>2.11</v>
      </c>
      <c r="E31" s="4">
        <v>332</v>
      </c>
      <c r="F31" s="8">
        <v>3.31</v>
      </c>
      <c r="G31" s="4">
        <v>78</v>
      </c>
      <c r="H31" s="8">
        <v>0.83</v>
      </c>
      <c r="I31" s="4">
        <v>1</v>
      </c>
    </row>
    <row r="32" spans="1:9" x14ac:dyDescent="0.2">
      <c r="A32" s="2">
        <v>8</v>
      </c>
      <c r="B32" s="1" t="s">
        <v>121</v>
      </c>
      <c r="C32" s="4">
        <v>372</v>
      </c>
      <c r="D32" s="8">
        <v>1.91</v>
      </c>
      <c r="E32" s="4">
        <v>266</v>
      </c>
      <c r="F32" s="8">
        <v>2.65</v>
      </c>
      <c r="G32" s="4">
        <v>105</v>
      </c>
      <c r="H32" s="8">
        <v>1.1200000000000001</v>
      </c>
      <c r="I32" s="4">
        <v>1</v>
      </c>
    </row>
    <row r="33" spans="1:9" x14ac:dyDescent="0.2">
      <c r="A33" s="2">
        <v>9</v>
      </c>
      <c r="B33" s="1" t="s">
        <v>124</v>
      </c>
      <c r="C33" s="4">
        <v>370</v>
      </c>
      <c r="D33" s="8">
        <v>1.9</v>
      </c>
      <c r="E33" s="4">
        <v>252</v>
      </c>
      <c r="F33" s="8">
        <v>2.5099999999999998</v>
      </c>
      <c r="G33" s="4">
        <v>117</v>
      </c>
      <c r="H33" s="8">
        <v>1.25</v>
      </c>
      <c r="I33" s="4">
        <v>1</v>
      </c>
    </row>
    <row r="34" spans="1:9" x14ac:dyDescent="0.2">
      <c r="A34" s="2">
        <v>10</v>
      </c>
      <c r="B34" s="1" t="s">
        <v>122</v>
      </c>
      <c r="C34" s="4">
        <v>352</v>
      </c>
      <c r="D34" s="8">
        <v>1.81</v>
      </c>
      <c r="E34" s="4">
        <v>214</v>
      </c>
      <c r="F34" s="8">
        <v>2.13</v>
      </c>
      <c r="G34" s="4">
        <v>138</v>
      </c>
      <c r="H34" s="8">
        <v>1.47</v>
      </c>
      <c r="I34" s="4">
        <v>0</v>
      </c>
    </row>
    <row r="35" spans="1:9" x14ac:dyDescent="0.2">
      <c r="A35" s="2">
        <v>11</v>
      </c>
      <c r="B35" s="1" t="s">
        <v>125</v>
      </c>
      <c r="C35" s="4">
        <v>341</v>
      </c>
      <c r="D35" s="8">
        <v>1.75</v>
      </c>
      <c r="E35" s="4">
        <v>72</v>
      </c>
      <c r="F35" s="8">
        <v>0.72</v>
      </c>
      <c r="G35" s="4">
        <v>269</v>
      </c>
      <c r="H35" s="8">
        <v>2.87</v>
      </c>
      <c r="I35" s="4">
        <v>0</v>
      </c>
    </row>
    <row r="36" spans="1:9" x14ac:dyDescent="0.2">
      <c r="A36" s="2">
        <v>12</v>
      </c>
      <c r="B36" s="1" t="s">
        <v>130</v>
      </c>
      <c r="C36" s="4">
        <v>326</v>
      </c>
      <c r="D36" s="8">
        <v>1.67</v>
      </c>
      <c r="E36" s="4">
        <v>303</v>
      </c>
      <c r="F36" s="8">
        <v>3.02</v>
      </c>
      <c r="G36" s="4">
        <v>23</v>
      </c>
      <c r="H36" s="8">
        <v>0.25</v>
      </c>
      <c r="I36" s="4">
        <v>0</v>
      </c>
    </row>
    <row r="37" spans="1:9" x14ac:dyDescent="0.2">
      <c r="A37" s="2">
        <v>13</v>
      </c>
      <c r="B37" s="1" t="s">
        <v>127</v>
      </c>
      <c r="C37" s="4">
        <v>285</v>
      </c>
      <c r="D37" s="8">
        <v>1.46</v>
      </c>
      <c r="E37" s="4">
        <v>111</v>
      </c>
      <c r="F37" s="8">
        <v>1.1100000000000001</v>
      </c>
      <c r="G37" s="4">
        <v>170</v>
      </c>
      <c r="H37" s="8">
        <v>1.81</v>
      </c>
      <c r="I37" s="4">
        <v>0</v>
      </c>
    </row>
    <row r="38" spans="1:9" x14ac:dyDescent="0.2">
      <c r="A38" s="2">
        <v>14</v>
      </c>
      <c r="B38" s="1" t="s">
        <v>120</v>
      </c>
      <c r="C38" s="4">
        <v>269</v>
      </c>
      <c r="D38" s="8">
        <v>1.38</v>
      </c>
      <c r="E38" s="4">
        <v>75</v>
      </c>
      <c r="F38" s="8">
        <v>0.75</v>
      </c>
      <c r="G38" s="4">
        <v>194</v>
      </c>
      <c r="H38" s="8">
        <v>2.0699999999999998</v>
      </c>
      <c r="I38" s="4">
        <v>0</v>
      </c>
    </row>
    <row r="39" spans="1:9" x14ac:dyDescent="0.2">
      <c r="A39" s="2">
        <v>15</v>
      </c>
      <c r="B39" s="1" t="s">
        <v>117</v>
      </c>
      <c r="C39" s="4">
        <v>267</v>
      </c>
      <c r="D39" s="8">
        <v>1.37</v>
      </c>
      <c r="E39" s="4">
        <v>46</v>
      </c>
      <c r="F39" s="8">
        <v>0.46</v>
      </c>
      <c r="G39" s="4">
        <v>221</v>
      </c>
      <c r="H39" s="8">
        <v>2.35</v>
      </c>
      <c r="I39" s="4">
        <v>0</v>
      </c>
    </row>
    <row r="40" spans="1:9" x14ac:dyDescent="0.2">
      <c r="A40" s="2">
        <v>16</v>
      </c>
      <c r="B40" s="1" t="s">
        <v>123</v>
      </c>
      <c r="C40" s="4">
        <v>260</v>
      </c>
      <c r="D40" s="8">
        <v>1.33</v>
      </c>
      <c r="E40" s="4">
        <v>95</v>
      </c>
      <c r="F40" s="8">
        <v>0.95</v>
      </c>
      <c r="G40" s="4">
        <v>165</v>
      </c>
      <c r="H40" s="8">
        <v>1.76</v>
      </c>
      <c r="I40" s="4">
        <v>0</v>
      </c>
    </row>
    <row r="41" spans="1:9" x14ac:dyDescent="0.2">
      <c r="A41" s="2">
        <v>17</v>
      </c>
      <c r="B41" s="1" t="s">
        <v>119</v>
      </c>
      <c r="C41" s="4">
        <v>242</v>
      </c>
      <c r="D41" s="8">
        <v>1.24</v>
      </c>
      <c r="E41" s="4">
        <v>82</v>
      </c>
      <c r="F41" s="8">
        <v>0.82</v>
      </c>
      <c r="G41" s="4">
        <v>160</v>
      </c>
      <c r="H41" s="8">
        <v>1.7</v>
      </c>
      <c r="I41" s="4">
        <v>0</v>
      </c>
    </row>
    <row r="42" spans="1:9" x14ac:dyDescent="0.2">
      <c r="A42" s="2">
        <v>18</v>
      </c>
      <c r="B42" s="1" t="s">
        <v>136</v>
      </c>
      <c r="C42" s="4">
        <v>238</v>
      </c>
      <c r="D42" s="8">
        <v>1.22</v>
      </c>
      <c r="E42" s="4">
        <v>193</v>
      </c>
      <c r="F42" s="8">
        <v>1.92</v>
      </c>
      <c r="G42" s="4">
        <v>45</v>
      </c>
      <c r="H42" s="8">
        <v>0.48</v>
      </c>
      <c r="I42" s="4">
        <v>0</v>
      </c>
    </row>
    <row r="43" spans="1:9" x14ac:dyDescent="0.2">
      <c r="A43" s="2">
        <v>18</v>
      </c>
      <c r="B43" s="1" t="s">
        <v>135</v>
      </c>
      <c r="C43" s="4">
        <v>238</v>
      </c>
      <c r="D43" s="8">
        <v>1.22</v>
      </c>
      <c r="E43" s="4">
        <v>190</v>
      </c>
      <c r="F43" s="8">
        <v>1.89</v>
      </c>
      <c r="G43" s="4">
        <v>48</v>
      </c>
      <c r="H43" s="8">
        <v>0.51</v>
      </c>
      <c r="I43" s="4">
        <v>0</v>
      </c>
    </row>
    <row r="44" spans="1:9" x14ac:dyDescent="0.2">
      <c r="A44" s="2">
        <v>20</v>
      </c>
      <c r="B44" s="1" t="s">
        <v>116</v>
      </c>
      <c r="C44" s="4">
        <v>236</v>
      </c>
      <c r="D44" s="8">
        <v>1.21</v>
      </c>
      <c r="E44" s="4">
        <v>33</v>
      </c>
      <c r="F44" s="8">
        <v>0.33</v>
      </c>
      <c r="G44" s="4">
        <v>203</v>
      </c>
      <c r="H44" s="8">
        <v>2.16</v>
      </c>
      <c r="I44" s="4">
        <v>0</v>
      </c>
    </row>
    <row r="45" spans="1:9" x14ac:dyDescent="0.2">
      <c r="A45" s="1"/>
      <c r="C45" s="4"/>
      <c r="D45" s="8"/>
      <c r="E45" s="4"/>
      <c r="F45" s="8"/>
      <c r="G45" s="4"/>
      <c r="H45" s="8"/>
      <c r="I45" s="4"/>
    </row>
    <row r="46" spans="1:9" x14ac:dyDescent="0.2">
      <c r="A46" s="1" t="s">
        <v>2</v>
      </c>
      <c r="C46" s="4"/>
      <c r="D46" s="8"/>
      <c r="E46" s="4"/>
      <c r="F46" s="8"/>
      <c r="G46" s="4"/>
      <c r="H46" s="8"/>
      <c r="I46" s="4"/>
    </row>
    <row r="47" spans="1:9" x14ac:dyDescent="0.2">
      <c r="A47" s="2">
        <v>1</v>
      </c>
      <c r="B47" s="1" t="s">
        <v>132</v>
      </c>
      <c r="C47" s="4">
        <v>421</v>
      </c>
      <c r="D47" s="8">
        <v>5.38</v>
      </c>
      <c r="E47" s="4">
        <v>357</v>
      </c>
      <c r="F47" s="8">
        <v>8.9700000000000006</v>
      </c>
      <c r="G47" s="4">
        <v>64</v>
      </c>
      <c r="H47" s="8">
        <v>1.68</v>
      </c>
      <c r="I47" s="4">
        <v>0</v>
      </c>
    </row>
    <row r="48" spans="1:9" x14ac:dyDescent="0.2">
      <c r="A48" s="2">
        <v>2</v>
      </c>
      <c r="B48" s="1" t="s">
        <v>129</v>
      </c>
      <c r="C48" s="4">
        <v>280</v>
      </c>
      <c r="D48" s="8">
        <v>3.58</v>
      </c>
      <c r="E48" s="4">
        <v>255</v>
      </c>
      <c r="F48" s="8">
        <v>6.4</v>
      </c>
      <c r="G48" s="4">
        <v>25</v>
      </c>
      <c r="H48" s="8">
        <v>0.66</v>
      </c>
      <c r="I48" s="4">
        <v>0</v>
      </c>
    </row>
    <row r="49" spans="1:9" x14ac:dyDescent="0.2">
      <c r="A49" s="2">
        <v>3</v>
      </c>
      <c r="B49" s="1" t="s">
        <v>128</v>
      </c>
      <c r="C49" s="4">
        <v>248</v>
      </c>
      <c r="D49" s="8">
        <v>3.17</v>
      </c>
      <c r="E49" s="4">
        <v>197</v>
      </c>
      <c r="F49" s="8">
        <v>4.95</v>
      </c>
      <c r="G49" s="4">
        <v>51</v>
      </c>
      <c r="H49" s="8">
        <v>1.34</v>
      </c>
      <c r="I49" s="4">
        <v>0</v>
      </c>
    </row>
    <row r="50" spans="1:9" x14ac:dyDescent="0.2">
      <c r="A50" s="2">
        <v>4</v>
      </c>
      <c r="B50" s="1" t="s">
        <v>126</v>
      </c>
      <c r="C50" s="4">
        <v>241</v>
      </c>
      <c r="D50" s="8">
        <v>3.08</v>
      </c>
      <c r="E50" s="4">
        <v>90</v>
      </c>
      <c r="F50" s="8">
        <v>2.2599999999999998</v>
      </c>
      <c r="G50" s="4">
        <v>151</v>
      </c>
      <c r="H50" s="8">
        <v>3.97</v>
      </c>
      <c r="I50" s="4">
        <v>0</v>
      </c>
    </row>
    <row r="51" spans="1:9" x14ac:dyDescent="0.2">
      <c r="A51" s="2">
        <v>5</v>
      </c>
      <c r="B51" s="1" t="s">
        <v>131</v>
      </c>
      <c r="C51" s="4">
        <v>196</v>
      </c>
      <c r="D51" s="8">
        <v>2.5</v>
      </c>
      <c r="E51" s="4">
        <v>189</v>
      </c>
      <c r="F51" s="8">
        <v>4.75</v>
      </c>
      <c r="G51" s="4">
        <v>7</v>
      </c>
      <c r="H51" s="8">
        <v>0.18</v>
      </c>
      <c r="I51" s="4">
        <v>0</v>
      </c>
    </row>
    <row r="52" spans="1:9" x14ac:dyDescent="0.2">
      <c r="A52" s="2">
        <v>6</v>
      </c>
      <c r="B52" s="1" t="s">
        <v>124</v>
      </c>
      <c r="C52" s="4">
        <v>174</v>
      </c>
      <c r="D52" s="8">
        <v>2.2200000000000002</v>
      </c>
      <c r="E52" s="4">
        <v>105</v>
      </c>
      <c r="F52" s="8">
        <v>2.64</v>
      </c>
      <c r="G52" s="4">
        <v>69</v>
      </c>
      <c r="H52" s="8">
        <v>1.81</v>
      </c>
      <c r="I52" s="4">
        <v>0</v>
      </c>
    </row>
    <row r="53" spans="1:9" x14ac:dyDescent="0.2">
      <c r="A53" s="2">
        <v>7</v>
      </c>
      <c r="B53" s="1" t="s">
        <v>121</v>
      </c>
      <c r="C53" s="4">
        <v>172</v>
      </c>
      <c r="D53" s="8">
        <v>2.2000000000000002</v>
      </c>
      <c r="E53" s="4">
        <v>118</v>
      </c>
      <c r="F53" s="8">
        <v>2.96</v>
      </c>
      <c r="G53" s="4">
        <v>54</v>
      </c>
      <c r="H53" s="8">
        <v>1.42</v>
      </c>
      <c r="I53" s="4">
        <v>0</v>
      </c>
    </row>
    <row r="54" spans="1:9" x14ac:dyDescent="0.2">
      <c r="A54" s="2">
        <v>8</v>
      </c>
      <c r="B54" s="1" t="s">
        <v>130</v>
      </c>
      <c r="C54" s="4">
        <v>171</v>
      </c>
      <c r="D54" s="8">
        <v>2.1800000000000002</v>
      </c>
      <c r="E54" s="4">
        <v>154</v>
      </c>
      <c r="F54" s="8">
        <v>3.87</v>
      </c>
      <c r="G54" s="4">
        <v>17</v>
      </c>
      <c r="H54" s="8">
        <v>0.45</v>
      </c>
      <c r="I54" s="4">
        <v>0</v>
      </c>
    </row>
    <row r="55" spans="1:9" x14ac:dyDescent="0.2">
      <c r="A55" s="2">
        <v>9</v>
      </c>
      <c r="B55" s="1" t="s">
        <v>133</v>
      </c>
      <c r="C55" s="4">
        <v>170</v>
      </c>
      <c r="D55" s="8">
        <v>2.17</v>
      </c>
      <c r="E55" s="4">
        <v>128</v>
      </c>
      <c r="F55" s="8">
        <v>3.21</v>
      </c>
      <c r="G55" s="4">
        <v>42</v>
      </c>
      <c r="H55" s="8">
        <v>1.1000000000000001</v>
      </c>
      <c r="I55" s="4">
        <v>0</v>
      </c>
    </row>
    <row r="56" spans="1:9" x14ac:dyDescent="0.2">
      <c r="A56" s="2">
        <v>10</v>
      </c>
      <c r="B56" s="1" t="s">
        <v>134</v>
      </c>
      <c r="C56" s="4">
        <v>165</v>
      </c>
      <c r="D56" s="8">
        <v>2.11</v>
      </c>
      <c r="E56" s="4">
        <v>149</v>
      </c>
      <c r="F56" s="8">
        <v>3.74</v>
      </c>
      <c r="G56" s="4">
        <v>16</v>
      </c>
      <c r="H56" s="8">
        <v>0.42</v>
      </c>
      <c r="I56" s="4">
        <v>0</v>
      </c>
    </row>
    <row r="57" spans="1:9" x14ac:dyDescent="0.2">
      <c r="A57" s="2">
        <v>11</v>
      </c>
      <c r="B57" s="1" t="s">
        <v>125</v>
      </c>
      <c r="C57" s="4">
        <v>151</v>
      </c>
      <c r="D57" s="8">
        <v>1.93</v>
      </c>
      <c r="E57" s="4">
        <v>30</v>
      </c>
      <c r="F57" s="8">
        <v>0.75</v>
      </c>
      <c r="G57" s="4">
        <v>121</v>
      </c>
      <c r="H57" s="8">
        <v>3.18</v>
      </c>
      <c r="I57" s="4">
        <v>0</v>
      </c>
    </row>
    <row r="58" spans="1:9" x14ac:dyDescent="0.2">
      <c r="A58" s="2">
        <v>12</v>
      </c>
      <c r="B58" s="1" t="s">
        <v>127</v>
      </c>
      <c r="C58" s="4">
        <v>145</v>
      </c>
      <c r="D58" s="8">
        <v>1.85</v>
      </c>
      <c r="E58" s="4">
        <v>54</v>
      </c>
      <c r="F58" s="8">
        <v>1.36</v>
      </c>
      <c r="G58" s="4">
        <v>89</v>
      </c>
      <c r="H58" s="8">
        <v>2.34</v>
      </c>
      <c r="I58" s="4">
        <v>0</v>
      </c>
    </row>
    <row r="59" spans="1:9" x14ac:dyDescent="0.2">
      <c r="A59" s="2">
        <v>13</v>
      </c>
      <c r="B59" s="1" t="s">
        <v>137</v>
      </c>
      <c r="C59" s="4">
        <v>128</v>
      </c>
      <c r="D59" s="8">
        <v>1.63</v>
      </c>
      <c r="E59" s="4">
        <v>61</v>
      </c>
      <c r="F59" s="8">
        <v>1.53</v>
      </c>
      <c r="G59" s="4">
        <v>67</v>
      </c>
      <c r="H59" s="8">
        <v>1.76</v>
      </c>
      <c r="I59" s="4">
        <v>0</v>
      </c>
    </row>
    <row r="60" spans="1:9" x14ac:dyDescent="0.2">
      <c r="A60" s="2">
        <v>14</v>
      </c>
      <c r="B60" s="1" t="s">
        <v>123</v>
      </c>
      <c r="C60" s="4">
        <v>117</v>
      </c>
      <c r="D60" s="8">
        <v>1.49</v>
      </c>
      <c r="E60" s="4">
        <v>35</v>
      </c>
      <c r="F60" s="8">
        <v>0.88</v>
      </c>
      <c r="G60" s="4">
        <v>82</v>
      </c>
      <c r="H60" s="8">
        <v>2.16</v>
      </c>
      <c r="I60" s="4">
        <v>0</v>
      </c>
    </row>
    <row r="61" spans="1:9" x14ac:dyDescent="0.2">
      <c r="A61" s="2">
        <v>15</v>
      </c>
      <c r="B61" s="1" t="s">
        <v>139</v>
      </c>
      <c r="C61" s="4">
        <v>111</v>
      </c>
      <c r="D61" s="8">
        <v>1.42</v>
      </c>
      <c r="E61" s="4">
        <v>97</v>
      </c>
      <c r="F61" s="8">
        <v>2.44</v>
      </c>
      <c r="G61" s="4">
        <v>14</v>
      </c>
      <c r="H61" s="8">
        <v>0.37</v>
      </c>
      <c r="I61" s="4">
        <v>0</v>
      </c>
    </row>
    <row r="62" spans="1:9" x14ac:dyDescent="0.2">
      <c r="A62" s="2">
        <v>16</v>
      </c>
      <c r="B62" s="1" t="s">
        <v>122</v>
      </c>
      <c r="C62" s="4">
        <v>110</v>
      </c>
      <c r="D62" s="8">
        <v>1.4</v>
      </c>
      <c r="E62" s="4">
        <v>68</v>
      </c>
      <c r="F62" s="8">
        <v>1.71</v>
      </c>
      <c r="G62" s="4">
        <v>42</v>
      </c>
      <c r="H62" s="8">
        <v>1.1000000000000001</v>
      </c>
      <c r="I62" s="4">
        <v>0</v>
      </c>
    </row>
    <row r="63" spans="1:9" x14ac:dyDescent="0.2">
      <c r="A63" s="2">
        <v>17</v>
      </c>
      <c r="B63" s="1" t="s">
        <v>136</v>
      </c>
      <c r="C63" s="4">
        <v>106</v>
      </c>
      <c r="D63" s="8">
        <v>1.35</v>
      </c>
      <c r="E63" s="4">
        <v>81</v>
      </c>
      <c r="F63" s="8">
        <v>2.0299999999999998</v>
      </c>
      <c r="G63" s="4">
        <v>25</v>
      </c>
      <c r="H63" s="8">
        <v>0.66</v>
      </c>
      <c r="I63" s="4">
        <v>0</v>
      </c>
    </row>
    <row r="64" spans="1:9" x14ac:dyDescent="0.2">
      <c r="A64" s="2">
        <v>18</v>
      </c>
      <c r="B64" s="1" t="s">
        <v>117</v>
      </c>
      <c r="C64" s="4">
        <v>96</v>
      </c>
      <c r="D64" s="8">
        <v>1.23</v>
      </c>
      <c r="E64" s="4">
        <v>16</v>
      </c>
      <c r="F64" s="8">
        <v>0.4</v>
      </c>
      <c r="G64" s="4">
        <v>80</v>
      </c>
      <c r="H64" s="8">
        <v>2.1</v>
      </c>
      <c r="I64" s="4">
        <v>0</v>
      </c>
    </row>
    <row r="65" spans="1:9" x14ac:dyDescent="0.2">
      <c r="A65" s="2">
        <v>18</v>
      </c>
      <c r="B65" s="1" t="s">
        <v>140</v>
      </c>
      <c r="C65" s="4">
        <v>96</v>
      </c>
      <c r="D65" s="8">
        <v>1.23</v>
      </c>
      <c r="E65" s="4">
        <v>63</v>
      </c>
      <c r="F65" s="8">
        <v>1.58</v>
      </c>
      <c r="G65" s="4">
        <v>33</v>
      </c>
      <c r="H65" s="8">
        <v>0.87</v>
      </c>
      <c r="I65" s="4">
        <v>0</v>
      </c>
    </row>
    <row r="66" spans="1:9" x14ac:dyDescent="0.2">
      <c r="A66" s="2">
        <v>20</v>
      </c>
      <c r="B66" s="1" t="s">
        <v>138</v>
      </c>
      <c r="C66" s="4">
        <v>95</v>
      </c>
      <c r="D66" s="8">
        <v>1.21</v>
      </c>
      <c r="E66" s="4">
        <v>28</v>
      </c>
      <c r="F66" s="8">
        <v>0.7</v>
      </c>
      <c r="G66" s="4">
        <v>67</v>
      </c>
      <c r="H66" s="8">
        <v>1.76</v>
      </c>
      <c r="I66" s="4">
        <v>0</v>
      </c>
    </row>
    <row r="67" spans="1:9" x14ac:dyDescent="0.2">
      <c r="A67" s="1"/>
      <c r="C67" s="4"/>
      <c r="D67" s="8"/>
      <c r="E67" s="4"/>
      <c r="F67" s="8"/>
      <c r="G67" s="4"/>
      <c r="H67" s="8"/>
      <c r="I67" s="4"/>
    </row>
    <row r="68" spans="1:9" x14ac:dyDescent="0.2">
      <c r="A68" s="1" t="s">
        <v>3</v>
      </c>
      <c r="C68" s="4"/>
      <c r="D68" s="8"/>
      <c r="E68" s="4"/>
      <c r="F68" s="8"/>
      <c r="G68" s="4"/>
      <c r="H68" s="8"/>
      <c r="I68" s="4"/>
    </row>
    <row r="69" spans="1:9" x14ac:dyDescent="0.2">
      <c r="A69" s="2">
        <v>1</v>
      </c>
      <c r="B69" s="1" t="s">
        <v>126</v>
      </c>
      <c r="C69" s="4">
        <v>276</v>
      </c>
      <c r="D69" s="8">
        <v>5.13</v>
      </c>
      <c r="E69" s="4">
        <v>132</v>
      </c>
      <c r="F69" s="8">
        <v>5.59</v>
      </c>
      <c r="G69" s="4">
        <v>144</v>
      </c>
      <c r="H69" s="8">
        <v>4.79</v>
      </c>
      <c r="I69" s="4">
        <v>0</v>
      </c>
    </row>
    <row r="70" spans="1:9" x14ac:dyDescent="0.2">
      <c r="A70" s="2">
        <v>2</v>
      </c>
      <c r="B70" s="1" t="s">
        <v>132</v>
      </c>
      <c r="C70" s="4">
        <v>268</v>
      </c>
      <c r="D70" s="8">
        <v>4.99</v>
      </c>
      <c r="E70" s="4">
        <v>238</v>
      </c>
      <c r="F70" s="8">
        <v>10.08</v>
      </c>
      <c r="G70" s="4">
        <v>30</v>
      </c>
      <c r="H70" s="8">
        <v>1</v>
      </c>
      <c r="I70" s="4">
        <v>0</v>
      </c>
    </row>
    <row r="71" spans="1:9" x14ac:dyDescent="0.2">
      <c r="A71" s="2">
        <v>3</v>
      </c>
      <c r="B71" s="1" t="s">
        <v>131</v>
      </c>
      <c r="C71" s="4">
        <v>141</v>
      </c>
      <c r="D71" s="8">
        <v>2.62</v>
      </c>
      <c r="E71" s="4">
        <v>137</v>
      </c>
      <c r="F71" s="8">
        <v>5.81</v>
      </c>
      <c r="G71" s="4">
        <v>4</v>
      </c>
      <c r="H71" s="8">
        <v>0.13</v>
      </c>
      <c r="I71" s="4">
        <v>0</v>
      </c>
    </row>
    <row r="72" spans="1:9" x14ac:dyDescent="0.2">
      <c r="A72" s="2">
        <v>4</v>
      </c>
      <c r="B72" s="1" t="s">
        <v>129</v>
      </c>
      <c r="C72" s="4">
        <v>140</v>
      </c>
      <c r="D72" s="8">
        <v>2.6</v>
      </c>
      <c r="E72" s="4">
        <v>135</v>
      </c>
      <c r="F72" s="8">
        <v>5.72</v>
      </c>
      <c r="G72" s="4">
        <v>5</v>
      </c>
      <c r="H72" s="8">
        <v>0.17</v>
      </c>
      <c r="I72" s="4">
        <v>0</v>
      </c>
    </row>
    <row r="73" spans="1:9" x14ac:dyDescent="0.2">
      <c r="A73" s="2">
        <v>5</v>
      </c>
      <c r="B73" s="1" t="s">
        <v>134</v>
      </c>
      <c r="C73" s="4">
        <v>118</v>
      </c>
      <c r="D73" s="8">
        <v>2.19</v>
      </c>
      <c r="E73" s="4">
        <v>103</v>
      </c>
      <c r="F73" s="8">
        <v>4.3600000000000003</v>
      </c>
      <c r="G73" s="4">
        <v>15</v>
      </c>
      <c r="H73" s="8">
        <v>0.5</v>
      </c>
      <c r="I73" s="4">
        <v>0</v>
      </c>
    </row>
    <row r="74" spans="1:9" x14ac:dyDescent="0.2">
      <c r="A74" s="2">
        <v>6</v>
      </c>
      <c r="B74" s="1" t="s">
        <v>122</v>
      </c>
      <c r="C74" s="4">
        <v>117</v>
      </c>
      <c r="D74" s="8">
        <v>2.1800000000000002</v>
      </c>
      <c r="E74" s="4">
        <v>67</v>
      </c>
      <c r="F74" s="8">
        <v>2.84</v>
      </c>
      <c r="G74" s="4">
        <v>50</v>
      </c>
      <c r="H74" s="8">
        <v>1.66</v>
      </c>
      <c r="I74" s="4">
        <v>0</v>
      </c>
    </row>
    <row r="75" spans="1:9" x14ac:dyDescent="0.2">
      <c r="A75" s="2">
        <v>7</v>
      </c>
      <c r="B75" s="1" t="s">
        <v>125</v>
      </c>
      <c r="C75" s="4">
        <v>113</v>
      </c>
      <c r="D75" s="8">
        <v>2.1</v>
      </c>
      <c r="E75" s="4">
        <v>18</v>
      </c>
      <c r="F75" s="8">
        <v>0.76</v>
      </c>
      <c r="G75" s="4">
        <v>95</v>
      </c>
      <c r="H75" s="8">
        <v>3.16</v>
      </c>
      <c r="I75" s="4">
        <v>0</v>
      </c>
    </row>
    <row r="76" spans="1:9" x14ac:dyDescent="0.2">
      <c r="A76" s="2">
        <v>8</v>
      </c>
      <c r="B76" s="1" t="s">
        <v>120</v>
      </c>
      <c r="C76" s="4">
        <v>101</v>
      </c>
      <c r="D76" s="8">
        <v>1.88</v>
      </c>
      <c r="E76" s="4">
        <v>19</v>
      </c>
      <c r="F76" s="8">
        <v>0.81</v>
      </c>
      <c r="G76" s="4">
        <v>82</v>
      </c>
      <c r="H76" s="8">
        <v>2.73</v>
      </c>
      <c r="I76" s="4">
        <v>0</v>
      </c>
    </row>
    <row r="77" spans="1:9" x14ac:dyDescent="0.2">
      <c r="A77" s="2">
        <v>8</v>
      </c>
      <c r="B77" s="1" t="s">
        <v>128</v>
      </c>
      <c r="C77" s="4">
        <v>101</v>
      </c>
      <c r="D77" s="8">
        <v>1.88</v>
      </c>
      <c r="E77" s="4">
        <v>84</v>
      </c>
      <c r="F77" s="8">
        <v>3.56</v>
      </c>
      <c r="G77" s="4">
        <v>17</v>
      </c>
      <c r="H77" s="8">
        <v>0.56999999999999995</v>
      </c>
      <c r="I77" s="4">
        <v>0</v>
      </c>
    </row>
    <row r="78" spans="1:9" x14ac:dyDescent="0.2">
      <c r="A78" s="2">
        <v>10</v>
      </c>
      <c r="B78" s="1" t="s">
        <v>142</v>
      </c>
      <c r="C78" s="4">
        <v>95</v>
      </c>
      <c r="D78" s="8">
        <v>1.77</v>
      </c>
      <c r="E78" s="4">
        <v>5</v>
      </c>
      <c r="F78" s="8">
        <v>0.21</v>
      </c>
      <c r="G78" s="4">
        <v>90</v>
      </c>
      <c r="H78" s="8">
        <v>3</v>
      </c>
      <c r="I78" s="4">
        <v>0</v>
      </c>
    </row>
    <row r="79" spans="1:9" x14ac:dyDescent="0.2">
      <c r="A79" s="2">
        <v>11</v>
      </c>
      <c r="B79" s="1" t="s">
        <v>117</v>
      </c>
      <c r="C79" s="4">
        <v>93</v>
      </c>
      <c r="D79" s="8">
        <v>1.73</v>
      </c>
      <c r="E79" s="4">
        <v>11</v>
      </c>
      <c r="F79" s="8">
        <v>0.47</v>
      </c>
      <c r="G79" s="4">
        <v>82</v>
      </c>
      <c r="H79" s="8">
        <v>2.73</v>
      </c>
      <c r="I79" s="4">
        <v>0</v>
      </c>
    </row>
    <row r="80" spans="1:9" x14ac:dyDescent="0.2">
      <c r="A80" s="2">
        <v>11</v>
      </c>
      <c r="B80" s="1" t="s">
        <v>133</v>
      </c>
      <c r="C80" s="4">
        <v>93</v>
      </c>
      <c r="D80" s="8">
        <v>1.73</v>
      </c>
      <c r="E80" s="4">
        <v>72</v>
      </c>
      <c r="F80" s="8">
        <v>3.05</v>
      </c>
      <c r="G80" s="4">
        <v>21</v>
      </c>
      <c r="H80" s="8">
        <v>0.7</v>
      </c>
      <c r="I80" s="4">
        <v>0</v>
      </c>
    </row>
    <row r="81" spans="1:9" x14ac:dyDescent="0.2">
      <c r="A81" s="2">
        <v>13</v>
      </c>
      <c r="B81" s="1" t="s">
        <v>119</v>
      </c>
      <c r="C81" s="4">
        <v>86</v>
      </c>
      <c r="D81" s="8">
        <v>1.6</v>
      </c>
      <c r="E81" s="4">
        <v>23</v>
      </c>
      <c r="F81" s="8">
        <v>0.97</v>
      </c>
      <c r="G81" s="4">
        <v>63</v>
      </c>
      <c r="H81" s="8">
        <v>2.1</v>
      </c>
      <c r="I81" s="4">
        <v>0</v>
      </c>
    </row>
    <row r="82" spans="1:9" x14ac:dyDescent="0.2">
      <c r="A82" s="2">
        <v>14</v>
      </c>
      <c r="B82" s="1" t="s">
        <v>124</v>
      </c>
      <c r="C82" s="4">
        <v>85</v>
      </c>
      <c r="D82" s="8">
        <v>1.58</v>
      </c>
      <c r="E82" s="4">
        <v>58</v>
      </c>
      <c r="F82" s="8">
        <v>2.46</v>
      </c>
      <c r="G82" s="4">
        <v>26</v>
      </c>
      <c r="H82" s="8">
        <v>0.87</v>
      </c>
      <c r="I82" s="4">
        <v>1</v>
      </c>
    </row>
    <row r="83" spans="1:9" x14ac:dyDescent="0.2">
      <c r="A83" s="2">
        <v>15</v>
      </c>
      <c r="B83" s="1" t="s">
        <v>127</v>
      </c>
      <c r="C83" s="4">
        <v>77</v>
      </c>
      <c r="D83" s="8">
        <v>1.43</v>
      </c>
      <c r="E83" s="4">
        <v>22</v>
      </c>
      <c r="F83" s="8">
        <v>0.93</v>
      </c>
      <c r="G83" s="4">
        <v>55</v>
      </c>
      <c r="H83" s="8">
        <v>1.83</v>
      </c>
      <c r="I83" s="4">
        <v>0</v>
      </c>
    </row>
    <row r="84" spans="1:9" x14ac:dyDescent="0.2">
      <c r="A84" s="2">
        <v>16</v>
      </c>
      <c r="B84" s="1" t="s">
        <v>138</v>
      </c>
      <c r="C84" s="4">
        <v>76</v>
      </c>
      <c r="D84" s="8">
        <v>1.41</v>
      </c>
      <c r="E84" s="4">
        <v>19</v>
      </c>
      <c r="F84" s="8">
        <v>0.81</v>
      </c>
      <c r="G84" s="4">
        <v>57</v>
      </c>
      <c r="H84" s="8">
        <v>1.9</v>
      </c>
      <c r="I84" s="4">
        <v>0</v>
      </c>
    </row>
    <row r="85" spans="1:9" x14ac:dyDescent="0.2">
      <c r="A85" s="2">
        <v>17</v>
      </c>
      <c r="B85" s="1" t="s">
        <v>135</v>
      </c>
      <c r="C85" s="4">
        <v>75</v>
      </c>
      <c r="D85" s="8">
        <v>1.4</v>
      </c>
      <c r="E85" s="4">
        <v>59</v>
      </c>
      <c r="F85" s="8">
        <v>2.5</v>
      </c>
      <c r="G85" s="4">
        <v>16</v>
      </c>
      <c r="H85" s="8">
        <v>0.53</v>
      </c>
      <c r="I85" s="4">
        <v>0</v>
      </c>
    </row>
    <row r="86" spans="1:9" x14ac:dyDescent="0.2">
      <c r="A86" s="2">
        <v>18</v>
      </c>
      <c r="B86" s="1" t="s">
        <v>141</v>
      </c>
      <c r="C86" s="4">
        <v>74</v>
      </c>
      <c r="D86" s="8">
        <v>1.38</v>
      </c>
      <c r="E86" s="4">
        <v>45</v>
      </c>
      <c r="F86" s="8">
        <v>1.91</v>
      </c>
      <c r="G86" s="4">
        <v>29</v>
      </c>
      <c r="H86" s="8">
        <v>0.97</v>
      </c>
      <c r="I86" s="4">
        <v>0</v>
      </c>
    </row>
    <row r="87" spans="1:9" x14ac:dyDescent="0.2">
      <c r="A87" s="2">
        <v>19</v>
      </c>
      <c r="B87" s="1" t="s">
        <v>143</v>
      </c>
      <c r="C87" s="4">
        <v>73</v>
      </c>
      <c r="D87" s="8">
        <v>1.36</v>
      </c>
      <c r="E87" s="4">
        <v>9</v>
      </c>
      <c r="F87" s="8">
        <v>0.38</v>
      </c>
      <c r="G87" s="4">
        <v>64</v>
      </c>
      <c r="H87" s="8">
        <v>2.13</v>
      </c>
      <c r="I87" s="4">
        <v>0</v>
      </c>
    </row>
    <row r="88" spans="1:9" x14ac:dyDescent="0.2">
      <c r="A88" s="2">
        <v>20</v>
      </c>
      <c r="B88" s="1" t="s">
        <v>123</v>
      </c>
      <c r="C88" s="4">
        <v>72</v>
      </c>
      <c r="D88" s="8">
        <v>1.34</v>
      </c>
      <c r="E88" s="4">
        <v>28</v>
      </c>
      <c r="F88" s="8">
        <v>1.19</v>
      </c>
      <c r="G88" s="4">
        <v>44</v>
      </c>
      <c r="H88" s="8">
        <v>1.46</v>
      </c>
      <c r="I88" s="4">
        <v>0</v>
      </c>
    </row>
    <row r="89" spans="1:9" x14ac:dyDescent="0.2">
      <c r="A89" s="1"/>
      <c r="C89" s="4"/>
      <c r="D89" s="8"/>
      <c r="E89" s="4"/>
      <c r="F89" s="8"/>
      <c r="G89" s="4"/>
      <c r="H89" s="8"/>
      <c r="I89" s="4"/>
    </row>
    <row r="90" spans="1:9" x14ac:dyDescent="0.2">
      <c r="A90" s="1" t="s">
        <v>4</v>
      </c>
      <c r="C90" s="4"/>
      <c r="D90" s="8"/>
      <c r="E90" s="4"/>
      <c r="F90" s="8"/>
      <c r="G90" s="4"/>
      <c r="H90" s="8"/>
      <c r="I90" s="4"/>
    </row>
    <row r="91" spans="1:9" x14ac:dyDescent="0.2">
      <c r="A91" s="2">
        <v>1</v>
      </c>
      <c r="B91" s="1" t="s">
        <v>132</v>
      </c>
      <c r="C91" s="4">
        <v>347</v>
      </c>
      <c r="D91" s="8">
        <v>5.53</v>
      </c>
      <c r="E91" s="4">
        <v>315</v>
      </c>
      <c r="F91" s="8">
        <v>8.5500000000000007</v>
      </c>
      <c r="G91" s="4">
        <v>32</v>
      </c>
      <c r="H91" s="8">
        <v>1.24</v>
      </c>
      <c r="I91" s="4">
        <v>0</v>
      </c>
    </row>
    <row r="92" spans="1:9" x14ac:dyDescent="0.2">
      <c r="A92" s="2">
        <v>2</v>
      </c>
      <c r="B92" s="1" t="s">
        <v>126</v>
      </c>
      <c r="C92" s="4">
        <v>212</v>
      </c>
      <c r="D92" s="8">
        <v>3.38</v>
      </c>
      <c r="E92" s="4">
        <v>134</v>
      </c>
      <c r="F92" s="8">
        <v>3.64</v>
      </c>
      <c r="G92" s="4">
        <v>78</v>
      </c>
      <c r="H92" s="8">
        <v>3.03</v>
      </c>
      <c r="I92" s="4">
        <v>0</v>
      </c>
    </row>
    <row r="93" spans="1:9" x14ac:dyDescent="0.2">
      <c r="A93" s="2">
        <v>2</v>
      </c>
      <c r="B93" s="1" t="s">
        <v>131</v>
      </c>
      <c r="C93" s="4">
        <v>212</v>
      </c>
      <c r="D93" s="8">
        <v>3.38</v>
      </c>
      <c r="E93" s="4">
        <v>210</v>
      </c>
      <c r="F93" s="8">
        <v>5.7</v>
      </c>
      <c r="G93" s="4">
        <v>2</v>
      </c>
      <c r="H93" s="8">
        <v>0.08</v>
      </c>
      <c r="I93" s="4">
        <v>0</v>
      </c>
    </row>
    <row r="94" spans="1:9" x14ac:dyDescent="0.2">
      <c r="A94" s="2">
        <v>4</v>
      </c>
      <c r="B94" s="1" t="s">
        <v>129</v>
      </c>
      <c r="C94" s="4">
        <v>193</v>
      </c>
      <c r="D94" s="8">
        <v>3.07</v>
      </c>
      <c r="E94" s="4">
        <v>184</v>
      </c>
      <c r="F94" s="8">
        <v>4.99</v>
      </c>
      <c r="G94" s="4">
        <v>9</v>
      </c>
      <c r="H94" s="8">
        <v>0.35</v>
      </c>
      <c r="I94" s="4">
        <v>0</v>
      </c>
    </row>
    <row r="95" spans="1:9" x14ac:dyDescent="0.2">
      <c r="A95" s="2">
        <v>5</v>
      </c>
      <c r="B95" s="1" t="s">
        <v>134</v>
      </c>
      <c r="C95" s="4">
        <v>162</v>
      </c>
      <c r="D95" s="8">
        <v>2.58</v>
      </c>
      <c r="E95" s="4">
        <v>148</v>
      </c>
      <c r="F95" s="8">
        <v>4.0199999999999996</v>
      </c>
      <c r="G95" s="4">
        <v>14</v>
      </c>
      <c r="H95" s="8">
        <v>0.54</v>
      </c>
      <c r="I95" s="4">
        <v>0</v>
      </c>
    </row>
    <row r="96" spans="1:9" x14ac:dyDescent="0.2">
      <c r="A96" s="2">
        <v>6</v>
      </c>
      <c r="B96" s="1" t="s">
        <v>128</v>
      </c>
      <c r="C96" s="4">
        <v>156</v>
      </c>
      <c r="D96" s="8">
        <v>2.48</v>
      </c>
      <c r="E96" s="4">
        <v>137</v>
      </c>
      <c r="F96" s="8">
        <v>3.72</v>
      </c>
      <c r="G96" s="4">
        <v>19</v>
      </c>
      <c r="H96" s="8">
        <v>0.74</v>
      </c>
      <c r="I96" s="4">
        <v>0</v>
      </c>
    </row>
    <row r="97" spans="1:9" x14ac:dyDescent="0.2">
      <c r="A97" s="2">
        <v>7</v>
      </c>
      <c r="B97" s="1" t="s">
        <v>133</v>
      </c>
      <c r="C97" s="4">
        <v>148</v>
      </c>
      <c r="D97" s="8">
        <v>2.36</v>
      </c>
      <c r="E97" s="4">
        <v>132</v>
      </c>
      <c r="F97" s="8">
        <v>3.58</v>
      </c>
      <c r="G97" s="4">
        <v>15</v>
      </c>
      <c r="H97" s="8">
        <v>0.57999999999999996</v>
      </c>
      <c r="I97" s="4">
        <v>1</v>
      </c>
    </row>
    <row r="98" spans="1:9" x14ac:dyDescent="0.2">
      <c r="A98" s="2">
        <v>8</v>
      </c>
      <c r="B98" s="1" t="s">
        <v>121</v>
      </c>
      <c r="C98" s="4">
        <v>134</v>
      </c>
      <c r="D98" s="8">
        <v>2.13</v>
      </c>
      <c r="E98" s="4">
        <v>105</v>
      </c>
      <c r="F98" s="8">
        <v>2.85</v>
      </c>
      <c r="G98" s="4">
        <v>28</v>
      </c>
      <c r="H98" s="8">
        <v>1.0900000000000001</v>
      </c>
      <c r="I98" s="4">
        <v>1</v>
      </c>
    </row>
    <row r="99" spans="1:9" x14ac:dyDescent="0.2">
      <c r="A99" s="2">
        <v>9</v>
      </c>
      <c r="B99" s="1" t="s">
        <v>122</v>
      </c>
      <c r="C99" s="4">
        <v>125</v>
      </c>
      <c r="D99" s="8">
        <v>1.99</v>
      </c>
      <c r="E99" s="4">
        <v>79</v>
      </c>
      <c r="F99" s="8">
        <v>2.14</v>
      </c>
      <c r="G99" s="4">
        <v>46</v>
      </c>
      <c r="H99" s="8">
        <v>1.79</v>
      </c>
      <c r="I99" s="4">
        <v>0</v>
      </c>
    </row>
    <row r="100" spans="1:9" x14ac:dyDescent="0.2">
      <c r="A100" s="2">
        <v>10</v>
      </c>
      <c r="B100" s="1" t="s">
        <v>124</v>
      </c>
      <c r="C100" s="4">
        <v>111</v>
      </c>
      <c r="D100" s="8">
        <v>1.77</v>
      </c>
      <c r="E100" s="4">
        <v>89</v>
      </c>
      <c r="F100" s="8">
        <v>2.42</v>
      </c>
      <c r="G100" s="4">
        <v>22</v>
      </c>
      <c r="H100" s="8">
        <v>0.85</v>
      </c>
      <c r="I100" s="4">
        <v>0</v>
      </c>
    </row>
    <row r="101" spans="1:9" x14ac:dyDescent="0.2">
      <c r="A101" s="2">
        <v>11</v>
      </c>
      <c r="B101" s="1" t="s">
        <v>120</v>
      </c>
      <c r="C101" s="4">
        <v>107</v>
      </c>
      <c r="D101" s="8">
        <v>1.7</v>
      </c>
      <c r="E101" s="4">
        <v>34</v>
      </c>
      <c r="F101" s="8">
        <v>0.92</v>
      </c>
      <c r="G101" s="4">
        <v>73</v>
      </c>
      <c r="H101" s="8">
        <v>2.83</v>
      </c>
      <c r="I101" s="4">
        <v>0</v>
      </c>
    </row>
    <row r="102" spans="1:9" x14ac:dyDescent="0.2">
      <c r="A102" s="2">
        <v>12</v>
      </c>
      <c r="B102" s="1" t="s">
        <v>130</v>
      </c>
      <c r="C102" s="4">
        <v>105</v>
      </c>
      <c r="D102" s="8">
        <v>1.67</v>
      </c>
      <c r="E102" s="4">
        <v>100</v>
      </c>
      <c r="F102" s="8">
        <v>2.71</v>
      </c>
      <c r="G102" s="4">
        <v>5</v>
      </c>
      <c r="H102" s="8">
        <v>0.19</v>
      </c>
      <c r="I102" s="4">
        <v>0</v>
      </c>
    </row>
    <row r="103" spans="1:9" x14ac:dyDescent="0.2">
      <c r="A103" s="2">
        <v>13</v>
      </c>
      <c r="B103" s="1" t="s">
        <v>135</v>
      </c>
      <c r="C103" s="4">
        <v>99</v>
      </c>
      <c r="D103" s="8">
        <v>1.58</v>
      </c>
      <c r="E103" s="4">
        <v>83</v>
      </c>
      <c r="F103" s="8">
        <v>2.25</v>
      </c>
      <c r="G103" s="4">
        <v>16</v>
      </c>
      <c r="H103" s="8">
        <v>0.62</v>
      </c>
      <c r="I103" s="4">
        <v>0</v>
      </c>
    </row>
    <row r="104" spans="1:9" x14ac:dyDescent="0.2">
      <c r="A104" s="2">
        <v>14</v>
      </c>
      <c r="B104" s="1" t="s">
        <v>144</v>
      </c>
      <c r="C104" s="4">
        <v>92</v>
      </c>
      <c r="D104" s="8">
        <v>1.46</v>
      </c>
      <c r="E104" s="4">
        <v>46</v>
      </c>
      <c r="F104" s="8">
        <v>1.25</v>
      </c>
      <c r="G104" s="4">
        <v>46</v>
      </c>
      <c r="H104" s="8">
        <v>1.79</v>
      </c>
      <c r="I104" s="4">
        <v>0</v>
      </c>
    </row>
    <row r="105" spans="1:9" x14ac:dyDescent="0.2">
      <c r="A105" s="2">
        <v>14</v>
      </c>
      <c r="B105" s="1" t="s">
        <v>119</v>
      </c>
      <c r="C105" s="4">
        <v>92</v>
      </c>
      <c r="D105" s="8">
        <v>1.46</v>
      </c>
      <c r="E105" s="4">
        <v>34</v>
      </c>
      <c r="F105" s="8">
        <v>0.92</v>
      </c>
      <c r="G105" s="4">
        <v>58</v>
      </c>
      <c r="H105" s="8">
        <v>2.25</v>
      </c>
      <c r="I105" s="4">
        <v>0</v>
      </c>
    </row>
    <row r="106" spans="1:9" x14ac:dyDescent="0.2">
      <c r="A106" s="2">
        <v>16</v>
      </c>
      <c r="B106" s="1" t="s">
        <v>136</v>
      </c>
      <c r="C106" s="4">
        <v>88</v>
      </c>
      <c r="D106" s="8">
        <v>1.4</v>
      </c>
      <c r="E106" s="4">
        <v>75</v>
      </c>
      <c r="F106" s="8">
        <v>2.04</v>
      </c>
      <c r="G106" s="4">
        <v>13</v>
      </c>
      <c r="H106" s="8">
        <v>0.5</v>
      </c>
      <c r="I106" s="4">
        <v>0</v>
      </c>
    </row>
    <row r="107" spans="1:9" x14ac:dyDescent="0.2">
      <c r="A107" s="2">
        <v>17</v>
      </c>
      <c r="B107" s="1" t="s">
        <v>116</v>
      </c>
      <c r="C107" s="4">
        <v>79</v>
      </c>
      <c r="D107" s="8">
        <v>1.26</v>
      </c>
      <c r="E107" s="4">
        <v>17</v>
      </c>
      <c r="F107" s="8">
        <v>0.46</v>
      </c>
      <c r="G107" s="4">
        <v>62</v>
      </c>
      <c r="H107" s="8">
        <v>2.41</v>
      </c>
      <c r="I107" s="4">
        <v>0</v>
      </c>
    </row>
    <row r="108" spans="1:9" x14ac:dyDescent="0.2">
      <c r="A108" s="2">
        <v>18</v>
      </c>
      <c r="B108" s="1" t="s">
        <v>117</v>
      </c>
      <c r="C108" s="4">
        <v>78</v>
      </c>
      <c r="D108" s="8">
        <v>1.24</v>
      </c>
      <c r="E108" s="4">
        <v>19</v>
      </c>
      <c r="F108" s="8">
        <v>0.52</v>
      </c>
      <c r="G108" s="4">
        <v>59</v>
      </c>
      <c r="H108" s="8">
        <v>2.29</v>
      </c>
      <c r="I108" s="4">
        <v>0</v>
      </c>
    </row>
    <row r="109" spans="1:9" x14ac:dyDescent="0.2">
      <c r="A109" s="2">
        <v>19</v>
      </c>
      <c r="B109" s="1" t="s">
        <v>118</v>
      </c>
      <c r="C109" s="4">
        <v>77</v>
      </c>
      <c r="D109" s="8">
        <v>1.23</v>
      </c>
      <c r="E109" s="4">
        <v>38</v>
      </c>
      <c r="F109" s="8">
        <v>1.03</v>
      </c>
      <c r="G109" s="4">
        <v>39</v>
      </c>
      <c r="H109" s="8">
        <v>1.51</v>
      </c>
      <c r="I109" s="4">
        <v>0</v>
      </c>
    </row>
    <row r="110" spans="1:9" x14ac:dyDescent="0.2">
      <c r="A110" s="2">
        <v>19</v>
      </c>
      <c r="B110" s="1" t="s">
        <v>125</v>
      </c>
      <c r="C110" s="4">
        <v>77</v>
      </c>
      <c r="D110" s="8">
        <v>1.23</v>
      </c>
      <c r="E110" s="4">
        <v>24</v>
      </c>
      <c r="F110" s="8">
        <v>0.65</v>
      </c>
      <c r="G110" s="4">
        <v>53</v>
      </c>
      <c r="H110" s="8">
        <v>2.06</v>
      </c>
      <c r="I110" s="4">
        <v>0</v>
      </c>
    </row>
    <row r="111" spans="1:9" x14ac:dyDescent="0.2">
      <c r="A111" s="1"/>
      <c r="C111" s="4"/>
      <c r="D111" s="8"/>
      <c r="E111" s="4"/>
      <c r="F111" s="8"/>
      <c r="G111" s="4"/>
      <c r="H111" s="8"/>
      <c r="I111" s="4"/>
    </row>
    <row r="112" spans="1:9" x14ac:dyDescent="0.2">
      <c r="A112" s="1" t="s">
        <v>5</v>
      </c>
      <c r="C112" s="4"/>
      <c r="D112" s="8"/>
      <c r="E112" s="4"/>
      <c r="F112" s="8"/>
      <c r="G112" s="4"/>
      <c r="H112" s="8"/>
      <c r="I112" s="4"/>
    </row>
    <row r="113" spans="1:9" x14ac:dyDescent="0.2">
      <c r="A113" s="2">
        <v>1</v>
      </c>
      <c r="B113" s="1" t="s">
        <v>132</v>
      </c>
      <c r="C113" s="4">
        <v>1022</v>
      </c>
      <c r="D113" s="8">
        <v>5.13</v>
      </c>
      <c r="E113" s="4">
        <v>918</v>
      </c>
      <c r="F113" s="8">
        <v>9.99</v>
      </c>
      <c r="G113" s="4">
        <v>103</v>
      </c>
      <c r="H113" s="8">
        <v>0.97</v>
      </c>
      <c r="I113" s="4">
        <v>1</v>
      </c>
    </row>
    <row r="114" spans="1:9" x14ac:dyDescent="0.2">
      <c r="A114" s="2">
        <v>2</v>
      </c>
      <c r="B114" s="1" t="s">
        <v>126</v>
      </c>
      <c r="C114" s="4">
        <v>913</v>
      </c>
      <c r="D114" s="8">
        <v>4.59</v>
      </c>
      <c r="E114" s="4">
        <v>431</v>
      </c>
      <c r="F114" s="8">
        <v>4.6900000000000004</v>
      </c>
      <c r="G114" s="4">
        <v>482</v>
      </c>
      <c r="H114" s="8">
        <v>4.5199999999999996</v>
      </c>
      <c r="I114" s="4">
        <v>0</v>
      </c>
    </row>
    <row r="115" spans="1:9" x14ac:dyDescent="0.2">
      <c r="A115" s="2">
        <v>3</v>
      </c>
      <c r="B115" s="1" t="s">
        <v>131</v>
      </c>
      <c r="C115" s="4">
        <v>547</v>
      </c>
      <c r="D115" s="8">
        <v>2.75</v>
      </c>
      <c r="E115" s="4">
        <v>506</v>
      </c>
      <c r="F115" s="8">
        <v>5.51</v>
      </c>
      <c r="G115" s="4">
        <v>41</v>
      </c>
      <c r="H115" s="8">
        <v>0.38</v>
      </c>
      <c r="I115" s="4">
        <v>0</v>
      </c>
    </row>
    <row r="116" spans="1:9" x14ac:dyDescent="0.2">
      <c r="A116" s="2">
        <v>4</v>
      </c>
      <c r="B116" s="1" t="s">
        <v>133</v>
      </c>
      <c r="C116" s="4">
        <v>479</v>
      </c>
      <c r="D116" s="8">
        <v>2.41</v>
      </c>
      <c r="E116" s="4">
        <v>388</v>
      </c>
      <c r="F116" s="8">
        <v>4.22</v>
      </c>
      <c r="G116" s="4">
        <v>91</v>
      </c>
      <c r="H116" s="8">
        <v>0.85</v>
      </c>
      <c r="I116" s="4">
        <v>0</v>
      </c>
    </row>
    <row r="117" spans="1:9" x14ac:dyDescent="0.2">
      <c r="A117" s="2">
        <v>5</v>
      </c>
      <c r="B117" s="1" t="s">
        <v>128</v>
      </c>
      <c r="C117" s="4">
        <v>477</v>
      </c>
      <c r="D117" s="8">
        <v>2.4</v>
      </c>
      <c r="E117" s="4">
        <v>367</v>
      </c>
      <c r="F117" s="8">
        <v>4</v>
      </c>
      <c r="G117" s="4">
        <v>109</v>
      </c>
      <c r="H117" s="8">
        <v>1.02</v>
      </c>
      <c r="I117" s="4">
        <v>1</v>
      </c>
    </row>
    <row r="118" spans="1:9" x14ac:dyDescent="0.2">
      <c r="A118" s="2">
        <v>6</v>
      </c>
      <c r="B118" s="1" t="s">
        <v>134</v>
      </c>
      <c r="C118" s="4">
        <v>447</v>
      </c>
      <c r="D118" s="8">
        <v>2.25</v>
      </c>
      <c r="E118" s="4">
        <v>371</v>
      </c>
      <c r="F118" s="8">
        <v>4.04</v>
      </c>
      <c r="G118" s="4">
        <v>76</v>
      </c>
      <c r="H118" s="8">
        <v>0.71</v>
      </c>
      <c r="I118" s="4">
        <v>0</v>
      </c>
    </row>
    <row r="119" spans="1:9" x14ac:dyDescent="0.2">
      <c r="A119" s="2">
        <v>7</v>
      </c>
      <c r="B119" s="1" t="s">
        <v>122</v>
      </c>
      <c r="C119" s="4">
        <v>436</v>
      </c>
      <c r="D119" s="8">
        <v>2.19</v>
      </c>
      <c r="E119" s="4">
        <v>217</v>
      </c>
      <c r="F119" s="8">
        <v>2.36</v>
      </c>
      <c r="G119" s="4">
        <v>219</v>
      </c>
      <c r="H119" s="8">
        <v>2.06</v>
      </c>
      <c r="I119" s="4">
        <v>0</v>
      </c>
    </row>
    <row r="120" spans="1:9" x14ac:dyDescent="0.2">
      <c r="A120" s="2">
        <v>8</v>
      </c>
      <c r="B120" s="1" t="s">
        <v>125</v>
      </c>
      <c r="C120" s="4">
        <v>397</v>
      </c>
      <c r="D120" s="8">
        <v>1.99</v>
      </c>
      <c r="E120" s="4">
        <v>47</v>
      </c>
      <c r="F120" s="8">
        <v>0.51</v>
      </c>
      <c r="G120" s="4">
        <v>350</v>
      </c>
      <c r="H120" s="8">
        <v>3.28</v>
      </c>
      <c r="I120" s="4">
        <v>0</v>
      </c>
    </row>
    <row r="121" spans="1:9" x14ac:dyDescent="0.2">
      <c r="A121" s="2">
        <v>9</v>
      </c>
      <c r="B121" s="1" t="s">
        <v>130</v>
      </c>
      <c r="C121" s="4">
        <v>382</v>
      </c>
      <c r="D121" s="8">
        <v>1.92</v>
      </c>
      <c r="E121" s="4">
        <v>326</v>
      </c>
      <c r="F121" s="8">
        <v>3.55</v>
      </c>
      <c r="G121" s="4">
        <v>56</v>
      </c>
      <c r="H121" s="8">
        <v>0.53</v>
      </c>
      <c r="I121" s="4">
        <v>0</v>
      </c>
    </row>
    <row r="122" spans="1:9" x14ac:dyDescent="0.2">
      <c r="A122" s="2">
        <v>10</v>
      </c>
      <c r="B122" s="1" t="s">
        <v>118</v>
      </c>
      <c r="C122" s="4">
        <v>356</v>
      </c>
      <c r="D122" s="8">
        <v>1.79</v>
      </c>
      <c r="E122" s="4">
        <v>153</v>
      </c>
      <c r="F122" s="8">
        <v>1.67</v>
      </c>
      <c r="G122" s="4">
        <v>203</v>
      </c>
      <c r="H122" s="8">
        <v>1.91</v>
      </c>
      <c r="I122" s="4">
        <v>0</v>
      </c>
    </row>
    <row r="123" spans="1:9" x14ac:dyDescent="0.2">
      <c r="A123" s="2">
        <v>11</v>
      </c>
      <c r="B123" s="1" t="s">
        <v>129</v>
      </c>
      <c r="C123" s="4">
        <v>354</v>
      </c>
      <c r="D123" s="8">
        <v>1.78</v>
      </c>
      <c r="E123" s="4">
        <v>303</v>
      </c>
      <c r="F123" s="8">
        <v>3.3</v>
      </c>
      <c r="G123" s="4">
        <v>51</v>
      </c>
      <c r="H123" s="8">
        <v>0.48</v>
      </c>
      <c r="I123" s="4">
        <v>0</v>
      </c>
    </row>
    <row r="124" spans="1:9" x14ac:dyDescent="0.2">
      <c r="A124" s="2">
        <v>12</v>
      </c>
      <c r="B124" s="1" t="s">
        <v>119</v>
      </c>
      <c r="C124" s="4">
        <v>331</v>
      </c>
      <c r="D124" s="8">
        <v>1.66</v>
      </c>
      <c r="E124" s="4">
        <v>71</v>
      </c>
      <c r="F124" s="8">
        <v>0.77</v>
      </c>
      <c r="G124" s="4">
        <v>260</v>
      </c>
      <c r="H124" s="8">
        <v>2.44</v>
      </c>
      <c r="I124" s="4">
        <v>0</v>
      </c>
    </row>
    <row r="125" spans="1:9" x14ac:dyDescent="0.2">
      <c r="A125" s="2">
        <v>13</v>
      </c>
      <c r="B125" s="1" t="s">
        <v>124</v>
      </c>
      <c r="C125" s="4">
        <v>308</v>
      </c>
      <c r="D125" s="8">
        <v>1.55</v>
      </c>
      <c r="E125" s="4">
        <v>151</v>
      </c>
      <c r="F125" s="8">
        <v>1.64</v>
      </c>
      <c r="G125" s="4">
        <v>157</v>
      </c>
      <c r="H125" s="8">
        <v>1.47</v>
      </c>
      <c r="I125" s="4">
        <v>0</v>
      </c>
    </row>
    <row r="126" spans="1:9" x14ac:dyDescent="0.2">
      <c r="A126" s="2">
        <v>14</v>
      </c>
      <c r="B126" s="1" t="s">
        <v>120</v>
      </c>
      <c r="C126" s="4">
        <v>283</v>
      </c>
      <c r="D126" s="8">
        <v>1.42</v>
      </c>
      <c r="E126" s="4">
        <v>53</v>
      </c>
      <c r="F126" s="8">
        <v>0.57999999999999996</v>
      </c>
      <c r="G126" s="4">
        <v>229</v>
      </c>
      <c r="H126" s="8">
        <v>2.15</v>
      </c>
      <c r="I126" s="4">
        <v>1</v>
      </c>
    </row>
    <row r="127" spans="1:9" x14ac:dyDescent="0.2">
      <c r="A127" s="2">
        <v>15</v>
      </c>
      <c r="B127" s="1" t="s">
        <v>116</v>
      </c>
      <c r="C127" s="4">
        <v>282</v>
      </c>
      <c r="D127" s="8">
        <v>1.42</v>
      </c>
      <c r="E127" s="4">
        <v>42</v>
      </c>
      <c r="F127" s="8">
        <v>0.46</v>
      </c>
      <c r="G127" s="4">
        <v>240</v>
      </c>
      <c r="H127" s="8">
        <v>2.25</v>
      </c>
      <c r="I127" s="4">
        <v>0</v>
      </c>
    </row>
    <row r="128" spans="1:9" x14ac:dyDescent="0.2">
      <c r="A128" s="2">
        <v>16</v>
      </c>
      <c r="B128" s="1" t="s">
        <v>117</v>
      </c>
      <c r="C128" s="4">
        <v>280</v>
      </c>
      <c r="D128" s="8">
        <v>1.41</v>
      </c>
      <c r="E128" s="4">
        <v>52</v>
      </c>
      <c r="F128" s="8">
        <v>0.56999999999999995</v>
      </c>
      <c r="G128" s="4">
        <v>228</v>
      </c>
      <c r="H128" s="8">
        <v>2.14</v>
      </c>
      <c r="I128" s="4">
        <v>0</v>
      </c>
    </row>
    <row r="129" spans="1:9" x14ac:dyDescent="0.2">
      <c r="A129" s="2">
        <v>16</v>
      </c>
      <c r="B129" s="1" t="s">
        <v>121</v>
      </c>
      <c r="C129" s="4">
        <v>280</v>
      </c>
      <c r="D129" s="8">
        <v>1.41</v>
      </c>
      <c r="E129" s="4">
        <v>171</v>
      </c>
      <c r="F129" s="8">
        <v>1.86</v>
      </c>
      <c r="G129" s="4">
        <v>107</v>
      </c>
      <c r="H129" s="8">
        <v>1</v>
      </c>
      <c r="I129" s="4">
        <v>2</v>
      </c>
    </row>
    <row r="130" spans="1:9" x14ac:dyDescent="0.2">
      <c r="A130" s="2">
        <v>18</v>
      </c>
      <c r="B130" s="1" t="s">
        <v>145</v>
      </c>
      <c r="C130" s="4">
        <v>272</v>
      </c>
      <c r="D130" s="8">
        <v>1.37</v>
      </c>
      <c r="E130" s="4">
        <v>70</v>
      </c>
      <c r="F130" s="8">
        <v>0.76</v>
      </c>
      <c r="G130" s="4">
        <v>202</v>
      </c>
      <c r="H130" s="8">
        <v>1.9</v>
      </c>
      <c r="I130" s="4">
        <v>0</v>
      </c>
    </row>
    <row r="131" spans="1:9" x14ac:dyDescent="0.2">
      <c r="A131" s="2">
        <v>19</v>
      </c>
      <c r="B131" s="1" t="s">
        <v>135</v>
      </c>
      <c r="C131" s="4">
        <v>248</v>
      </c>
      <c r="D131" s="8">
        <v>1.25</v>
      </c>
      <c r="E131" s="4">
        <v>146</v>
      </c>
      <c r="F131" s="8">
        <v>1.59</v>
      </c>
      <c r="G131" s="4">
        <v>102</v>
      </c>
      <c r="H131" s="8">
        <v>0.96</v>
      </c>
      <c r="I131" s="4">
        <v>0</v>
      </c>
    </row>
    <row r="132" spans="1:9" x14ac:dyDescent="0.2">
      <c r="A132" s="2">
        <v>20</v>
      </c>
      <c r="B132" s="1" t="s">
        <v>123</v>
      </c>
      <c r="C132" s="4">
        <v>247</v>
      </c>
      <c r="D132" s="8">
        <v>1.24</v>
      </c>
      <c r="E132" s="4">
        <v>98</v>
      </c>
      <c r="F132" s="8">
        <v>1.07</v>
      </c>
      <c r="G132" s="4">
        <v>149</v>
      </c>
      <c r="H132" s="8">
        <v>1.4</v>
      </c>
      <c r="I132" s="4">
        <v>0</v>
      </c>
    </row>
    <row r="133" spans="1:9" x14ac:dyDescent="0.2">
      <c r="A133" s="1"/>
      <c r="C133" s="4"/>
      <c r="D133" s="8"/>
      <c r="E133" s="4"/>
      <c r="F133" s="8"/>
      <c r="G133" s="4"/>
      <c r="H133" s="8"/>
      <c r="I133" s="4"/>
    </row>
    <row r="134" spans="1:9" x14ac:dyDescent="0.2">
      <c r="A134" s="1" t="s">
        <v>6</v>
      </c>
      <c r="C134" s="4"/>
      <c r="D134" s="8"/>
      <c r="E134" s="4"/>
      <c r="F134" s="8"/>
      <c r="G134" s="4"/>
      <c r="H134" s="8"/>
      <c r="I134" s="4"/>
    </row>
    <row r="135" spans="1:9" x14ac:dyDescent="0.2">
      <c r="A135" s="2">
        <v>1</v>
      </c>
      <c r="B135" s="1" t="s">
        <v>132</v>
      </c>
      <c r="C135" s="4">
        <v>383</v>
      </c>
      <c r="D135" s="8">
        <v>5.36</v>
      </c>
      <c r="E135" s="4">
        <v>324</v>
      </c>
      <c r="F135" s="8">
        <v>10.19</v>
      </c>
      <c r="G135" s="4">
        <v>58</v>
      </c>
      <c r="H135" s="8">
        <v>1.47</v>
      </c>
      <c r="I135" s="4">
        <v>1</v>
      </c>
    </row>
    <row r="136" spans="1:9" x14ac:dyDescent="0.2">
      <c r="A136" s="2">
        <v>2</v>
      </c>
      <c r="B136" s="1" t="s">
        <v>126</v>
      </c>
      <c r="C136" s="4">
        <v>351</v>
      </c>
      <c r="D136" s="8">
        <v>4.92</v>
      </c>
      <c r="E136" s="4">
        <v>133</v>
      </c>
      <c r="F136" s="8">
        <v>4.18</v>
      </c>
      <c r="G136" s="4">
        <v>218</v>
      </c>
      <c r="H136" s="8">
        <v>5.52</v>
      </c>
      <c r="I136" s="4">
        <v>0</v>
      </c>
    </row>
    <row r="137" spans="1:9" x14ac:dyDescent="0.2">
      <c r="A137" s="2">
        <v>3</v>
      </c>
      <c r="B137" s="1" t="s">
        <v>130</v>
      </c>
      <c r="C137" s="4">
        <v>283</v>
      </c>
      <c r="D137" s="8">
        <v>3.96</v>
      </c>
      <c r="E137" s="4">
        <v>235</v>
      </c>
      <c r="F137" s="8">
        <v>7.39</v>
      </c>
      <c r="G137" s="4">
        <v>48</v>
      </c>
      <c r="H137" s="8">
        <v>1.22</v>
      </c>
      <c r="I137" s="4">
        <v>0</v>
      </c>
    </row>
    <row r="138" spans="1:9" x14ac:dyDescent="0.2">
      <c r="A138" s="2">
        <v>4</v>
      </c>
      <c r="B138" s="1" t="s">
        <v>128</v>
      </c>
      <c r="C138" s="4">
        <v>235</v>
      </c>
      <c r="D138" s="8">
        <v>3.29</v>
      </c>
      <c r="E138" s="4">
        <v>180</v>
      </c>
      <c r="F138" s="8">
        <v>5.66</v>
      </c>
      <c r="G138" s="4">
        <v>55</v>
      </c>
      <c r="H138" s="8">
        <v>1.39</v>
      </c>
      <c r="I138" s="4">
        <v>0</v>
      </c>
    </row>
    <row r="139" spans="1:9" x14ac:dyDescent="0.2">
      <c r="A139" s="2">
        <v>5</v>
      </c>
      <c r="B139" s="1" t="s">
        <v>125</v>
      </c>
      <c r="C139" s="4">
        <v>213</v>
      </c>
      <c r="D139" s="8">
        <v>2.98</v>
      </c>
      <c r="E139" s="4">
        <v>29</v>
      </c>
      <c r="F139" s="8">
        <v>0.91</v>
      </c>
      <c r="G139" s="4">
        <v>184</v>
      </c>
      <c r="H139" s="8">
        <v>4.66</v>
      </c>
      <c r="I139" s="4">
        <v>0</v>
      </c>
    </row>
    <row r="140" spans="1:9" x14ac:dyDescent="0.2">
      <c r="A140" s="2">
        <v>6</v>
      </c>
      <c r="B140" s="1" t="s">
        <v>129</v>
      </c>
      <c r="C140" s="4">
        <v>209</v>
      </c>
      <c r="D140" s="8">
        <v>2.93</v>
      </c>
      <c r="E140" s="4">
        <v>169</v>
      </c>
      <c r="F140" s="8">
        <v>5.31</v>
      </c>
      <c r="G140" s="4">
        <v>40</v>
      </c>
      <c r="H140" s="8">
        <v>1.01</v>
      </c>
      <c r="I140" s="4">
        <v>0</v>
      </c>
    </row>
    <row r="141" spans="1:9" x14ac:dyDescent="0.2">
      <c r="A141" s="2">
        <v>7</v>
      </c>
      <c r="B141" s="1" t="s">
        <v>131</v>
      </c>
      <c r="C141" s="4">
        <v>175</v>
      </c>
      <c r="D141" s="8">
        <v>2.4500000000000002</v>
      </c>
      <c r="E141" s="4">
        <v>158</v>
      </c>
      <c r="F141" s="8">
        <v>4.97</v>
      </c>
      <c r="G141" s="4">
        <v>17</v>
      </c>
      <c r="H141" s="8">
        <v>0.43</v>
      </c>
      <c r="I141" s="4">
        <v>0</v>
      </c>
    </row>
    <row r="142" spans="1:9" x14ac:dyDescent="0.2">
      <c r="A142" s="2">
        <v>8</v>
      </c>
      <c r="B142" s="1" t="s">
        <v>133</v>
      </c>
      <c r="C142" s="4">
        <v>173</v>
      </c>
      <c r="D142" s="8">
        <v>2.42</v>
      </c>
      <c r="E142" s="4">
        <v>128</v>
      </c>
      <c r="F142" s="8">
        <v>4.0199999999999996</v>
      </c>
      <c r="G142" s="4">
        <v>45</v>
      </c>
      <c r="H142" s="8">
        <v>1.1399999999999999</v>
      </c>
      <c r="I142" s="4">
        <v>0</v>
      </c>
    </row>
    <row r="143" spans="1:9" x14ac:dyDescent="0.2">
      <c r="A143" s="2">
        <v>9</v>
      </c>
      <c r="B143" s="1" t="s">
        <v>134</v>
      </c>
      <c r="C143" s="4">
        <v>163</v>
      </c>
      <c r="D143" s="8">
        <v>2.2799999999999998</v>
      </c>
      <c r="E143" s="4">
        <v>133</v>
      </c>
      <c r="F143" s="8">
        <v>4.18</v>
      </c>
      <c r="G143" s="4">
        <v>30</v>
      </c>
      <c r="H143" s="8">
        <v>0.76</v>
      </c>
      <c r="I143" s="4">
        <v>0</v>
      </c>
    </row>
    <row r="144" spans="1:9" x14ac:dyDescent="0.2">
      <c r="A144" s="2">
        <v>10</v>
      </c>
      <c r="B144" s="1" t="s">
        <v>124</v>
      </c>
      <c r="C144" s="4">
        <v>141</v>
      </c>
      <c r="D144" s="8">
        <v>1.97</v>
      </c>
      <c r="E144" s="4">
        <v>73</v>
      </c>
      <c r="F144" s="8">
        <v>2.29</v>
      </c>
      <c r="G144" s="4">
        <v>68</v>
      </c>
      <c r="H144" s="8">
        <v>1.72</v>
      </c>
      <c r="I144" s="4">
        <v>0</v>
      </c>
    </row>
    <row r="145" spans="1:9" x14ac:dyDescent="0.2">
      <c r="A145" s="2">
        <v>11</v>
      </c>
      <c r="B145" s="1" t="s">
        <v>138</v>
      </c>
      <c r="C145" s="4">
        <v>111</v>
      </c>
      <c r="D145" s="8">
        <v>1.55</v>
      </c>
      <c r="E145" s="4">
        <v>18</v>
      </c>
      <c r="F145" s="8">
        <v>0.56999999999999995</v>
      </c>
      <c r="G145" s="4">
        <v>93</v>
      </c>
      <c r="H145" s="8">
        <v>2.36</v>
      </c>
      <c r="I145" s="4">
        <v>0</v>
      </c>
    </row>
    <row r="146" spans="1:9" x14ac:dyDescent="0.2">
      <c r="A146" s="2">
        <v>12</v>
      </c>
      <c r="B146" s="1" t="s">
        <v>121</v>
      </c>
      <c r="C146" s="4">
        <v>109</v>
      </c>
      <c r="D146" s="8">
        <v>1.53</v>
      </c>
      <c r="E146" s="4">
        <v>66</v>
      </c>
      <c r="F146" s="8">
        <v>2.0699999999999998</v>
      </c>
      <c r="G146" s="4">
        <v>42</v>
      </c>
      <c r="H146" s="8">
        <v>1.06</v>
      </c>
      <c r="I146" s="4">
        <v>1</v>
      </c>
    </row>
    <row r="147" spans="1:9" x14ac:dyDescent="0.2">
      <c r="A147" s="2">
        <v>13</v>
      </c>
      <c r="B147" s="1" t="s">
        <v>127</v>
      </c>
      <c r="C147" s="4">
        <v>96</v>
      </c>
      <c r="D147" s="8">
        <v>1.34</v>
      </c>
      <c r="E147" s="4">
        <v>41</v>
      </c>
      <c r="F147" s="8">
        <v>1.29</v>
      </c>
      <c r="G147" s="4">
        <v>53</v>
      </c>
      <c r="H147" s="8">
        <v>1.34</v>
      </c>
      <c r="I147" s="4">
        <v>0</v>
      </c>
    </row>
    <row r="148" spans="1:9" x14ac:dyDescent="0.2">
      <c r="A148" s="2">
        <v>14</v>
      </c>
      <c r="B148" s="1" t="s">
        <v>146</v>
      </c>
      <c r="C148" s="4">
        <v>89</v>
      </c>
      <c r="D148" s="8">
        <v>1.25</v>
      </c>
      <c r="E148" s="4">
        <v>47</v>
      </c>
      <c r="F148" s="8">
        <v>1.48</v>
      </c>
      <c r="G148" s="4">
        <v>42</v>
      </c>
      <c r="H148" s="8">
        <v>1.06</v>
      </c>
      <c r="I148" s="4">
        <v>0</v>
      </c>
    </row>
    <row r="149" spans="1:9" x14ac:dyDescent="0.2">
      <c r="A149" s="2">
        <v>15</v>
      </c>
      <c r="B149" s="1" t="s">
        <v>140</v>
      </c>
      <c r="C149" s="4">
        <v>88</v>
      </c>
      <c r="D149" s="8">
        <v>1.23</v>
      </c>
      <c r="E149" s="4">
        <v>54</v>
      </c>
      <c r="F149" s="8">
        <v>1.7</v>
      </c>
      <c r="G149" s="4">
        <v>34</v>
      </c>
      <c r="H149" s="8">
        <v>0.86</v>
      </c>
      <c r="I149" s="4">
        <v>0</v>
      </c>
    </row>
    <row r="150" spans="1:9" x14ac:dyDescent="0.2">
      <c r="A150" s="2">
        <v>16</v>
      </c>
      <c r="B150" s="1" t="s">
        <v>123</v>
      </c>
      <c r="C150" s="4">
        <v>87</v>
      </c>
      <c r="D150" s="8">
        <v>1.22</v>
      </c>
      <c r="E150" s="4">
        <v>36</v>
      </c>
      <c r="F150" s="8">
        <v>1.1299999999999999</v>
      </c>
      <c r="G150" s="4">
        <v>51</v>
      </c>
      <c r="H150" s="8">
        <v>1.29</v>
      </c>
      <c r="I150" s="4">
        <v>0</v>
      </c>
    </row>
    <row r="151" spans="1:9" x14ac:dyDescent="0.2">
      <c r="A151" s="2">
        <v>17</v>
      </c>
      <c r="B151" s="1" t="s">
        <v>142</v>
      </c>
      <c r="C151" s="4">
        <v>86</v>
      </c>
      <c r="D151" s="8">
        <v>1.2</v>
      </c>
      <c r="E151" s="4">
        <v>6</v>
      </c>
      <c r="F151" s="8">
        <v>0.19</v>
      </c>
      <c r="G151" s="4">
        <v>80</v>
      </c>
      <c r="H151" s="8">
        <v>2.0299999999999998</v>
      </c>
      <c r="I151" s="4">
        <v>0</v>
      </c>
    </row>
    <row r="152" spans="1:9" x14ac:dyDescent="0.2">
      <c r="A152" s="2">
        <v>17</v>
      </c>
      <c r="B152" s="1" t="s">
        <v>148</v>
      </c>
      <c r="C152" s="4">
        <v>86</v>
      </c>
      <c r="D152" s="8">
        <v>1.2</v>
      </c>
      <c r="E152" s="4">
        <v>74</v>
      </c>
      <c r="F152" s="8">
        <v>2.33</v>
      </c>
      <c r="G152" s="4">
        <v>12</v>
      </c>
      <c r="H152" s="8">
        <v>0.3</v>
      </c>
      <c r="I152" s="4">
        <v>0</v>
      </c>
    </row>
    <row r="153" spans="1:9" x14ac:dyDescent="0.2">
      <c r="A153" s="2">
        <v>19</v>
      </c>
      <c r="B153" s="1" t="s">
        <v>147</v>
      </c>
      <c r="C153" s="4">
        <v>82</v>
      </c>
      <c r="D153" s="8">
        <v>1.1499999999999999</v>
      </c>
      <c r="E153" s="4">
        <v>3</v>
      </c>
      <c r="F153" s="8">
        <v>0.09</v>
      </c>
      <c r="G153" s="4">
        <v>79</v>
      </c>
      <c r="H153" s="8">
        <v>2</v>
      </c>
      <c r="I153" s="4">
        <v>0</v>
      </c>
    </row>
    <row r="154" spans="1:9" x14ac:dyDescent="0.2">
      <c r="A154" s="2">
        <v>20</v>
      </c>
      <c r="B154" s="1" t="s">
        <v>137</v>
      </c>
      <c r="C154" s="4">
        <v>81</v>
      </c>
      <c r="D154" s="8">
        <v>1.1299999999999999</v>
      </c>
      <c r="E154" s="4">
        <v>33</v>
      </c>
      <c r="F154" s="8">
        <v>1.04</v>
      </c>
      <c r="G154" s="4">
        <v>48</v>
      </c>
      <c r="H154" s="8">
        <v>1.22</v>
      </c>
      <c r="I154" s="4">
        <v>0</v>
      </c>
    </row>
    <row r="155" spans="1:9" x14ac:dyDescent="0.2">
      <c r="A155" s="1"/>
      <c r="C155" s="4"/>
      <c r="D155" s="8"/>
      <c r="E155" s="4"/>
      <c r="F155" s="8"/>
      <c r="G155" s="4"/>
      <c r="H155" s="8"/>
      <c r="I155" s="4"/>
    </row>
    <row r="156" spans="1:9" x14ac:dyDescent="0.2">
      <c r="A156" s="1" t="s">
        <v>7</v>
      </c>
      <c r="C156" s="4"/>
      <c r="D156" s="8"/>
      <c r="E156" s="4"/>
      <c r="F156" s="8"/>
      <c r="G156" s="4"/>
      <c r="H156" s="8"/>
      <c r="I156" s="4"/>
    </row>
    <row r="157" spans="1:9" x14ac:dyDescent="0.2">
      <c r="A157" s="2">
        <v>1</v>
      </c>
      <c r="B157" s="1" t="s">
        <v>132</v>
      </c>
      <c r="C157" s="4">
        <v>151</v>
      </c>
      <c r="D157" s="8">
        <v>4.51</v>
      </c>
      <c r="E157" s="4">
        <v>141</v>
      </c>
      <c r="F157" s="8">
        <v>10.199999999999999</v>
      </c>
      <c r="G157" s="4">
        <v>10</v>
      </c>
      <c r="H157" s="8">
        <v>0.51</v>
      </c>
      <c r="I157" s="4">
        <v>0</v>
      </c>
    </row>
    <row r="158" spans="1:9" x14ac:dyDescent="0.2">
      <c r="A158" s="2">
        <v>2</v>
      </c>
      <c r="B158" s="1" t="s">
        <v>126</v>
      </c>
      <c r="C158" s="4">
        <v>139</v>
      </c>
      <c r="D158" s="8">
        <v>4.1500000000000004</v>
      </c>
      <c r="E158" s="4">
        <v>65</v>
      </c>
      <c r="F158" s="8">
        <v>4.7</v>
      </c>
      <c r="G158" s="4">
        <v>74</v>
      </c>
      <c r="H158" s="8">
        <v>3.77</v>
      </c>
      <c r="I158" s="4">
        <v>0</v>
      </c>
    </row>
    <row r="159" spans="1:9" x14ac:dyDescent="0.2">
      <c r="A159" s="2">
        <v>3</v>
      </c>
      <c r="B159" s="1" t="s">
        <v>122</v>
      </c>
      <c r="C159" s="4">
        <v>123</v>
      </c>
      <c r="D159" s="8">
        <v>3.68</v>
      </c>
      <c r="E159" s="4">
        <v>60</v>
      </c>
      <c r="F159" s="8">
        <v>4.34</v>
      </c>
      <c r="G159" s="4">
        <v>63</v>
      </c>
      <c r="H159" s="8">
        <v>3.21</v>
      </c>
      <c r="I159" s="4">
        <v>0</v>
      </c>
    </row>
    <row r="160" spans="1:9" x14ac:dyDescent="0.2">
      <c r="A160" s="2">
        <v>4</v>
      </c>
      <c r="B160" s="1" t="s">
        <v>131</v>
      </c>
      <c r="C160" s="4">
        <v>96</v>
      </c>
      <c r="D160" s="8">
        <v>2.87</v>
      </c>
      <c r="E160" s="4">
        <v>88</v>
      </c>
      <c r="F160" s="8">
        <v>6.36</v>
      </c>
      <c r="G160" s="4">
        <v>8</v>
      </c>
      <c r="H160" s="8">
        <v>0.41</v>
      </c>
      <c r="I160" s="4">
        <v>0</v>
      </c>
    </row>
    <row r="161" spans="1:9" x14ac:dyDescent="0.2">
      <c r="A161" s="2">
        <v>5</v>
      </c>
      <c r="B161" s="1" t="s">
        <v>135</v>
      </c>
      <c r="C161" s="4">
        <v>87</v>
      </c>
      <c r="D161" s="8">
        <v>2.6</v>
      </c>
      <c r="E161" s="4">
        <v>54</v>
      </c>
      <c r="F161" s="8">
        <v>3.9</v>
      </c>
      <c r="G161" s="4">
        <v>33</v>
      </c>
      <c r="H161" s="8">
        <v>1.68</v>
      </c>
      <c r="I161" s="4">
        <v>0</v>
      </c>
    </row>
    <row r="162" spans="1:9" x14ac:dyDescent="0.2">
      <c r="A162" s="2">
        <v>6</v>
      </c>
      <c r="B162" s="1" t="s">
        <v>128</v>
      </c>
      <c r="C162" s="4">
        <v>79</v>
      </c>
      <c r="D162" s="8">
        <v>2.36</v>
      </c>
      <c r="E162" s="4">
        <v>63</v>
      </c>
      <c r="F162" s="8">
        <v>4.5599999999999996</v>
      </c>
      <c r="G162" s="4">
        <v>16</v>
      </c>
      <c r="H162" s="8">
        <v>0.82</v>
      </c>
      <c r="I162" s="4">
        <v>0</v>
      </c>
    </row>
    <row r="163" spans="1:9" x14ac:dyDescent="0.2">
      <c r="A163" s="2">
        <v>7</v>
      </c>
      <c r="B163" s="1" t="s">
        <v>133</v>
      </c>
      <c r="C163" s="4">
        <v>73</v>
      </c>
      <c r="D163" s="8">
        <v>2.1800000000000002</v>
      </c>
      <c r="E163" s="4">
        <v>61</v>
      </c>
      <c r="F163" s="8">
        <v>4.41</v>
      </c>
      <c r="G163" s="4">
        <v>12</v>
      </c>
      <c r="H163" s="8">
        <v>0.61</v>
      </c>
      <c r="I163" s="4">
        <v>0</v>
      </c>
    </row>
    <row r="164" spans="1:9" x14ac:dyDescent="0.2">
      <c r="A164" s="2">
        <v>8</v>
      </c>
      <c r="B164" s="1" t="s">
        <v>125</v>
      </c>
      <c r="C164" s="4">
        <v>71</v>
      </c>
      <c r="D164" s="8">
        <v>2.12</v>
      </c>
      <c r="E164" s="4">
        <v>6</v>
      </c>
      <c r="F164" s="8">
        <v>0.43</v>
      </c>
      <c r="G164" s="4">
        <v>65</v>
      </c>
      <c r="H164" s="8">
        <v>3.31</v>
      </c>
      <c r="I164" s="4">
        <v>0</v>
      </c>
    </row>
    <row r="165" spans="1:9" x14ac:dyDescent="0.2">
      <c r="A165" s="2">
        <v>9</v>
      </c>
      <c r="B165" s="1" t="s">
        <v>134</v>
      </c>
      <c r="C165" s="4">
        <v>60</v>
      </c>
      <c r="D165" s="8">
        <v>1.79</v>
      </c>
      <c r="E165" s="4">
        <v>46</v>
      </c>
      <c r="F165" s="8">
        <v>3.33</v>
      </c>
      <c r="G165" s="4">
        <v>14</v>
      </c>
      <c r="H165" s="8">
        <v>0.71</v>
      </c>
      <c r="I165" s="4">
        <v>0</v>
      </c>
    </row>
    <row r="166" spans="1:9" x14ac:dyDescent="0.2">
      <c r="A166" s="2">
        <v>10</v>
      </c>
      <c r="B166" s="1" t="s">
        <v>116</v>
      </c>
      <c r="C166" s="4">
        <v>54</v>
      </c>
      <c r="D166" s="8">
        <v>1.61</v>
      </c>
      <c r="E166" s="4">
        <v>8</v>
      </c>
      <c r="F166" s="8">
        <v>0.57999999999999996</v>
      </c>
      <c r="G166" s="4">
        <v>46</v>
      </c>
      <c r="H166" s="8">
        <v>2.34</v>
      </c>
      <c r="I166" s="4">
        <v>0</v>
      </c>
    </row>
    <row r="167" spans="1:9" x14ac:dyDescent="0.2">
      <c r="A167" s="2">
        <v>11</v>
      </c>
      <c r="B167" s="1" t="s">
        <v>145</v>
      </c>
      <c r="C167" s="4">
        <v>53</v>
      </c>
      <c r="D167" s="8">
        <v>1.58</v>
      </c>
      <c r="E167" s="4">
        <v>10</v>
      </c>
      <c r="F167" s="8">
        <v>0.72</v>
      </c>
      <c r="G167" s="4">
        <v>43</v>
      </c>
      <c r="H167" s="8">
        <v>2.19</v>
      </c>
      <c r="I167" s="4">
        <v>0</v>
      </c>
    </row>
    <row r="168" spans="1:9" x14ac:dyDescent="0.2">
      <c r="A168" s="2">
        <v>12</v>
      </c>
      <c r="B168" s="1" t="s">
        <v>118</v>
      </c>
      <c r="C168" s="4">
        <v>51</v>
      </c>
      <c r="D168" s="8">
        <v>1.52</v>
      </c>
      <c r="E168" s="4">
        <v>20</v>
      </c>
      <c r="F168" s="8">
        <v>1.45</v>
      </c>
      <c r="G168" s="4">
        <v>31</v>
      </c>
      <c r="H168" s="8">
        <v>1.58</v>
      </c>
      <c r="I168" s="4">
        <v>0</v>
      </c>
    </row>
    <row r="169" spans="1:9" x14ac:dyDescent="0.2">
      <c r="A169" s="2">
        <v>13</v>
      </c>
      <c r="B169" s="1" t="s">
        <v>119</v>
      </c>
      <c r="C169" s="4">
        <v>50</v>
      </c>
      <c r="D169" s="8">
        <v>1.49</v>
      </c>
      <c r="E169" s="4">
        <v>7</v>
      </c>
      <c r="F169" s="8">
        <v>0.51</v>
      </c>
      <c r="G169" s="4">
        <v>43</v>
      </c>
      <c r="H169" s="8">
        <v>2.19</v>
      </c>
      <c r="I169" s="4">
        <v>0</v>
      </c>
    </row>
    <row r="170" spans="1:9" x14ac:dyDescent="0.2">
      <c r="A170" s="2">
        <v>14</v>
      </c>
      <c r="B170" s="1" t="s">
        <v>120</v>
      </c>
      <c r="C170" s="4">
        <v>48</v>
      </c>
      <c r="D170" s="8">
        <v>1.43</v>
      </c>
      <c r="E170" s="4">
        <v>6</v>
      </c>
      <c r="F170" s="8">
        <v>0.43</v>
      </c>
      <c r="G170" s="4">
        <v>42</v>
      </c>
      <c r="H170" s="8">
        <v>2.14</v>
      </c>
      <c r="I170" s="4">
        <v>0</v>
      </c>
    </row>
    <row r="171" spans="1:9" x14ac:dyDescent="0.2">
      <c r="A171" s="2">
        <v>15</v>
      </c>
      <c r="B171" s="1" t="s">
        <v>149</v>
      </c>
      <c r="C171" s="4">
        <v>46</v>
      </c>
      <c r="D171" s="8">
        <v>1.37</v>
      </c>
      <c r="E171" s="4">
        <v>12</v>
      </c>
      <c r="F171" s="8">
        <v>0.87</v>
      </c>
      <c r="G171" s="4">
        <v>34</v>
      </c>
      <c r="H171" s="8">
        <v>1.73</v>
      </c>
      <c r="I171" s="4">
        <v>0</v>
      </c>
    </row>
    <row r="172" spans="1:9" x14ac:dyDescent="0.2">
      <c r="A172" s="2">
        <v>15</v>
      </c>
      <c r="B172" s="1" t="s">
        <v>142</v>
      </c>
      <c r="C172" s="4">
        <v>46</v>
      </c>
      <c r="D172" s="8">
        <v>1.37</v>
      </c>
      <c r="E172" s="4">
        <v>5</v>
      </c>
      <c r="F172" s="8">
        <v>0.36</v>
      </c>
      <c r="G172" s="4">
        <v>41</v>
      </c>
      <c r="H172" s="8">
        <v>2.09</v>
      </c>
      <c r="I172" s="4">
        <v>0</v>
      </c>
    </row>
    <row r="173" spans="1:9" x14ac:dyDescent="0.2">
      <c r="A173" s="2">
        <v>17</v>
      </c>
      <c r="B173" s="1" t="s">
        <v>150</v>
      </c>
      <c r="C173" s="4">
        <v>45</v>
      </c>
      <c r="D173" s="8">
        <v>1.34</v>
      </c>
      <c r="E173" s="4">
        <v>7</v>
      </c>
      <c r="F173" s="8">
        <v>0.51</v>
      </c>
      <c r="G173" s="4">
        <v>38</v>
      </c>
      <c r="H173" s="8">
        <v>1.94</v>
      </c>
      <c r="I173" s="4">
        <v>0</v>
      </c>
    </row>
    <row r="174" spans="1:9" x14ac:dyDescent="0.2">
      <c r="A174" s="2">
        <v>17</v>
      </c>
      <c r="B174" s="1" t="s">
        <v>123</v>
      </c>
      <c r="C174" s="4">
        <v>45</v>
      </c>
      <c r="D174" s="8">
        <v>1.34</v>
      </c>
      <c r="E174" s="4">
        <v>15</v>
      </c>
      <c r="F174" s="8">
        <v>1.08</v>
      </c>
      <c r="G174" s="4">
        <v>30</v>
      </c>
      <c r="H174" s="8">
        <v>1.53</v>
      </c>
      <c r="I174" s="4">
        <v>0</v>
      </c>
    </row>
    <row r="175" spans="1:9" x14ac:dyDescent="0.2">
      <c r="A175" s="2">
        <v>19</v>
      </c>
      <c r="B175" s="1" t="s">
        <v>127</v>
      </c>
      <c r="C175" s="4">
        <v>42</v>
      </c>
      <c r="D175" s="8">
        <v>1.26</v>
      </c>
      <c r="E175" s="4">
        <v>17</v>
      </c>
      <c r="F175" s="8">
        <v>1.23</v>
      </c>
      <c r="G175" s="4">
        <v>25</v>
      </c>
      <c r="H175" s="8">
        <v>1.27</v>
      </c>
      <c r="I175" s="4">
        <v>0</v>
      </c>
    </row>
    <row r="176" spans="1:9" x14ac:dyDescent="0.2">
      <c r="A176" s="2">
        <v>20</v>
      </c>
      <c r="B176" s="1" t="s">
        <v>117</v>
      </c>
      <c r="C176" s="4">
        <v>40</v>
      </c>
      <c r="D176" s="8">
        <v>1.2</v>
      </c>
      <c r="E176" s="4">
        <v>4</v>
      </c>
      <c r="F176" s="8">
        <v>0.28999999999999998</v>
      </c>
      <c r="G176" s="4">
        <v>36</v>
      </c>
      <c r="H176" s="8">
        <v>1.83</v>
      </c>
      <c r="I176" s="4">
        <v>0</v>
      </c>
    </row>
    <row r="177" spans="1:9" x14ac:dyDescent="0.2">
      <c r="A177" s="1"/>
      <c r="C177" s="4"/>
      <c r="D177" s="8"/>
      <c r="E177" s="4"/>
      <c r="F177" s="8"/>
      <c r="G177" s="4"/>
      <c r="H177" s="8"/>
      <c r="I177" s="4"/>
    </row>
    <row r="178" spans="1:9" x14ac:dyDescent="0.2">
      <c r="A178" s="1" t="s">
        <v>8</v>
      </c>
      <c r="C178" s="4"/>
      <c r="D178" s="8"/>
      <c r="E178" s="4"/>
      <c r="F178" s="8"/>
      <c r="G178" s="4"/>
      <c r="H178" s="8"/>
      <c r="I178" s="4"/>
    </row>
    <row r="179" spans="1:9" x14ac:dyDescent="0.2">
      <c r="A179" s="2">
        <v>1</v>
      </c>
      <c r="B179" s="1" t="s">
        <v>132</v>
      </c>
      <c r="C179" s="4">
        <v>123</v>
      </c>
      <c r="D179" s="8">
        <v>5.69</v>
      </c>
      <c r="E179" s="4">
        <v>112</v>
      </c>
      <c r="F179" s="8">
        <v>10.54</v>
      </c>
      <c r="G179" s="4">
        <v>11</v>
      </c>
      <c r="H179" s="8">
        <v>1</v>
      </c>
      <c r="I179" s="4">
        <v>0</v>
      </c>
    </row>
    <row r="180" spans="1:9" x14ac:dyDescent="0.2">
      <c r="A180" s="2">
        <v>2</v>
      </c>
      <c r="B180" s="1" t="s">
        <v>126</v>
      </c>
      <c r="C180" s="4">
        <v>102</v>
      </c>
      <c r="D180" s="8">
        <v>4.72</v>
      </c>
      <c r="E180" s="4">
        <v>48</v>
      </c>
      <c r="F180" s="8">
        <v>4.5199999999999996</v>
      </c>
      <c r="G180" s="4">
        <v>54</v>
      </c>
      <c r="H180" s="8">
        <v>4.93</v>
      </c>
      <c r="I180" s="4">
        <v>0</v>
      </c>
    </row>
    <row r="181" spans="1:9" x14ac:dyDescent="0.2">
      <c r="A181" s="2">
        <v>3</v>
      </c>
      <c r="B181" s="1" t="s">
        <v>134</v>
      </c>
      <c r="C181" s="4">
        <v>65</v>
      </c>
      <c r="D181" s="8">
        <v>3.01</v>
      </c>
      <c r="E181" s="4">
        <v>54</v>
      </c>
      <c r="F181" s="8">
        <v>5.08</v>
      </c>
      <c r="G181" s="4">
        <v>11</v>
      </c>
      <c r="H181" s="8">
        <v>1</v>
      </c>
      <c r="I181" s="4">
        <v>0</v>
      </c>
    </row>
    <row r="182" spans="1:9" x14ac:dyDescent="0.2">
      <c r="A182" s="2">
        <v>4</v>
      </c>
      <c r="B182" s="1" t="s">
        <v>133</v>
      </c>
      <c r="C182" s="4">
        <v>61</v>
      </c>
      <c r="D182" s="8">
        <v>2.82</v>
      </c>
      <c r="E182" s="4">
        <v>56</v>
      </c>
      <c r="F182" s="8">
        <v>5.27</v>
      </c>
      <c r="G182" s="4">
        <v>5</v>
      </c>
      <c r="H182" s="8">
        <v>0.46</v>
      </c>
      <c r="I182" s="4">
        <v>0</v>
      </c>
    </row>
    <row r="183" spans="1:9" x14ac:dyDescent="0.2">
      <c r="A183" s="2">
        <v>5</v>
      </c>
      <c r="B183" s="1" t="s">
        <v>118</v>
      </c>
      <c r="C183" s="4">
        <v>55</v>
      </c>
      <c r="D183" s="8">
        <v>2.54</v>
      </c>
      <c r="E183" s="4">
        <v>19</v>
      </c>
      <c r="F183" s="8">
        <v>1.79</v>
      </c>
      <c r="G183" s="4">
        <v>36</v>
      </c>
      <c r="H183" s="8">
        <v>3.28</v>
      </c>
      <c r="I183" s="4">
        <v>0</v>
      </c>
    </row>
    <row r="184" spans="1:9" x14ac:dyDescent="0.2">
      <c r="A184" s="2">
        <v>5</v>
      </c>
      <c r="B184" s="1" t="s">
        <v>122</v>
      </c>
      <c r="C184" s="4">
        <v>55</v>
      </c>
      <c r="D184" s="8">
        <v>2.54</v>
      </c>
      <c r="E184" s="4">
        <v>22</v>
      </c>
      <c r="F184" s="8">
        <v>2.0699999999999998</v>
      </c>
      <c r="G184" s="4">
        <v>33</v>
      </c>
      <c r="H184" s="8">
        <v>3.01</v>
      </c>
      <c r="I184" s="4">
        <v>0</v>
      </c>
    </row>
    <row r="185" spans="1:9" x14ac:dyDescent="0.2">
      <c r="A185" s="2">
        <v>5</v>
      </c>
      <c r="B185" s="1" t="s">
        <v>131</v>
      </c>
      <c r="C185" s="4">
        <v>55</v>
      </c>
      <c r="D185" s="8">
        <v>2.54</v>
      </c>
      <c r="E185" s="4">
        <v>49</v>
      </c>
      <c r="F185" s="8">
        <v>4.6100000000000003</v>
      </c>
      <c r="G185" s="4">
        <v>6</v>
      </c>
      <c r="H185" s="8">
        <v>0.55000000000000004</v>
      </c>
      <c r="I185" s="4">
        <v>0</v>
      </c>
    </row>
    <row r="186" spans="1:9" x14ac:dyDescent="0.2">
      <c r="A186" s="2">
        <v>8</v>
      </c>
      <c r="B186" s="1" t="s">
        <v>121</v>
      </c>
      <c r="C186" s="4">
        <v>45</v>
      </c>
      <c r="D186" s="8">
        <v>2.08</v>
      </c>
      <c r="E186" s="4">
        <v>33</v>
      </c>
      <c r="F186" s="8">
        <v>3.1</v>
      </c>
      <c r="G186" s="4">
        <v>12</v>
      </c>
      <c r="H186" s="8">
        <v>1.0900000000000001</v>
      </c>
      <c r="I186" s="4">
        <v>0</v>
      </c>
    </row>
    <row r="187" spans="1:9" x14ac:dyDescent="0.2">
      <c r="A187" s="2">
        <v>9</v>
      </c>
      <c r="B187" s="1" t="s">
        <v>119</v>
      </c>
      <c r="C187" s="4">
        <v>42</v>
      </c>
      <c r="D187" s="8">
        <v>1.94</v>
      </c>
      <c r="E187" s="4">
        <v>9</v>
      </c>
      <c r="F187" s="8">
        <v>0.85</v>
      </c>
      <c r="G187" s="4">
        <v>33</v>
      </c>
      <c r="H187" s="8">
        <v>3.01</v>
      </c>
      <c r="I187" s="4">
        <v>0</v>
      </c>
    </row>
    <row r="188" spans="1:9" x14ac:dyDescent="0.2">
      <c r="A188" s="2">
        <v>10</v>
      </c>
      <c r="B188" s="1" t="s">
        <v>128</v>
      </c>
      <c r="C188" s="4">
        <v>40</v>
      </c>
      <c r="D188" s="8">
        <v>1.85</v>
      </c>
      <c r="E188" s="4">
        <v>32</v>
      </c>
      <c r="F188" s="8">
        <v>3.01</v>
      </c>
      <c r="G188" s="4">
        <v>8</v>
      </c>
      <c r="H188" s="8">
        <v>0.73</v>
      </c>
      <c r="I188" s="4">
        <v>0</v>
      </c>
    </row>
    <row r="189" spans="1:9" x14ac:dyDescent="0.2">
      <c r="A189" s="2">
        <v>11</v>
      </c>
      <c r="B189" s="1" t="s">
        <v>116</v>
      </c>
      <c r="C189" s="4">
        <v>38</v>
      </c>
      <c r="D189" s="8">
        <v>1.76</v>
      </c>
      <c r="E189" s="4">
        <v>7</v>
      </c>
      <c r="F189" s="8">
        <v>0.66</v>
      </c>
      <c r="G189" s="4">
        <v>31</v>
      </c>
      <c r="H189" s="8">
        <v>2.83</v>
      </c>
      <c r="I189" s="4">
        <v>0</v>
      </c>
    </row>
    <row r="190" spans="1:9" x14ac:dyDescent="0.2">
      <c r="A190" s="2">
        <v>12</v>
      </c>
      <c r="B190" s="1" t="s">
        <v>145</v>
      </c>
      <c r="C190" s="4">
        <v>37</v>
      </c>
      <c r="D190" s="8">
        <v>1.71</v>
      </c>
      <c r="E190" s="4">
        <v>14</v>
      </c>
      <c r="F190" s="8">
        <v>1.32</v>
      </c>
      <c r="G190" s="4">
        <v>23</v>
      </c>
      <c r="H190" s="8">
        <v>2.1</v>
      </c>
      <c r="I190" s="4">
        <v>0</v>
      </c>
    </row>
    <row r="191" spans="1:9" x14ac:dyDescent="0.2">
      <c r="A191" s="2">
        <v>13</v>
      </c>
      <c r="B191" s="1" t="s">
        <v>129</v>
      </c>
      <c r="C191" s="4">
        <v>36</v>
      </c>
      <c r="D191" s="8">
        <v>1.66</v>
      </c>
      <c r="E191" s="4">
        <v>31</v>
      </c>
      <c r="F191" s="8">
        <v>2.92</v>
      </c>
      <c r="G191" s="4">
        <v>5</v>
      </c>
      <c r="H191" s="8">
        <v>0.46</v>
      </c>
      <c r="I191" s="4">
        <v>0</v>
      </c>
    </row>
    <row r="192" spans="1:9" x14ac:dyDescent="0.2">
      <c r="A192" s="2">
        <v>14</v>
      </c>
      <c r="B192" s="1" t="s">
        <v>144</v>
      </c>
      <c r="C192" s="4">
        <v>34</v>
      </c>
      <c r="D192" s="8">
        <v>1.57</v>
      </c>
      <c r="E192" s="4">
        <v>15</v>
      </c>
      <c r="F192" s="8">
        <v>1.41</v>
      </c>
      <c r="G192" s="4">
        <v>19</v>
      </c>
      <c r="H192" s="8">
        <v>1.73</v>
      </c>
      <c r="I192" s="4">
        <v>0</v>
      </c>
    </row>
    <row r="193" spans="1:9" x14ac:dyDescent="0.2">
      <c r="A193" s="2">
        <v>14</v>
      </c>
      <c r="B193" s="1" t="s">
        <v>120</v>
      </c>
      <c r="C193" s="4">
        <v>34</v>
      </c>
      <c r="D193" s="8">
        <v>1.57</v>
      </c>
      <c r="E193" s="4">
        <v>5</v>
      </c>
      <c r="F193" s="8">
        <v>0.47</v>
      </c>
      <c r="G193" s="4">
        <v>29</v>
      </c>
      <c r="H193" s="8">
        <v>2.65</v>
      </c>
      <c r="I193" s="4">
        <v>0</v>
      </c>
    </row>
    <row r="194" spans="1:9" x14ac:dyDescent="0.2">
      <c r="A194" s="2">
        <v>16</v>
      </c>
      <c r="B194" s="1" t="s">
        <v>125</v>
      </c>
      <c r="C194" s="4">
        <v>33</v>
      </c>
      <c r="D194" s="8">
        <v>1.53</v>
      </c>
      <c r="E194" s="4">
        <v>6</v>
      </c>
      <c r="F194" s="8">
        <v>0.56000000000000005</v>
      </c>
      <c r="G194" s="4">
        <v>27</v>
      </c>
      <c r="H194" s="8">
        <v>2.46</v>
      </c>
      <c r="I194" s="4">
        <v>0</v>
      </c>
    </row>
    <row r="195" spans="1:9" x14ac:dyDescent="0.2">
      <c r="A195" s="2">
        <v>17</v>
      </c>
      <c r="B195" s="1" t="s">
        <v>151</v>
      </c>
      <c r="C195" s="4">
        <v>32</v>
      </c>
      <c r="D195" s="8">
        <v>1.48</v>
      </c>
      <c r="E195" s="4">
        <v>8</v>
      </c>
      <c r="F195" s="8">
        <v>0.75</v>
      </c>
      <c r="G195" s="4">
        <v>24</v>
      </c>
      <c r="H195" s="8">
        <v>2.19</v>
      </c>
      <c r="I195" s="4">
        <v>0</v>
      </c>
    </row>
    <row r="196" spans="1:9" x14ac:dyDescent="0.2">
      <c r="A196" s="2">
        <v>18</v>
      </c>
      <c r="B196" s="1" t="s">
        <v>117</v>
      </c>
      <c r="C196" s="4">
        <v>31</v>
      </c>
      <c r="D196" s="8">
        <v>1.43</v>
      </c>
      <c r="E196" s="4">
        <v>6</v>
      </c>
      <c r="F196" s="8">
        <v>0.56000000000000005</v>
      </c>
      <c r="G196" s="4">
        <v>25</v>
      </c>
      <c r="H196" s="8">
        <v>2.2799999999999998</v>
      </c>
      <c r="I196" s="4">
        <v>0</v>
      </c>
    </row>
    <row r="197" spans="1:9" x14ac:dyDescent="0.2">
      <c r="A197" s="2">
        <v>19</v>
      </c>
      <c r="B197" s="1" t="s">
        <v>124</v>
      </c>
      <c r="C197" s="4">
        <v>29</v>
      </c>
      <c r="D197" s="8">
        <v>1.34</v>
      </c>
      <c r="E197" s="4">
        <v>8</v>
      </c>
      <c r="F197" s="8">
        <v>0.75</v>
      </c>
      <c r="G197" s="4">
        <v>21</v>
      </c>
      <c r="H197" s="8">
        <v>1.92</v>
      </c>
      <c r="I197" s="4">
        <v>0</v>
      </c>
    </row>
    <row r="198" spans="1:9" x14ac:dyDescent="0.2">
      <c r="A198" s="2">
        <v>20</v>
      </c>
      <c r="B198" s="1" t="s">
        <v>136</v>
      </c>
      <c r="C198" s="4">
        <v>28</v>
      </c>
      <c r="D198" s="8">
        <v>1.29</v>
      </c>
      <c r="E198" s="4">
        <v>23</v>
      </c>
      <c r="F198" s="8">
        <v>2.16</v>
      </c>
      <c r="G198" s="4">
        <v>5</v>
      </c>
      <c r="H198" s="8">
        <v>0.46</v>
      </c>
      <c r="I198" s="4">
        <v>0</v>
      </c>
    </row>
    <row r="199" spans="1:9" x14ac:dyDescent="0.2">
      <c r="A199" s="2">
        <v>20</v>
      </c>
      <c r="B199" s="1" t="s">
        <v>140</v>
      </c>
      <c r="C199" s="4">
        <v>28</v>
      </c>
      <c r="D199" s="8">
        <v>1.29</v>
      </c>
      <c r="E199" s="4">
        <v>19</v>
      </c>
      <c r="F199" s="8">
        <v>1.79</v>
      </c>
      <c r="G199" s="4">
        <v>9</v>
      </c>
      <c r="H199" s="8">
        <v>0.82</v>
      </c>
      <c r="I199" s="4">
        <v>0</v>
      </c>
    </row>
    <row r="200" spans="1:9" x14ac:dyDescent="0.2">
      <c r="A200" s="1"/>
      <c r="C200" s="4"/>
      <c r="D200" s="8"/>
      <c r="E200" s="4"/>
      <c r="F200" s="8"/>
      <c r="G200" s="4"/>
      <c r="H200" s="8"/>
      <c r="I200" s="4"/>
    </row>
    <row r="201" spans="1:9" x14ac:dyDescent="0.2">
      <c r="A201" s="1" t="s">
        <v>9</v>
      </c>
      <c r="C201" s="4"/>
      <c r="D201" s="8"/>
      <c r="E201" s="4"/>
      <c r="F201" s="8"/>
      <c r="G201" s="4"/>
      <c r="H201" s="8"/>
      <c r="I201" s="4"/>
    </row>
    <row r="202" spans="1:9" x14ac:dyDescent="0.2">
      <c r="A202" s="2">
        <v>1</v>
      </c>
      <c r="B202" s="1" t="s">
        <v>132</v>
      </c>
      <c r="C202" s="4">
        <v>104</v>
      </c>
      <c r="D202" s="8">
        <v>4.76</v>
      </c>
      <c r="E202" s="4">
        <v>100</v>
      </c>
      <c r="F202" s="8">
        <v>11.04</v>
      </c>
      <c r="G202" s="4">
        <v>4</v>
      </c>
      <c r="H202" s="8">
        <v>0.31</v>
      </c>
      <c r="I202" s="4">
        <v>0</v>
      </c>
    </row>
    <row r="203" spans="1:9" x14ac:dyDescent="0.2">
      <c r="A203" s="2">
        <v>2</v>
      </c>
      <c r="B203" s="1" t="s">
        <v>126</v>
      </c>
      <c r="C203" s="4">
        <v>98</v>
      </c>
      <c r="D203" s="8">
        <v>4.4800000000000004</v>
      </c>
      <c r="E203" s="4">
        <v>42</v>
      </c>
      <c r="F203" s="8">
        <v>4.6399999999999997</v>
      </c>
      <c r="G203" s="4">
        <v>56</v>
      </c>
      <c r="H203" s="8">
        <v>4.3899999999999997</v>
      </c>
      <c r="I203" s="4">
        <v>0</v>
      </c>
    </row>
    <row r="204" spans="1:9" x14ac:dyDescent="0.2">
      <c r="A204" s="2">
        <v>3</v>
      </c>
      <c r="B204" s="1" t="s">
        <v>122</v>
      </c>
      <c r="C204" s="4">
        <v>62</v>
      </c>
      <c r="D204" s="8">
        <v>2.84</v>
      </c>
      <c r="E204" s="4">
        <v>37</v>
      </c>
      <c r="F204" s="8">
        <v>4.08</v>
      </c>
      <c r="G204" s="4">
        <v>25</v>
      </c>
      <c r="H204" s="8">
        <v>1.96</v>
      </c>
      <c r="I204" s="4">
        <v>0</v>
      </c>
    </row>
    <row r="205" spans="1:9" x14ac:dyDescent="0.2">
      <c r="A205" s="2">
        <v>4</v>
      </c>
      <c r="B205" s="1" t="s">
        <v>131</v>
      </c>
      <c r="C205" s="4">
        <v>59</v>
      </c>
      <c r="D205" s="8">
        <v>2.7</v>
      </c>
      <c r="E205" s="4">
        <v>55</v>
      </c>
      <c r="F205" s="8">
        <v>6.07</v>
      </c>
      <c r="G205" s="4">
        <v>4</v>
      </c>
      <c r="H205" s="8">
        <v>0.31</v>
      </c>
      <c r="I205" s="4">
        <v>0</v>
      </c>
    </row>
    <row r="206" spans="1:9" x14ac:dyDescent="0.2">
      <c r="A206" s="2">
        <v>5</v>
      </c>
      <c r="B206" s="1" t="s">
        <v>119</v>
      </c>
      <c r="C206" s="4">
        <v>56</v>
      </c>
      <c r="D206" s="8">
        <v>2.56</v>
      </c>
      <c r="E206" s="4">
        <v>14</v>
      </c>
      <c r="F206" s="8">
        <v>1.55</v>
      </c>
      <c r="G206" s="4">
        <v>42</v>
      </c>
      <c r="H206" s="8">
        <v>3.29</v>
      </c>
      <c r="I206" s="4">
        <v>0</v>
      </c>
    </row>
    <row r="207" spans="1:9" x14ac:dyDescent="0.2">
      <c r="A207" s="2">
        <v>6</v>
      </c>
      <c r="B207" s="1" t="s">
        <v>145</v>
      </c>
      <c r="C207" s="4">
        <v>52</v>
      </c>
      <c r="D207" s="8">
        <v>2.38</v>
      </c>
      <c r="E207" s="4">
        <v>11</v>
      </c>
      <c r="F207" s="8">
        <v>1.21</v>
      </c>
      <c r="G207" s="4">
        <v>41</v>
      </c>
      <c r="H207" s="8">
        <v>3.21</v>
      </c>
      <c r="I207" s="4">
        <v>0</v>
      </c>
    </row>
    <row r="208" spans="1:9" x14ac:dyDescent="0.2">
      <c r="A208" s="2">
        <v>7</v>
      </c>
      <c r="B208" s="1" t="s">
        <v>133</v>
      </c>
      <c r="C208" s="4">
        <v>48</v>
      </c>
      <c r="D208" s="8">
        <v>2.2000000000000002</v>
      </c>
      <c r="E208" s="4">
        <v>43</v>
      </c>
      <c r="F208" s="8">
        <v>4.75</v>
      </c>
      <c r="G208" s="4">
        <v>5</v>
      </c>
      <c r="H208" s="8">
        <v>0.39</v>
      </c>
      <c r="I208" s="4">
        <v>0</v>
      </c>
    </row>
    <row r="209" spans="1:9" x14ac:dyDescent="0.2">
      <c r="A209" s="2">
        <v>8</v>
      </c>
      <c r="B209" s="1" t="s">
        <v>118</v>
      </c>
      <c r="C209" s="4">
        <v>46</v>
      </c>
      <c r="D209" s="8">
        <v>2.1</v>
      </c>
      <c r="E209" s="4">
        <v>15</v>
      </c>
      <c r="F209" s="8">
        <v>1.66</v>
      </c>
      <c r="G209" s="4">
        <v>31</v>
      </c>
      <c r="H209" s="8">
        <v>2.4300000000000002</v>
      </c>
      <c r="I209" s="4">
        <v>0</v>
      </c>
    </row>
    <row r="210" spans="1:9" x14ac:dyDescent="0.2">
      <c r="A210" s="2">
        <v>9</v>
      </c>
      <c r="B210" s="1" t="s">
        <v>151</v>
      </c>
      <c r="C210" s="4">
        <v>42</v>
      </c>
      <c r="D210" s="8">
        <v>1.92</v>
      </c>
      <c r="E210" s="4">
        <v>7</v>
      </c>
      <c r="F210" s="8">
        <v>0.77</v>
      </c>
      <c r="G210" s="4">
        <v>35</v>
      </c>
      <c r="H210" s="8">
        <v>2.74</v>
      </c>
      <c r="I210" s="4">
        <v>0</v>
      </c>
    </row>
    <row r="211" spans="1:9" x14ac:dyDescent="0.2">
      <c r="A211" s="2">
        <v>10</v>
      </c>
      <c r="B211" s="1" t="s">
        <v>117</v>
      </c>
      <c r="C211" s="4">
        <v>41</v>
      </c>
      <c r="D211" s="8">
        <v>1.88</v>
      </c>
      <c r="E211" s="4">
        <v>5</v>
      </c>
      <c r="F211" s="8">
        <v>0.55000000000000004</v>
      </c>
      <c r="G211" s="4">
        <v>36</v>
      </c>
      <c r="H211" s="8">
        <v>2.82</v>
      </c>
      <c r="I211" s="4">
        <v>0</v>
      </c>
    </row>
    <row r="212" spans="1:9" x14ac:dyDescent="0.2">
      <c r="A212" s="2">
        <v>11</v>
      </c>
      <c r="B212" s="1" t="s">
        <v>134</v>
      </c>
      <c r="C212" s="4">
        <v>39</v>
      </c>
      <c r="D212" s="8">
        <v>1.78</v>
      </c>
      <c r="E212" s="4">
        <v>34</v>
      </c>
      <c r="F212" s="8">
        <v>3.75</v>
      </c>
      <c r="G212" s="4">
        <v>5</v>
      </c>
      <c r="H212" s="8">
        <v>0.39</v>
      </c>
      <c r="I212" s="4">
        <v>0</v>
      </c>
    </row>
    <row r="213" spans="1:9" x14ac:dyDescent="0.2">
      <c r="A213" s="2">
        <v>12</v>
      </c>
      <c r="B213" s="1" t="s">
        <v>135</v>
      </c>
      <c r="C213" s="4">
        <v>38</v>
      </c>
      <c r="D213" s="8">
        <v>1.74</v>
      </c>
      <c r="E213" s="4">
        <v>23</v>
      </c>
      <c r="F213" s="8">
        <v>2.54</v>
      </c>
      <c r="G213" s="4">
        <v>15</v>
      </c>
      <c r="H213" s="8">
        <v>1.18</v>
      </c>
      <c r="I213" s="4">
        <v>0</v>
      </c>
    </row>
    <row r="214" spans="1:9" x14ac:dyDescent="0.2">
      <c r="A214" s="2">
        <v>13</v>
      </c>
      <c r="B214" s="1" t="s">
        <v>120</v>
      </c>
      <c r="C214" s="4">
        <v>37</v>
      </c>
      <c r="D214" s="8">
        <v>1.69</v>
      </c>
      <c r="E214" s="4">
        <v>8</v>
      </c>
      <c r="F214" s="8">
        <v>0.88</v>
      </c>
      <c r="G214" s="4">
        <v>29</v>
      </c>
      <c r="H214" s="8">
        <v>2.27</v>
      </c>
      <c r="I214" s="4">
        <v>0</v>
      </c>
    </row>
    <row r="215" spans="1:9" x14ac:dyDescent="0.2">
      <c r="A215" s="2">
        <v>14</v>
      </c>
      <c r="B215" s="1" t="s">
        <v>125</v>
      </c>
      <c r="C215" s="4">
        <v>32</v>
      </c>
      <c r="D215" s="8">
        <v>1.46</v>
      </c>
      <c r="E215" s="4">
        <v>1</v>
      </c>
      <c r="F215" s="8">
        <v>0.11</v>
      </c>
      <c r="G215" s="4">
        <v>31</v>
      </c>
      <c r="H215" s="8">
        <v>2.4300000000000002</v>
      </c>
      <c r="I215" s="4">
        <v>0</v>
      </c>
    </row>
    <row r="216" spans="1:9" x14ac:dyDescent="0.2">
      <c r="A216" s="2">
        <v>15</v>
      </c>
      <c r="B216" s="1" t="s">
        <v>128</v>
      </c>
      <c r="C216" s="4">
        <v>30</v>
      </c>
      <c r="D216" s="8">
        <v>1.37</v>
      </c>
      <c r="E216" s="4">
        <v>24</v>
      </c>
      <c r="F216" s="8">
        <v>2.65</v>
      </c>
      <c r="G216" s="4">
        <v>6</v>
      </c>
      <c r="H216" s="8">
        <v>0.47</v>
      </c>
      <c r="I216" s="4">
        <v>0</v>
      </c>
    </row>
    <row r="217" spans="1:9" x14ac:dyDescent="0.2">
      <c r="A217" s="2">
        <v>16</v>
      </c>
      <c r="B217" s="1" t="s">
        <v>150</v>
      </c>
      <c r="C217" s="4">
        <v>29</v>
      </c>
      <c r="D217" s="8">
        <v>1.33</v>
      </c>
      <c r="E217" s="4">
        <v>7</v>
      </c>
      <c r="F217" s="8">
        <v>0.77</v>
      </c>
      <c r="G217" s="4">
        <v>22</v>
      </c>
      <c r="H217" s="8">
        <v>1.72</v>
      </c>
      <c r="I217" s="4">
        <v>0</v>
      </c>
    </row>
    <row r="218" spans="1:9" x14ac:dyDescent="0.2">
      <c r="A218" s="2">
        <v>16</v>
      </c>
      <c r="B218" s="1" t="s">
        <v>153</v>
      </c>
      <c r="C218" s="4">
        <v>29</v>
      </c>
      <c r="D218" s="8">
        <v>1.33</v>
      </c>
      <c r="E218" s="4">
        <v>26</v>
      </c>
      <c r="F218" s="8">
        <v>2.87</v>
      </c>
      <c r="G218" s="4">
        <v>2</v>
      </c>
      <c r="H218" s="8">
        <v>0.16</v>
      </c>
      <c r="I218" s="4">
        <v>1</v>
      </c>
    </row>
    <row r="219" spans="1:9" x14ac:dyDescent="0.2">
      <c r="A219" s="2">
        <v>18</v>
      </c>
      <c r="B219" s="1" t="s">
        <v>116</v>
      </c>
      <c r="C219" s="4">
        <v>28</v>
      </c>
      <c r="D219" s="8">
        <v>1.28</v>
      </c>
      <c r="E219" s="4">
        <v>2</v>
      </c>
      <c r="F219" s="8">
        <v>0.22</v>
      </c>
      <c r="G219" s="4">
        <v>26</v>
      </c>
      <c r="H219" s="8">
        <v>2.04</v>
      </c>
      <c r="I219" s="4">
        <v>0</v>
      </c>
    </row>
    <row r="220" spans="1:9" x14ac:dyDescent="0.2">
      <c r="A220" s="2">
        <v>19</v>
      </c>
      <c r="B220" s="1" t="s">
        <v>123</v>
      </c>
      <c r="C220" s="4">
        <v>26</v>
      </c>
      <c r="D220" s="8">
        <v>1.19</v>
      </c>
      <c r="E220" s="4">
        <v>10</v>
      </c>
      <c r="F220" s="8">
        <v>1.1000000000000001</v>
      </c>
      <c r="G220" s="4">
        <v>16</v>
      </c>
      <c r="H220" s="8">
        <v>1.25</v>
      </c>
      <c r="I220" s="4">
        <v>0</v>
      </c>
    </row>
    <row r="221" spans="1:9" x14ac:dyDescent="0.2">
      <c r="A221" s="2">
        <v>20</v>
      </c>
      <c r="B221" s="1" t="s">
        <v>152</v>
      </c>
      <c r="C221" s="4">
        <v>25</v>
      </c>
      <c r="D221" s="8">
        <v>1.1399999999999999</v>
      </c>
      <c r="E221" s="4">
        <v>10</v>
      </c>
      <c r="F221" s="8">
        <v>1.1000000000000001</v>
      </c>
      <c r="G221" s="4">
        <v>15</v>
      </c>
      <c r="H221" s="8">
        <v>1.18</v>
      </c>
      <c r="I221" s="4">
        <v>0</v>
      </c>
    </row>
    <row r="222" spans="1:9" x14ac:dyDescent="0.2">
      <c r="A222" s="1"/>
      <c r="C222" s="4"/>
      <c r="D222" s="8"/>
      <c r="E222" s="4"/>
      <c r="F222" s="8"/>
      <c r="G222" s="4"/>
      <c r="H222" s="8"/>
      <c r="I222" s="4"/>
    </row>
    <row r="223" spans="1:9" x14ac:dyDescent="0.2">
      <c r="A223" s="1" t="s">
        <v>10</v>
      </c>
      <c r="C223" s="4"/>
      <c r="D223" s="8"/>
      <c r="E223" s="4"/>
      <c r="F223" s="8"/>
      <c r="G223" s="4"/>
      <c r="H223" s="8"/>
      <c r="I223" s="4"/>
    </row>
    <row r="224" spans="1:9" x14ac:dyDescent="0.2">
      <c r="A224" s="2">
        <v>1</v>
      </c>
      <c r="B224" s="1" t="s">
        <v>132</v>
      </c>
      <c r="C224" s="4">
        <v>113</v>
      </c>
      <c r="D224" s="8">
        <v>5.53</v>
      </c>
      <c r="E224" s="4">
        <v>106</v>
      </c>
      <c r="F224" s="8">
        <v>10.31</v>
      </c>
      <c r="G224" s="4">
        <v>7</v>
      </c>
      <c r="H224" s="8">
        <v>0.69</v>
      </c>
      <c r="I224" s="4">
        <v>0</v>
      </c>
    </row>
    <row r="225" spans="1:9" x14ac:dyDescent="0.2">
      <c r="A225" s="2">
        <v>2</v>
      </c>
      <c r="B225" s="1" t="s">
        <v>131</v>
      </c>
      <c r="C225" s="4">
        <v>70</v>
      </c>
      <c r="D225" s="8">
        <v>3.42</v>
      </c>
      <c r="E225" s="4">
        <v>67</v>
      </c>
      <c r="F225" s="8">
        <v>6.52</v>
      </c>
      <c r="G225" s="4">
        <v>3</v>
      </c>
      <c r="H225" s="8">
        <v>0.3</v>
      </c>
      <c r="I225" s="4">
        <v>0</v>
      </c>
    </row>
    <row r="226" spans="1:9" x14ac:dyDescent="0.2">
      <c r="A226" s="2">
        <v>3</v>
      </c>
      <c r="B226" s="1" t="s">
        <v>126</v>
      </c>
      <c r="C226" s="4">
        <v>68</v>
      </c>
      <c r="D226" s="8">
        <v>3.33</v>
      </c>
      <c r="E226" s="4">
        <v>41</v>
      </c>
      <c r="F226" s="8">
        <v>3.99</v>
      </c>
      <c r="G226" s="4">
        <v>27</v>
      </c>
      <c r="H226" s="8">
        <v>2.67</v>
      </c>
      <c r="I226" s="4">
        <v>0</v>
      </c>
    </row>
    <row r="227" spans="1:9" x14ac:dyDescent="0.2">
      <c r="A227" s="2">
        <v>4</v>
      </c>
      <c r="B227" s="1" t="s">
        <v>118</v>
      </c>
      <c r="C227" s="4">
        <v>53</v>
      </c>
      <c r="D227" s="8">
        <v>2.59</v>
      </c>
      <c r="E227" s="4">
        <v>29</v>
      </c>
      <c r="F227" s="8">
        <v>2.82</v>
      </c>
      <c r="G227" s="4">
        <v>24</v>
      </c>
      <c r="H227" s="8">
        <v>2.37</v>
      </c>
      <c r="I227" s="4">
        <v>0</v>
      </c>
    </row>
    <row r="228" spans="1:9" x14ac:dyDescent="0.2">
      <c r="A228" s="2">
        <v>5</v>
      </c>
      <c r="B228" s="1" t="s">
        <v>122</v>
      </c>
      <c r="C228" s="4">
        <v>51</v>
      </c>
      <c r="D228" s="8">
        <v>2.5</v>
      </c>
      <c r="E228" s="4">
        <v>29</v>
      </c>
      <c r="F228" s="8">
        <v>2.82</v>
      </c>
      <c r="G228" s="4">
        <v>22</v>
      </c>
      <c r="H228" s="8">
        <v>2.17</v>
      </c>
      <c r="I228" s="4">
        <v>0</v>
      </c>
    </row>
    <row r="229" spans="1:9" x14ac:dyDescent="0.2">
      <c r="A229" s="2">
        <v>6</v>
      </c>
      <c r="B229" s="1" t="s">
        <v>134</v>
      </c>
      <c r="C229" s="4">
        <v>49</v>
      </c>
      <c r="D229" s="8">
        <v>2.4</v>
      </c>
      <c r="E229" s="4">
        <v>45</v>
      </c>
      <c r="F229" s="8">
        <v>4.38</v>
      </c>
      <c r="G229" s="4">
        <v>4</v>
      </c>
      <c r="H229" s="8">
        <v>0.39</v>
      </c>
      <c r="I229" s="4">
        <v>0</v>
      </c>
    </row>
    <row r="230" spans="1:9" x14ac:dyDescent="0.2">
      <c r="A230" s="2">
        <v>7</v>
      </c>
      <c r="B230" s="1" t="s">
        <v>128</v>
      </c>
      <c r="C230" s="4">
        <v>47</v>
      </c>
      <c r="D230" s="8">
        <v>2.2999999999999998</v>
      </c>
      <c r="E230" s="4">
        <v>32</v>
      </c>
      <c r="F230" s="8">
        <v>3.11</v>
      </c>
      <c r="G230" s="4">
        <v>15</v>
      </c>
      <c r="H230" s="8">
        <v>1.48</v>
      </c>
      <c r="I230" s="4">
        <v>0</v>
      </c>
    </row>
    <row r="231" spans="1:9" x14ac:dyDescent="0.2">
      <c r="A231" s="2">
        <v>7</v>
      </c>
      <c r="B231" s="1" t="s">
        <v>133</v>
      </c>
      <c r="C231" s="4">
        <v>47</v>
      </c>
      <c r="D231" s="8">
        <v>2.2999999999999998</v>
      </c>
      <c r="E231" s="4">
        <v>38</v>
      </c>
      <c r="F231" s="8">
        <v>3.7</v>
      </c>
      <c r="G231" s="4">
        <v>9</v>
      </c>
      <c r="H231" s="8">
        <v>0.89</v>
      </c>
      <c r="I231" s="4">
        <v>0</v>
      </c>
    </row>
    <row r="232" spans="1:9" x14ac:dyDescent="0.2">
      <c r="A232" s="2">
        <v>9</v>
      </c>
      <c r="B232" s="1" t="s">
        <v>119</v>
      </c>
      <c r="C232" s="4">
        <v>45</v>
      </c>
      <c r="D232" s="8">
        <v>2.2000000000000002</v>
      </c>
      <c r="E232" s="4">
        <v>10</v>
      </c>
      <c r="F232" s="8">
        <v>0.97</v>
      </c>
      <c r="G232" s="4">
        <v>35</v>
      </c>
      <c r="H232" s="8">
        <v>3.46</v>
      </c>
      <c r="I232" s="4">
        <v>0</v>
      </c>
    </row>
    <row r="233" spans="1:9" x14ac:dyDescent="0.2">
      <c r="A233" s="2">
        <v>9</v>
      </c>
      <c r="B233" s="1" t="s">
        <v>120</v>
      </c>
      <c r="C233" s="4">
        <v>45</v>
      </c>
      <c r="D233" s="8">
        <v>2.2000000000000002</v>
      </c>
      <c r="E233" s="4">
        <v>16</v>
      </c>
      <c r="F233" s="8">
        <v>1.56</v>
      </c>
      <c r="G233" s="4">
        <v>29</v>
      </c>
      <c r="H233" s="8">
        <v>2.86</v>
      </c>
      <c r="I233" s="4">
        <v>0</v>
      </c>
    </row>
    <row r="234" spans="1:9" x14ac:dyDescent="0.2">
      <c r="A234" s="2">
        <v>11</v>
      </c>
      <c r="B234" s="1" t="s">
        <v>116</v>
      </c>
      <c r="C234" s="4">
        <v>44</v>
      </c>
      <c r="D234" s="8">
        <v>2.15</v>
      </c>
      <c r="E234" s="4">
        <v>5</v>
      </c>
      <c r="F234" s="8">
        <v>0.49</v>
      </c>
      <c r="G234" s="4">
        <v>39</v>
      </c>
      <c r="H234" s="8">
        <v>3.85</v>
      </c>
      <c r="I234" s="4">
        <v>0</v>
      </c>
    </row>
    <row r="235" spans="1:9" x14ac:dyDescent="0.2">
      <c r="A235" s="2">
        <v>12</v>
      </c>
      <c r="B235" s="1" t="s">
        <v>124</v>
      </c>
      <c r="C235" s="4">
        <v>35</v>
      </c>
      <c r="D235" s="8">
        <v>1.71</v>
      </c>
      <c r="E235" s="4">
        <v>23</v>
      </c>
      <c r="F235" s="8">
        <v>2.2400000000000002</v>
      </c>
      <c r="G235" s="4">
        <v>12</v>
      </c>
      <c r="H235" s="8">
        <v>1.18</v>
      </c>
      <c r="I235" s="4">
        <v>0</v>
      </c>
    </row>
    <row r="236" spans="1:9" x14ac:dyDescent="0.2">
      <c r="A236" s="2">
        <v>13</v>
      </c>
      <c r="B236" s="1" t="s">
        <v>117</v>
      </c>
      <c r="C236" s="4">
        <v>31</v>
      </c>
      <c r="D236" s="8">
        <v>1.52</v>
      </c>
      <c r="E236" s="4">
        <v>10</v>
      </c>
      <c r="F236" s="8">
        <v>0.97</v>
      </c>
      <c r="G236" s="4">
        <v>21</v>
      </c>
      <c r="H236" s="8">
        <v>2.0699999999999998</v>
      </c>
      <c r="I236" s="4">
        <v>0</v>
      </c>
    </row>
    <row r="237" spans="1:9" x14ac:dyDescent="0.2">
      <c r="A237" s="2">
        <v>13</v>
      </c>
      <c r="B237" s="1" t="s">
        <v>123</v>
      </c>
      <c r="C237" s="4">
        <v>31</v>
      </c>
      <c r="D237" s="8">
        <v>1.52</v>
      </c>
      <c r="E237" s="4">
        <v>10</v>
      </c>
      <c r="F237" s="8">
        <v>0.97</v>
      </c>
      <c r="G237" s="4">
        <v>21</v>
      </c>
      <c r="H237" s="8">
        <v>2.0699999999999998</v>
      </c>
      <c r="I237" s="4">
        <v>0</v>
      </c>
    </row>
    <row r="238" spans="1:9" x14ac:dyDescent="0.2">
      <c r="A238" s="2">
        <v>15</v>
      </c>
      <c r="B238" s="1" t="s">
        <v>121</v>
      </c>
      <c r="C238" s="4">
        <v>30</v>
      </c>
      <c r="D238" s="8">
        <v>1.47</v>
      </c>
      <c r="E238" s="4">
        <v>15</v>
      </c>
      <c r="F238" s="8">
        <v>1.46</v>
      </c>
      <c r="G238" s="4">
        <v>15</v>
      </c>
      <c r="H238" s="8">
        <v>1.48</v>
      </c>
      <c r="I238" s="4">
        <v>0</v>
      </c>
    </row>
    <row r="239" spans="1:9" x14ac:dyDescent="0.2">
      <c r="A239" s="2">
        <v>15</v>
      </c>
      <c r="B239" s="1" t="s">
        <v>140</v>
      </c>
      <c r="C239" s="4">
        <v>30</v>
      </c>
      <c r="D239" s="8">
        <v>1.47</v>
      </c>
      <c r="E239" s="4">
        <v>24</v>
      </c>
      <c r="F239" s="8">
        <v>2.33</v>
      </c>
      <c r="G239" s="4">
        <v>6</v>
      </c>
      <c r="H239" s="8">
        <v>0.59</v>
      </c>
      <c r="I239" s="4">
        <v>0</v>
      </c>
    </row>
    <row r="240" spans="1:9" x14ac:dyDescent="0.2">
      <c r="A240" s="2">
        <v>17</v>
      </c>
      <c r="B240" s="1" t="s">
        <v>135</v>
      </c>
      <c r="C240" s="4">
        <v>29</v>
      </c>
      <c r="D240" s="8">
        <v>1.42</v>
      </c>
      <c r="E240" s="4">
        <v>19</v>
      </c>
      <c r="F240" s="8">
        <v>1.85</v>
      </c>
      <c r="G240" s="4">
        <v>10</v>
      </c>
      <c r="H240" s="8">
        <v>0.99</v>
      </c>
      <c r="I240" s="4">
        <v>0</v>
      </c>
    </row>
    <row r="241" spans="1:9" x14ac:dyDescent="0.2">
      <c r="A241" s="2">
        <v>18</v>
      </c>
      <c r="B241" s="1" t="s">
        <v>154</v>
      </c>
      <c r="C241" s="4">
        <v>27</v>
      </c>
      <c r="D241" s="8">
        <v>1.32</v>
      </c>
      <c r="E241" s="4">
        <v>8</v>
      </c>
      <c r="F241" s="8">
        <v>0.78</v>
      </c>
      <c r="G241" s="4">
        <v>19</v>
      </c>
      <c r="H241" s="8">
        <v>1.88</v>
      </c>
      <c r="I241" s="4">
        <v>0</v>
      </c>
    </row>
    <row r="242" spans="1:9" x14ac:dyDescent="0.2">
      <c r="A242" s="2">
        <v>19</v>
      </c>
      <c r="B242" s="1" t="s">
        <v>136</v>
      </c>
      <c r="C242" s="4">
        <v>26</v>
      </c>
      <c r="D242" s="8">
        <v>1.27</v>
      </c>
      <c r="E242" s="4">
        <v>18</v>
      </c>
      <c r="F242" s="8">
        <v>1.75</v>
      </c>
      <c r="G242" s="4">
        <v>8</v>
      </c>
      <c r="H242" s="8">
        <v>0.79</v>
      </c>
      <c r="I242" s="4">
        <v>0</v>
      </c>
    </row>
    <row r="243" spans="1:9" x14ac:dyDescent="0.2">
      <c r="A243" s="2">
        <v>19</v>
      </c>
      <c r="B243" s="1" t="s">
        <v>155</v>
      </c>
      <c r="C243" s="4">
        <v>26</v>
      </c>
      <c r="D243" s="8">
        <v>1.27</v>
      </c>
      <c r="E243" s="4">
        <v>17</v>
      </c>
      <c r="F243" s="8">
        <v>1.65</v>
      </c>
      <c r="G243" s="4">
        <v>9</v>
      </c>
      <c r="H243" s="8">
        <v>0.89</v>
      </c>
      <c r="I243" s="4">
        <v>0</v>
      </c>
    </row>
    <row r="244" spans="1:9" x14ac:dyDescent="0.2">
      <c r="A244" s="2">
        <v>19</v>
      </c>
      <c r="B244" s="1" t="s">
        <v>139</v>
      </c>
      <c r="C244" s="4">
        <v>26</v>
      </c>
      <c r="D244" s="8">
        <v>1.27</v>
      </c>
      <c r="E244" s="4">
        <v>25</v>
      </c>
      <c r="F244" s="8">
        <v>2.4300000000000002</v>
      </c>
      <c r="G244" s="4">
        <v>1</v>
      </c>
      <c r="H244" s="8">
        <v>0.1</v>
      </c>
      <c r="I244" s="4">
        <v>0</v>
      </c>
    </row>
    <row r="245" spans="1:9" x14ac:dyDescent="0.2">
      <c r="A245" s="1"/>
      <c r="C245" s="4"/>
      <c r="D245" s="8"/>
      <c r="E245" s="4"/>
      <c r="F245" s="8"/>
      <c r="G245" s="4"/>
      <c r="H245" s="8"/>
      <c r="I245" s="4"/>
    </row>
    <row r="246" spans="1:9" x14ac:dyDescent="0.2">
      <c r="A246" s="1" t="s">
        <v>11</v>
      </c>
      <c r="C246" s="4"/>
      <c r="D246" s="8"/>
      <c r="E246" s="4"/>
      <c r="F246" s="8"/>
      <c r="G246" s="4"/>
      <c r="H246" s="8"/>
      <c r="I246" s="4"/>
    </row>
    <row r="247" spans="1:9" x14ac:dyDescent="0.2">
      <c r="A247" s="2">
        <v>1</v>
      </c>
      <c r="B247" s="1" t="s">
        <v>126</v>
      </c>
      <c r="C247" s="4">
        <v>138</v>
      </c>
      <c r="D247" s="8">
        <v>6.26</v>
      </c>
      <c r="E247" s="4">
        <v>95</v>
      </c>
      <c r="F247" s="8">
        <v>8.34</v>
      </c>
      <c r="G247" s="4">
        <v>43</v>
      </c>
      <c r="H247" s="8">
        <v>4.0599999999999996</v>
      </c>
      <c r="I247" s="4">
        <v>0</v>
      </c>
    </row>
    <row r="248" spans="1:9" x14ac:dyDescent="0.2">
      <c r="A248" s="2">
        <v>2</v>
      </c>
      <c r="B248" s="1" t="s">
        <v>132</v>
      </c>
      <c r="C248" s="4">
        <v>105</v>
      </c>
      <c r="D248" s="8">
        <v>4.76</v>
      </c>
      <c r="E248" s="4">
        <v>93</v>
      </c>
      <c r="F248" s="8">
        <v>8.17</v>
      </c>
      <c r="G248" s="4">
        <v>12</v>
      </c>
      <c r="H248" s="8">
        <v>1.1299999999999999</v>
      </c>
      <c r="I248" s="4">
        <v>0</v>
      </c>
    </row>
    <row r="249" spans="1:9" x14ac:dyDescent="0.2">
      <c r="A249" s="2">
        <v>3</v>
      </c>
      <c r="B249" s="1" t="s">
        <v>133</v>
      </c>
      <c r="C249" s="4">
        <v>67</v>
      </c>
      <c r="D249" s="8">
        <v>3.04</v>
      </c>
      <c r="E249" s="4">
        <v>52</v>
      </c>
      <c r="F249" s="8">
        <v>4.57</v>
      </c>
      <c r="G249" s="4">
        <v>15</v>
      </c>
      <c r="H249" s="8">
        <v>1.42</v>
      </c>
      <c r="I249" s="4">
        <v>0</v>
      </c>
    </row>
    <row r="250" spans="1:9" x14ac:dyDescent="0.2">
      <c r="A250" s="2">
        <v>4</v>
      </c>
      <c r="B250" s="1" t="s">
        <v>118</v>
      </c>
      <c r="C250" s="4">
        <v>66</v>
      </c>
      <c r="D250" s="8">
        <v>2.99</v>
      </c>
      <c r="E250" s="4">
        <v>36</v>
      </c>
      <c r="F250" s="8">
        <v>3.16</v>
      </c>
      <c r="G250" s="4">
        <v>30</v>
      </c>
      <c r="H250" s="8">
        <v>2.83</v>
      </c>
      <c r="I250" s="4">
        <v>0</v>
      </c>
    </row>
    <row r="251" spans="1:9" x14ac:dyDescent="0.2">
      <c r="A251" s="2">
        <v>5</v>
      </c>
      <c r="B251" s="1" t="s">
        <v>122</v>
      </c>
      <c r="C251" s="4">
        <v>59</v>
      </c>
      <c r="D251" s="8">
        <v>2.68</v>
      </c>
      <c r="E251" s="4">
        <v>34</v>
      </c>
      <c r="F251" s="8">
        <v>2.99</v>
      </c>
      <c r="G251" s="4">
        <v>25</v>
      </c>
      <c r="H251" s="8">
        <v>2.36</v>
      </c>
      <c r="I251" s="4">
        <v>0</v>
      </c>
    </row>
    <row r="252" spans="1:9" x14ac:dyDescent="0.2">
      <c r="A252" s="2">
        <v>6</v>
      </c>
      <c r="B252" s="1" t="s">
        <v>131</v>
      </c>
      <c r="C252" s="4">
        <v>58</v>
      </c>
      <c r="D252" s="8">
        <v>2.63</v>
      </c>
      <c r="E252" s="4">
        <v>56</v>
      </c>
      <c r="F252" s="8">
        <v>4.92</v>
      </c>
      <c r="G252" s="4">
        <v>2</v>
      </c>
      <c r="H252" s="8">
        <v>0.19</v>
      </c>
      <c r="I252" s="4">
        <v>0</v>
      </c>
    </row>
    <row r="253" spans="1:9" x14ac:dyDescent="0.2">
      <c r="A253" s="2">
        <v>7</v>
      </c>
      <c r="B253" s="1" t="s">
        <v>134</v>
      </c>
      <c r="C253" s="4">
        <v>57</v>
      </c>
      <c r="D253" s="8">
        <v>2.59</v>
      </c>
      <c r="E253" s="4">
        <v>47</v>
      </c>
      <c r="F253" s="8">
        <v>4.13</v>
      </c>
      <c r="G253" s="4">
        <v>10</v>
      </c>
      <c r="H253" s="8">
        <v>0.94</v>
      </c>
      <c r="I253" s="4">
        <v>0</v>
      </c>
    </row>
    <row r="254" spans="1:9" x14ac:dyDescent="0.2">
      <c r="A254" s="2">
        <v>8</v>
      </c>
      <c r="B254" s="1" t="s">
        <v>117</v>
      </c>
      <c r="C254" s="4">
        <v>48</v>
      </c>
      <c r="D254" s="8">
        <v>2.1800000000000002</v>
      </c>
      <c r="E254" s="4">
        <v>13</v>
      </c>
      <c r="F254" s="8">
        <v>1.1399999999999999</v>
      </c>
      <c r="G254" s="4">
        <v>35</v>
      </c>
      <c r="H254" s="8">
        <v>3.3</v>
      </c>
      <c r="I254" s="4">
        <v>0</v>
      </c>
    </row>
    <row r="255" spans="1:9" x14ac:dyDescent="0.2">
      <c r="A255" s="2">
        <v>9</v>
      </c>
      <c r="B255" s="1" t="s">
        <v>119</v>
      </c>
      <c r="C255" s="4">
        <v>46</v>
      </c>
      <c r="D255" s="8">
        <v>2.09</v>
      </c>
      <c r="E255" s="4">
        <v>17</v>
      </c>
      <c r="F255" s="8">
        <v>1.49</v>
      </c>
      <c r="G255" s="4">
        <v>29</v>
      </c>
      <c r="H255" s="8">
        <v>2.74</v>
      </c>
      <c r="I255" s="4">
        <v>0</v>
      </c>
    </row>
    <row r="256" spans="1:9" x14ac:dyDescent="0.2">
      <c r="A256" s="2">
        <v>10</v>
      </c>
      <c r="B256" s="1" t="s">
        <v>145</v>
      </c>
      <c r="C256" s="4">
        <v>45</v>
      </c>
      <c r="D256" s="8">
        <v>2.04</v>
      </c>
      <c r="E256" s="4">
        <v>16</v>
      </c>
      <c r="F256" s="8">
        <v>1.4</v>
      </c>
      <c r="G256" s="4">
        <v>29</v>
      </c>
      <c r="H256" s="8">
        <v>2.74</v>
      </c>
      <c r="I256" s="4">
        <v>0</v>
      </c>
    </row>
    <row r="257" spans="1:9" x14ac:dyDescent="0.2">
      <c r="A257" s="2">
        <v>11</v>
      </c>
      <c r="B257" s="1" t="s">
        <v>116</v>
      </c>
      <c r="C257" s="4">
        <v>33</v>
      </c>
      <c r="D257" s="8">
        <v>1.5</v>
      </c>
      <c r="E257" s="4">
        <v>4</v>
      </c>
      <c r="F257" s="8">
        <v>0.35</v>
      </c>
      <c r="G257" s="4">
        <v>29</v>
      </c>
      <c r="H257" s="8">
        <v>2.74</v>
      </c>
      <c r="I257" s="4">
        <v>0</v>
      </c>
    </row>
    <row r="258" spans="1:9" x14ac:dyDescent="0.2">
      <c r="A258" s="2">
        <v>11</v>
      </c>
      <c r="B258" s="1" t="s">
        <v>153</v>
      </c>
      <c r="C258" s="4">
        <v>33</v>
      </c>
      <c r="D258" s="8">
        <v>1.5</v>
      </c>
      <c r="E258" s="4">
        <v>29</v>
      </c>
      <c r="F258" s="8">
        <v>2.5499999999999998</v>
      </c>
      <c r="G258" s="4">
        <v>4</v>
      </c>
      <c r="H258" s="8">
        <v>0.38</v>
      </c>
      <c r="I258" s="4">
        <v>0</v>
      </c>
    </row>
    <row r="259" spans="1:9" x14ac:dyDescent="0.2">
      <c r="A259" s="2">
        <v>13</v>
      </c>
      <c r="B259" s="1" t="s">
        <v>120</v>
      </c>
      <c r="C259" s="4">
        <v>32</v>
      </c>
      <c r="D259" s="8">
        <v>1.45</v>
      </c>
      <c r="E259" s="4">
        <v>5</v>
      </c>
      <c r="F259" s="8">
        <v>0.44</v>
      </c>
      <c r="G259" s="4">
        <v>26</v>
      </c>
      <c r="H259" s="8">
        <v>2.4500000000000002</v>
      </c>
      <c r="I259" s="4">
        <v>1</v>
      </c>
    </row>
    <row r="260" spans="1:9" x14ac:dyDescent="0.2">
      <c r="A260" s="2">
        <v>13</v>
      </c>
      <c r="B260" s="1" t="s">
        <v>135</v>
      </c>
      <c r="C260" s="4">
        <v>32</v>
      </c>
      <c r="D260" s="8">
        <v>1.45</v>
      </c>
      <c r="E260" s="4">
        <v>17</v>
      </c>
      <c r="F260" s="8">
        <v>1.49</v>
      </c>
      <c r="G260" s="4">
        <v>15</v>
      </c>
      <c r="H260" s="8">
        <v>1.42</v>
      </c>
      <c r="I260" s="4">
        <v>0</v>
      </c>
    </row>
    <row r="261" spans="1:9" x14ac:dyDescent="0.2">
      <c r="A261" s="2">
        <v>15</v>
      </c>
      <c r="B261" s="1" t="s">
        <v>154</v>
      </c>
      <c r="C261" s="4">
        <v>30</v>
      </c>
      <c r="D261" s="8">
        <v>1.36</v>
      </c>
      <c r="E261" s="4">
        <v>8</v>
      </c>
      <c r="F261" s="8">
        <v>0.7</v>
      </c>
      <c r="G261" s="4">
        <v>22</v>
      </c>
      <c r="H261" s="8">
        <v>2.08</v>
      </c>
      <c r="I261" s="4">
        <v>0</v>
      </c>
    </row>
    <row r="262" spans="1:9" x14ac:dyDescent="0.2">
      <c r="A262" s="2">
        <v>15</v>
      </c>
      <c r="B262" s="1" t="s">
        <v>136</v>
      </c>
      <c r="C262" s="4">
        <v>30</v>
      </c>
      <c r="D262" s="8">
        <v>1.36</v>
      </c>
      <c r="E262" s="4">
        <v>23</v>
      </c>
      <c r="F262" s="8">
        <v>2.02</v>
      </c>
      <c r="G262" s="4">
        <v>7</v>
      </c>
      <c r="H262" s="8">
        <v>0.66</v>
      </c>
      <c r="I262" s="4">
        <v>0</v>
      </c>
    </row>
    <row r="263" spans="1:9" x14ac:dyDescent="0.2">
      <c r="A263" s="2">
        <v>15</v>
      </c>
      <c r="B263" s="1" t="s">
        <v>123</v>
      </c>
      <c r="C263" s="4">
        <v>30</v>
      </c>
      <c r="D263" s="8">
        <v>1.36</v>
      </c>
      <c r="E263" s="4">
        <v>12</v>
      </c>
      <c r="F263" s="8">
        <v>1.05</v>
      </c>
      <c r="G263" s="4">
        <v>18</v>
      </c>
      <c r="H263" s="8">
        <v>1.7</v>
      </c>
      <c r="I263" s="4">
        <v>0</v>
      </c>
    </row>
    <row r="264" spans="1:9" x14ac:dyDescent="0.2">
      <c r="A264" s="2">
        <v>15</v>
      </c>
      <c r="B264" s="1" t="s">
        <v>125</v>
      </c>
      <c r="C264" s="4">
        <v>30</v>
      </c>
      <c r="D264" s="8">
        <v>1.36</v>
      </c>
      <c r="E264" s="4">
        <v>4</v>
      </c>
      <c r="F264" s="8">
        <v>0.35</v>
      </c>
      <c r="G264" s="4">
        <v>26</v>
      </c>
      <c r="H264" s="8">
        <v>2.4500000000000002</v>
      </c>
      <c r="I264" s="4">
        <v>0</v>
      </c>
    </row>
    <row r="265" spans="1:9" x14ac:dyDescent="0.2">
      <c r="A265" s="2">
        <v>19</v>
      </c>
      <c r="B265" s="1" t="s">
        <v>124</v>
      </c>
      <c r="C265" s="4">
        <v>29</v>
      </c>
      <c r="D265" s="8">
        <v>1.32</v>
      </c>
      <c r="E265" s="4">
        <v>17</v>
      </c>
      <c r="F265" s="8">
        <v>1.49</v>
      </c>
      <c r="G265" s="4">
        <v>12</v>
      </c>
      <c r="H265" s="8">
        <v>1.1299999999999999</v>
      </c>
      <c r="I265" s="4">
        <v>0</v>
      </c>
    </row>
    <row r="266" spans="1:9" x14ac:dyDescent="0.2">
      <c r="A266" s="2">
        <v>20</v>
      </c>
      <c r="B266" s="1" t="s">
        <v>127</v>
      </c>
      <c r="C266" s="4">
        <v>28</v>
      </c>
      <c r="D266" s="8">
        <v>1.27</v>
      </c>
      <c r="E266" s="4">
        <v>17</v>
      </c>
      <c r="F266" s="8">
        <v>1.49</v>
      </c>
      <c r="G266" s="4">
        <v>11</v>
      </c>
      <c r="H266" s="8">
        <v>1.04</v>
      </c>
      <c r="I266" s="4">
        <v>0</v>
      </c>
    </row>
    <row r="267" spans="1:9" x14ac:dyDescent="0.2">
      <c r="A267" s="2">
        <v>20</v>
      </c>
      <c r="B267" s="1" t="s">
        <v>128</v>
      </c>
      <c r="C267" s="4">
        <v>28</v>
      </c>
      <c r="D267" s="8">
        <v>1.27</v>
      </c>
      <c r="E267" s="4">
        <v>22</v>
      </c>
      <c r="F267" s="8">
        <v>1.93</v>
      </c>
      <c r="G267" s="4">
        <v>6</v>
      </c>
      <c r="H267" s="8">
        <v>0.56999999999999995</v>
      </c>
      <c r="I267" s="4">
        <v>0</v>
      </c>
    </row>
    <row r="268" spans="1:9" x14ac:dyDescent="0.2">
      <c r="A268" s="2">
        <v>20</v>
      </c>
      <c r="B268" s="1" t="s">
        <v>129</v>
      </c>
      <c r="C268" s="4">
        <v>28</v>
      </c>
      <c r="D268" s="8">
        <v>1.27</v>
      </c>
      <c r="E268" s="4">
        <v>23</v>
      </c>
      <c r="F268" s="8">
        <v>2.02</v>
      </c>
      <c r="G268" s="4">
        <v>5</v>
      </c>
      <c r="H268" s="8">
        <v>0.47</v>
      </c>
      <c r="I268" s="4">
        <v>0</v>
      </c>
    </row>
    <row r="269" spans="1:9" x14ac:dyDescent="0.2">
      <c r="A269" s="1"/>
      <c r="C269" s="4"/>
      <c r="D269" s="8"/>
      <c r="E269" s="4"/>
      <c r="F269" s="8"/>
      <c r="G269" s="4"/>
      <c r="H269" s="8"/>
      <c r="I269" s="4"/>
    </row>
    <row r="270" spans="1:9" x14ac:dyDescent="0.2">
      <c r="A270" s="1" t="s">
        <v>12</v>
      </c>
      <c r="C270" s="4"/>
      <c r="D270" s="8"/>
      <c r="E270" s="4"/>
      <c r="F270" s="8"/>
      <c r="G270" s="4"/>
      <c r="H270" s="8"/>
      <c r="I270" s="4"/>
    </row>
    <row r="271" spans="1:9" x14ac:dyDescent="0.2">
      <c r="A271" s="2">
        <v>1</v>
      </c>
      <c r="B271" s="1" t="s">
        <v>132</v>
      </c>
      <c r="C271" s="4">
        <v>43</v>
      </c>
      <c r="D271" s="8">
        <v>5.21</v>
      </c>
      <c r="E271" s="4">
        <v>42</v>
      </c>
      <c r="F271" s="8">
        <v>8.64</v>
      </c>
      <c r="G271" s="4">
        <v>1</v>
      </c>
      <c r="H271" s="8">
        <v>0.33</v>
      </c>
      <c r="I271" s="4">
        <v>0</v>
      </c>
    </row>
    <row r="272" spans="1:9" x14ac:dyDescent="0.2">
      <c r="A272" s="2">
        <v>2</v>
      </c>
      <c r="B272" s="1" t="s">
        <v>116</v>
      </c>
      <c r="C272" s="4">
        <v>37</v>
      </c>
      <c r="D272" s="8">
        <v>4.4800000000000004</v>
      </c>
      <c r="E272" s="4">
        <v>7</v>
      </c>
      <c r="F272" s="8">
        <v>1.44</v>
      </c>
      <c r="G272" s="4">
        <v>30</v>
      </c>
      <c r="H272" s="8">
        <v>9.93</v>
      </c>
      <c r="I272" s="4">
        <v>0</v>
      </c>
    </row>
    <row r="273" spans="1:9" x14ac:dyDescent="0.2">
      <c r="A273" s="2">
        <v>3</v>
      </c>
      <c r="B273" s="1" t="s">
        <v>131</v>
      </c>
      <c r="C273" s="4">
        <v>34</v>
      </c>
      <c r="D273" s="8">
        <v>4.12</v>
      </c>
      <c r="E273" s="4">
        <v>33</v>
      </c>
      <c r="F273" s="8">
        <v>6.79</v>
      </c>
      <c r="G273" s="4">
        <v>1</v>
      </c>
      <c r="H273" s="8">
        <v>0.33</v>
      </c>
      <c r="I273" s="4">
        <v>0</v>
      </c>
    </row>
    <row r="274" spans="1:9" x14ac:dyDescent="0.2">
      <c r="A274" s="2">
        <v>4</v>
      </c>
      <c r="B274" s="1" t="s">
        <v>121</v>
      </c>
      <c r="C274" s="4">
        <v>27</v>
      </c>
      <c r="D274" s="8">
        <v>3.27</v>
      </c>
      <c r="E274" s="4">
        <v>14</v>
      </c>
      <c r="F274" s="8">
        <v>2.88</v>
      </c>
      <c r="G274" s="4">
        <v>13</v>
      </c>
      <c r="H274" s="8">
        <v>4.3</v>
      </c>
      <c r="I274" s="4">
        <v>0</v>
      </c>
    </row>
    <row r="275" spans="1:9" x14ac:dyDescent="0.2">
      <c r="A275" s="2">
        <v>5</v>
      </c>
      <c r="B275" s="1" t="s">
        <v>118</v>
      </c>
      <c r="C275" s="4">
        <v>23</v>
      </c>
      <c r="D275" s="8">
        <v>2.78</v>
      </c>
      <c r="E275" s="4">
        <v>17</v>
      </c>
      <c r="F275" s="8">
        <v>3.5</v>
      </c>
      <c r="G275" s="4">
        <v>6</v>
      </c>
      <c r="H275" s="8">
        <v>1.99</v>
      </c>
      <c r="I275" s="4">
        <v>0</v>
      </c>
    </row>
    <row r="276" spans="1:9" x14ac:dyDescent="0.2">
      <c r="A276" s="2">
        <v>5</v>
      </c>
      <c r="B276" s="1" t="s">
        <v>158</v>
      </c>
      <c r="C276" s="4">
        <v>23</v>
      </c>
      <c r="D276" s="8">
        <v>2.78</v>
      </c>
      <c r="E276" s="4">
        <v>13</v>
      </c>
      <c r="F276" s="8">
        <v>2.67</v>
      </c>
      <c r="G276" s="4">
        <v>10</v>
      </c>
      <c r="H276" s="8">
        <v>3.31</v>
      </c>
      <c r="I276" s="4">
        <v>0</v>
      </c>
    </row>
    <row r="277" spans="1:9" x14ac:dyDescent="0.2">
      <c r="A277" s="2">
        <v>7</v>
      </c>
      <c r="B277" s="1" t="s">
        <v>124</v>
      </c>
      <c r="C277" s="4">
        <v>20</v>
      </c>
      <c r="D277" s="8">
        <v>2.42</v>
      </c>
      <c r="E277" s="4">
        <v>10</v>
      </c>
      <c r="F277" s="8">
        <v>2.06</v>
      </c>
      <c r="G277" s="4">
        <v>10</v>
      </c>
      <c r="H277" s="8">
        <v>3.31</v>
      </c>
      <c r="I277" s="4">
        <v>0</v>
      </c>
    </row>
    <row r="278" spans="1:9" x14ac:dyDescent="0.2">
      <c r="A278" s="2">
        <v>8</v>
      </c>
      <c r="B278" s="1" t="s">
        <v>128</v>
      </c>
      <c r="C278" s="4">
        <v>18</v>
      </c>
      <c r="D278" s="8">
        <v>2.1800000000000002</v>
      </c>
      <c r="E278" s="4">
        <v>14</v>
      </c>
      <c r="F278" s="8">
        <v>2.88</v>
      </c>
      <c r="G278" s="4">
        <v>3</v>
      </c>
      <c r="H278" s="8">
        <v>0.99</v>
      </c>
      <c r="I278" s="4">
        <v>1</v>
      </c>
    </row>
    <row r="279" spans="1:9" x14ac:dyDescent="0.2">
      <c r="A279" s="2">
        <v>9</v>
      </c>
      <c r="B279" s="1" t="s">
        <v>119</v>
      </c>
      <c r="C279" s="4">
        <v>17</v>
      </c>
      <c r="D279" s="8">
        <v>2.06</v>
      </c>
      <c r="E279" s="4">
        <v>8</v>
      </c>
      <c r="F279" s="8">
        <v>1.65</v>
      </c>
      <c r="G279" s="4">
        <v>9</v>
      </c>
      <c r="H279" s="8">
        <v>2.98</v>
      </c>
      <c r="I279" s="4">
        <v>0</v>
      </c>
    </row>
    <row r="280" spans="1:9" x14ac:dyDescent="0.2">
      <c r="A280" s="2">
        <v>9</v>
      </c>
      <c r="B280" s="1" t="s">
        <v>126</v>
      </c>
      <c r="C280" s="4">
        <v>17</v>
      </c>
      <c r="D280" s="8">
        <v>2.06</v>
      </c>
      <c r="E280" s="4">
        <v>7</v>
      </c>
      <c r="F280" s="8">
        <v>1.44</v>
      </c>
      <c r="G280" s="4">
        <v>10</v>
      </c>
      <c r="H280" s="8">
        <v>3.31</v>
      </c>
      <c r="I280" s="4">
        <v>0</v>
      </c>
    </row>
    <row r="281" spans="1:9" x14ac:dyDescent="0.2">
      <c r="A281" s="2">
        <v>11</v>
      </c>
      <c r="B281" s="1" t="s">
        <v>157</v>
      </c>
      <c r="C281" s="4">
        <v>16</v>
      </c>
      <c r="D281" s="8">
        <v>1.94</v>
      </c>
      <c r="E281" s="4">
        <v>6</v>
      </c>
      <c r="F281" s="8">
        <v>1.23</v>
      </c>
      <c r="G281" s="4">
        <v>3</v>
      </c>
      <c r="H281" s="8">
        <v>0.99</v>
      </c>
      <c r="I281" s="4">
        <v>7</v>
      </c>
    </row>
    <row r="282" spans="1:9" x14ac:dyDescent="0.2">
      <c r="A282" s="2">
        <v>11</v>
      </c>
      <c r="B282" s="1" t="s">
        <v>122</v>
      </c>
      <c r="C282" s="4">
        <v>16</v>
      </c>
      <c r="D282" s="8">
        <v>1.94</v>
      </c>
      <c r="E282" s="4">
        <v>9</v>
      </c>
      <c r="F282" s="8">
        <v>1.85</v>
      </c>
      <c r="G282" s="4">
        <v>7</v>
      </c>
      <c r="H282" s="8">
        <v>2.3199999999999998</v>
      </c>
      <c r="I282" s="4">
        <v>0</v>
      </c>
    </row>
    <row r="283" spans="1:9" x14ac:dyDescent="0.2">
      <c r="A283" s="2">
        <v>13</v>
      </c>
      <c r="B283" s="1" t="s">
        <v>137</v>
      </c>
      <c r="C283" s="4">
        <v>15</v>
      </c>
      <c r="D283" s="8">
        <v>1.82</v>
      </c>
      <c r="E283" s="4">
        <v>10</v>
      </c>
      <c r="F283" s="8">
        <v>2.06</v>
      </c>
      <c r="G283" s="4">
        <v>5</v>
      </c>
      <c r="H283" s="8">
        <v>1.66</v>
      </c>
      <c r="I283" s="4">
        <v>0</v>
      </c>
    </row>
    <row r="284" spans="1:9" x14ac:dyDescent="0.2">
      <c r="A284" s="2">
        <v>13</v>
      </c>
      <c r="B284" s="1" t="s">
        <v>159</v>
      </c>
      <c r="C284" s="4">
        <v>15</v>
      </c>
      <c r="D284" s="8">
        <v>1.82</v>
      </c>
      <c r="E284" s="4">
        <v>4</v>
      </c>
      <c r="F284" s="8">
        <v>0.82</v>
      </c>
      <c r="G284" s="4">
        <v>11</v>
      </c>
      <c r="H284" s="8">
        <v>3.64</v>
      </c>
      <c r="I284" s="4">
        <v>0</v>
      </c>
    </row>
    <row r="285" spans="1:9" x14ac:dyDescent="0.2">
      <c r="A285" s="2">
        <v>15</v>
      </c>
      <c r="B285" s="1" t="s">
        <v>156</v>
      </c>
      <c r="C285" s="4">
        <v>14</v>
      </c>
      <c r="D285" s="8">
        <v>1.69</v>
      </c>
      <c r="E285" s="4">
        <v>12</v>
      </c>
      <c r="F285" s="8">
        <v>2.4700000000000002</v>
      </c>
      <c r="G285" s="4">
        <v>2</v>
      </c>
      <c r="H285" s="8">
        <v>0.66</v>
      </c>
      <c r="I285" s="4">
        <v>0</v>
      </c>
    </row>
    <row r="286" spans="1:9" x14ac:dyDescent="0.2">
      <c r="A286" s="2">
        <v>15</v>
      </c>
      <c r="B286" s="1" t="s">
        <v>146</v>
      </c>
      <c r="C286" s="4">
        <v>14</v>
      </c>
      <c r="D286" s="8">
        <v>1.69</v>
      </c>
      <c r="E286" s="4">
        <v>13</v>
      </c>
      <c r="F286" s="8">
        <v>2.67</v>
      </c>
      <c r="G286" s="4">
        <v>1</v>
      </c>
      <c r="H286" s="8">
        <v>0.33</v>
      </c>
      <c r="I286" s="4">
        <v>0</v>
      </c>
    </row>
    <row r="287" spans="1:9" x14ac:dyDescent="0.2">
      <c r="A287" s="2">
        <v>15</v>
      </c>
      <c r="B287" s="1" t="s">
        <v>161</v>
      </c>
      <c r="C287" s="4">
        <v>14</v>
      </c>
      <c r="D287" s="8">
        <v>1.69</v>
      </c>
      <c r="E287" s="4">
        <v>13</v>
      </c>
      <c r="F287" s="8">
        <v>2.67</v>
      </c>
      <c r="G287" s="4">
        <v>1</v>
      </c>
      <c r="H287" s="8">
        <v>0.33</v>
      </c>
      <c r="I287" s="4">
        <v>0</v>
      </c>
    </row>
    <row r="288" spans="1:9" x14ac:dyDescent="0.2">
      <c r="A288" s="2">
        <v>15</v>
      </c>
      <c r="B288" s="1" t="s">
        <v>134</v>
      </c>
      <c r="C288" s="4">
        <v>14</v>
      </c>
      <c r="D288" s="8">
        <v>1.69</v>
      </c>
      <c r="E288" s="4">
        <v>12</v>
      </c>
      <c r="F288" s="8">
        <v>2.4700000000000002</v>
      </c>
      <c r="G288" s="4">
        <v>2</v>
      </c>
      <c r="H288" s="8">
        <v>0.66</v>
      </c>
      <c r="I288" s="4">
        <v>0</v>
      </c>
    </row>
    <row r="289" spans="1:9" x14ac:dyDescent="0.2">
      <c r="A289" s="2">
        <v>19</v>
      </c>
      <c r="B289" s="1" t="s">
        <v>120</v>
      </c>
      <c r="C289" s="4">
        <v>12</v>
      </c>
      <c r="D289" s="8">
        <v>1.45</v>
      </c>
      <c r="E289" s="4">
        <v>4</v>
      </c>
      <c r="F289" s="8">
        <v>0.82</v>
      </c>
      <c r="G289" s="4">
        <v>8</v>
      </c>
      <c r="H289" s="8">
        <v>2.65</v>
      </c>
      <c r="I289" s="4">
        <v>0</v>
      </c>
    </row>
    <row r="290" spans="1:9" x14ac:dyDescent="0.2">
      <c r="A290" s="2">
        <v>20</v>
      </c>
      <c r="B290" s="1" t="s">
        <v>136</v>
      </c>
      <c r="C290" s="4">
        <v>11</v>
      </c>
      <c r="D290" s="8">
        <v>1.33</v>
      </c>
      <c r="E290" s="4">
        <v>11</v>
      </c>
      <c r="F290" s="8">
        <v>2.2599999999999998</v>
      </c>
      <c r="G290" s="4">
        <v>0</v>
      </c>
      <c r="H290" s="8">
        <v>0</v>
      </c>
      <c r="I290" s="4">
        <v>0</v>
      </c>
    </row>
    <row r="291" spans="1:9" x14ac:dyDescent="0.2">
      <c r="A291" s="2">
        <v>20</v>
      </c>
      <c r="B291" s="1" t="s">
        <v>127</v>
      </c>
      <c r="C291" s="4">
        <v>11</v>
      </c>
      <c r="D291" s="8">
        <v>1.33</v>
      </c>
      <c r="E291" s="4">
        <v>5</v>
      </c>
      <c r="F291" s="8">
        <v>1.03</v>
      </c>
      <c r="G291" s="4">
        <v>4</v>
      </c>
      <c r="H291" s="8">
        <v>1.32</v>
      </c>
      <c r="I291" s="4">
        <v>0</v>
      </c>
    </row>
    <row r="292" spans="1:9" x14ac:dyDescent="0.2">
      <c r="A292" s="2">
        <v>20</v>
      </c>
      <c r="B292" s="1" t="s">
        <v>160</v>
      </c>
      <c r="C292" s="4">
        <v>11</v>
      </c>
      <c r="D292" s="8">
        <v>1.33</v>
      </c>
      <c r="E292" s="4">
        <v>8</v>
      </c>
      <c r="F292" s="8">
        <v>1.65</v>
      </c>
      <c r="G292" s="4">
        <v>3</v>
      </c>
      <c r="H292" s="8">
        <v>0.99</v>
      </c>
      <c r="I292" s="4">
        <v>0</v>
      </c>
    </row>
    <row r="293" spans="1:9" x14ac:dyDescent="0.2">
      <c r="A293" s="1"/>
      <c r="C293" s="4"/>
      <c r="D293" s="8"/>
      <c r="E293" s="4"/>
      <c r="F293" s="8"/>
      <c r="G293" s="4"/>
      <c r="H293" s="8"/>
      <c r="I293" s="4"/>
    </row>
    <row r="294" spans="1:9" x14ac:dyDescent="0.2">
      <c r="A294" s="1" t="s">
        <v>13</v>
      </c>
      <c r="C294" s="4"/>
      <c r="D294" s="8"/>
      <c r="E294" s="4"/>
      <c r="F294" s="8"/>
      <c r="G294" s="4"/>
      <c r="H294" s="8"/>
      <c r="I294" s="4"/>
    </row>
    <row r="295" spans="1:9" x14ac:dyDescent="0.2">
      <c r="A295" s="2">
        <v>1</v>
      </c>
      <c r="B295" s="1" t="s">
        <v>132</v>
      </c>
      <c r="C295" s="4">
        <v>280</v>
      </c>
      <c r="D295" s="8">
        <v>5.14</v>
      </c>
      <c r="E295" s="4">
        <v>244</v>
      </c>
      <c r="F295" s="8">
        <v>9.67</v>
      </c>
      <c r="G295" s="4">
        <v>36</v>
      </c>
      <c r="H295" s="8">
        <v>1.25</v>
      </c>
      <c r="I295" s="4">
        <v>0</v>
      </c>
    </row>
    <row r="296" spans="1:9" x14ac:dyDescent="0.2">
      <c r="A296" s="2">
        <v>2</v>
      </c>
      <c r="B296" s="1" t="s">
        <v>126</v>
      </c>
      <c r="C296" s="4">
        <v>234</v>
      </c>
      <c r="D296" s="8">
        <v>4.3</v>
      </c>
      <c r="E296" s="4">
        <v>112</v>
      </c>
      <c r="F296" s="8">
        <v>4.4400000000000004</v>
      </c>
      <c r="G296" s="4">
        <v>122</v>
      </c>
      <c r="H296" s="8">
        <v>4.22</v>
      </c>
      <c r="I296" s="4">
        <v>0</v>
      </c>
    </row>
    <row r="297" spans="1:9" x14ac:dyDescent="0.2">
      <c r="A297" s="2">
        <v>3</v>
      </c>
      <c r="B297" s="1" t="s">
        <v>128</v>
      </c>
      <c r="C297" s="4">
        <v>172</v>
      </c>
      <c r="D297" s="8">
        <v>3.16</v>
      </c>
      <c r="E297" s="4">
        <v>142</v>
      </c>
      <c r="F297" s="8">
        <v>5.63</v>
      </c>
      <c r="G297" s="4">
        <v>30</v>
      </c>
      <c r="H297" s="8">
        <v>1.04</v>
      </c>
      <c r="I297" s="4">
        <v>0</v>
      </c>
    </row>
    <row r="298" spans="1:9" x14ac:dyDescent="0.2">
      <c r="A298" s="2">
        <v>4</v>
      </c>
      <c r="B298" s="1" t="s">
        <v>129</v>
      </c>
      <c r="C298" s="4">
        <v>166</v>
      </c>
      <c r="D298" s="8">
        <v>3.05</v>
      </c>
      <c r="E298" s="4">
        <v>152</v>
      </c>
      <c r="F298" s="8">
        <v>6.02</v>
      </c>
      <c r="G298" s="4">
        <v>14</v>
      </c>
      <c r="H298" s="8">
        <v>0.48</v>
      </c>
      <c r="I298" s="4">
        <v>0</v>
      </c>
    </row>
    <row r="299" spans="1:9" x14ac:dyDescent="0.2">
      <c r="A299" s="2">
        <v>5</v>
      </c>
      <c r="B299" s="1" t="s">
        <v>131</v>
      </c>
      <c r="C299" s="4">
        <v>136</v>
      </c>
      <c r="D299" s="8">
        <v>2.5</v>
      </c>
      <c r="E299" s="4">
        <v>131</v>
      </c>
      <c r="F299" s="8">
        <v>5.19</v>
      </c>
      <c r="G299" s="4">
        <v>5</v>
      </c>
      <c r="H299" s="8">
        <v>0.17</v>
      </c>
      <c r="I299" s="4">
        <v>0</v>
      </c>
    </row>
    <row r="300" spans="1:9" x14ac:dyDescent="0.2">
      <c r="A300" s="2">
        <v>6</v>
      </c>
      <c r="B300" s="1" t="s">
        <v>130</v>
      </c>
      <c r="C300" s="4">
        <v>129</v>
      </c>
      <c r="D300" s="8">
        <v>2.37</v>
      </c>
      <c r="E300" s="4">
        <v>125</v>
      </c>
      <c r="F300" s="8">
        <v>4.95</v>
      </c>
      <c r="G300" s="4">
        <v>4</v>
      </c>
      <c r="H300" s="8">
        <v>0.14000000000000001</v>
      </c>
      <c r="I300" s="4">
        <v>0</v>
      </c>
    </row>
    <row r="301" spans="1:9" x14ac:dyDescent="0.2">
      <c r="A301" s="2">
        <v>7</v>
      </c>
      <c r="B301" s="1" t="s">
        <v>122</v>
      </c>
      <c r="C301" s="4">
        <v>126</v>
      </c>
      <c r="D301" s="8">
        <v>2.31</v>
      </c>
      <c r="E301" s="4">
        <v>47</v>
      </c>
      <c r="F301" s="8">
        <v>1.86</v>
      </c>
      <c r="G301" s="4">
        <v>79</v>
      </c>
      <c r="H301" s="8">
        <v>2.73</v>
      </c>
      <c r="I301" s="4">
        <v>0</v>
      </c>
    </row>
    <row r="302" spans="1:9" x14ac:dyDescent="0.2">
      <c r="A302" s="2">
        <v>8</v>
      </c>
      <c r="B302" s="1" t="s">
        <v>121</v>
      </c>
      <c r="C302" s="4">
        <v>114</v>
      </c>
      <c r="D302" s="8">
        <v>2.09</v>
      </c>
      <c r="E302" s="4">
        <v>56</v>
      </c>
      <c r="F302" s="8">
        <v>2.2200000000000002</v>
      </c>
      <c r="G302" s="4">
        <v>58</v>
      </c>
      <c r="H302" s="8">
        <v>2.0099999999999998</v>
      </c>
      <c r="I302" s="4">
        <v>0</v>
      </c>
    </row>
    <row r="303" spans="1:9" x14ac:dyDescent="0.2">
      <c r="A303" s="2">
        <v>9</v>
      </c>
      <c r="B303" s="1" t="s">
        <v>134</v>
      </c>
      <c r="C303" s="4">
        <v>106</v>
      </c>
      <c r="D303" s="8">
        <v>1.95</v>
      </c>
      <c r="E303" s="4">
        <v>90</v>
      </c>
      <c r="F303" s="8">
        <v>3.57</v>
      </c>
      <c r="G303" s="4">
        <v>15</v>
      </c>
      <c r="H303" s="8">
        <v>0.52</v>
      </c>
      <c r="I303" s="4">
        <v>1</v>
      </c>
    </row>
    <row r="304" spans="1:9" x14ac:dyDescent="0.2">
      <c r="A304" s="2">
        <v>10</v>
      </c>
      <c r="B304" s="1" t="s">
        <v>125</v>
      </c>
      <c r="C304" s="4">
        <v>100</v>
      </c>
      <c r="D304" s="8">
        <v>1.84</v>
      </c>
      <c r="E304" s="4">
        <v>14</v>
      </c>
      <c r="F304" s="8">
        <v>0.55000000000000004</v>
      </c>
      <c r="G304" s="4">
        <v>86</v>
      </c>
      <c r="H304" s="8">
        <v>2.97</v>
      </c>
      <c r="I304" s="4">
        <v>0</v>
      </c>
    </row>
    <row r="305" spans="1:9" x14ac:dyDescent="0.2">
      <c r="A305" s="2">
        <v>11</v>
      </c>
      <c r="B305" s="1" t="s">
        <v>124</v>
      </c>
      <c r="C305" s="4">
        <v>93</v>
      </c>
      <c r="D305" s="8">
        <v>1.71</v>
      </c>
      <c r="E305" s="4">
        <v>56</v>
      </c>
      <c r="F305" s="8">
        <v>2.2200000000000002</v>
      </c>
      <c r="G305" s="4">
        <v>37</v>
      </c>
      <c r="H305" s="8">
        <v>1.28</v>
      </c>
      <c r="I305" s="4">
        <v>0</v>
      </c>
    </row>
    <row r="306" spans="1:9" x14ac:dyDescent="0.2">
      <c r="A306" s="2">
        <v>12</v>
      </c>
      <c r="B306" s="1" t="s">
        <v>133</v>
      </c>
      <c r="C306" s="4">
        <v>89</v>
      </c>
      <c r="D306" s="8">
        <v>1.63</v>
      </c>
      <c r="E306" s="4">
        <v>69</v>
      </c>
      <c r="F306" s="8">
        <v>2.73</v>
      </c>
      <c r="G306" s="4">
        <v>20</v>
      </c>
      <c r="H306" s="8">
        <v>0.69</v>
      </c>
      <c r="I306" s="4">
        <v>0</v>
      </c>
    </row>
    <row r="307" spans="1:9" x14ac:dyDescent="0.2">
      <c r="A307" s="2">
        <v>13</v>
      </c>
      <c r="B307" s="1" t="s">
        <v>123</v>
      </c>
      <c r="C307" s="4">
        <v>83</v>
      </c>
      <c r="D307" s="8">
        <v>1.52</v>
      </c>
      <c r="E307" s="4">
        <v>26</v>
      </c>
      <c r="F307" s="8">
        <v>1.03</v>
      </c>
      <c r="G307" s="4">
        <v>57</v>
      </c>
      <c r="H307" s="8">
        <v>1.97</v>
      </c>
      <c r="I307" s="4">
        <v>0</v>
      </c>
    </row>
    <row r="308" spans="1:9" x14ac:dyDescent="0.2">
      <c r="A308" s="2">
        <v>14</v>
      </c>
      <c r="B308" s="1" t="s">
        <v>135</v>
      </c>
      <c r="C308" s="4">
        <v>77</v>
      </c>
      <c r="D308" s="8">
        <v>1.41</v>
      </c>
      <c r="E308" s="4">
        <v>41</v>
      </c>
      <c r="F308" s="8">
        <v>1.63</v>
      </c>
      <c r="G308" s="4">
        <v>36</v>
      </c>
      <c r="H308" s="8">
        <v>1.25</v>
      </c>
      <c r="I308" s="4">
        <v>0</v>
      </c>
    </row>
    <row r="309" spans="1:9" x14ac:dyDescent="0.2">
      <c r="A309" s="2">
        <v>15</v>
      </c>
      <c r="B309" s="1" t="s">
        <v>117</v>
      </c>
      <c r="C309" s="4">
        <v>75</v>
      </c>
      <c r="D309" s="8">
        <v>1.38</v>
      </c>
      <c r="E309" s="4">
        <v>9</v>
      </c>
      <c r="F309" s="8">
        <v>0.36</v>
      </c>
      <c r="G309" s="4">
        <v>66</v>
      </c>
      <c r="H309" s="8">
        <v>2.2799999999999998</v>
      </c>
      <c r="I309" s="4">
        <v>0</v>
      </c>
    </row>
    <row r="310" spans="1:9" x14ac:dyDescent="0.2">
      <c r="A310" s="2">
        <v>16</v>
      </c>
      <c r="B310" s="1" t="s">
        <v>119</v>
      </c>
      <c r="C310" s="4">
        <v>73</v>
      </c>
      <c r="D310" s="8">
        <v>1.34</v>
      </c>
      <c r="E310" s="4">
        <v>13</v>
      </c>
      <c r="F310" s="8">
        <v>0.52</v>
      </c>
      <c r="G310" s="4">
        <v>60</v>
      </c>
      <c r="H310" s="8">
        <v>2.08</v>
      </c>
      <c r="I310" s="4">
        <v>0</v>
      </c>
    </row>
    <row r="311" spans="1:9" x14ac:dyDescent="0.2">
      <c r="A311" s="2">
        <v>16</v>
      </c>
      <c r="B311" s="1" t="s">
        <v>127</v>
      </c>
      <c r="C311" s="4">
        <v>73</v>
      </c>
      <c r="D311" s="8">
        <v>1.34</v>
      </c>
      <c r="E311" s="4">
        <v>31</v>
      </c>
      <c r="F311" s="8">
        <v>1.23</v>
      </c>
      <c r="G311" s="4">
        <v>41</v>
      </c>
      <c r="H311" s="8">
        <v>1.42</v>
      </c>
      <c r="I311" s="4">
        <v>0</v>
      </c>
    </row>
    <row r="312" spans="1:9" x14ac:dyDescent="0.2">
      <c r="A312" s="2">
        <v>18</v>
      </c>
      <c r="B312" s="1" t="s">
        <v>136</v>
      </c>
      <c r="C312" s="4">
        <v>72</v>
      </c>
      <c r="D312" s="8">
        <v>1.32</v>
      </c>
      <c r="E312" s="4">
        <v>49</v>
      </c>
      <c r="F312" s="8">
        <v>1.94</v>
      </c>
      <c r="G312" s="4">
        <v>23</v>
      </c>
      <c r="H312" s="8">
        <v>0.8</v>
      </c>
      <c r="I312" s="4">
        <v>0</v>
      </c>
    </row>
    <row r="313" spans="1:9" x14ac:dyDescent="0.2">
      <c r="A313" s="2">
        <v>19</v>
      </c>
      <c r="B313" s="1" t="s">
        <v>116</v>
      </c>
      <c r="C313" s="4">
        <v>69</v>
      </c>
      <c r="D313" s="8">
        <v>1.27</v>
      </c>
      <c r="E313" s="4">
        <v>7</v>
      </c>
      <c r="F313" s="8">
        <v>0.28000000000000003</v>
      </c>
      <c r="G313" s="4">
        <v>62</v>
      </c>
      <c r="H313" s="8">
        <v>2.14</v>
      </c>
      <c r="I313" s="4">
        <v>0</v>
      </c>
    </row>
    <row r="314" spans="1:9" x14ac:dyDescent="0.2">
      <c r="A314" s="2">
        <v>19</v>
      </c>
      <c r="B314" s="1" t="s">
        <v>120</v>
      </c>
      <c r="C314" s="4">
        <v>69</v>
      </c>
      <c r="D314" s="8">
        <v>1.27</v>
      </c>
      <c r="E314" s="4">
        <v>16</v>
      </c>
      <c r="F314" s="8">
        <v>0.63</v>
      </c>
      <c r="G314" s="4">
        <v>53</v>
      </c>
      <c r="H314" s="8">
        <v>1.83</v>
      </c>
      <c r="I314" s="4">
        <v>0</v>
      </c>
    </row>
    <row r="315" spans="1:9" x14ac:dyDescent="0.2">
      <c r="A315" s="2">
        <v>19</v>
      </c>
      <c r="B315" s="1" t="s">
        <v>140</v>
      </c>
      <c r="C315" s="4">
        <v>69</v>
      </c>
      <c r="D315" s="8">
        <v>1.27</v>
      </c>
      <c r="E315" s="4">
        <v>43</v>
      </c>
      <c r="F315" s="8">
        <v>1.7</v>
      </c>
      <c r="G315" s="4">
        <v>26</v>
      </c>
      <c r="H315" s="8">
        <v>0.9</v>
      </c>
      <c r="I315" s="4">
        <v>0</v>
      </c>
    </row>
    <row r="316" spans="1:9" x14ac:dyDescent="0.2">
      <c r="A316" s="1"/>
      <c r="C316" s="4"/>
      <c r="D316" s="8"/>
      <c r="E316" s="4"/>
      <c r="F316" s="8"/>
      <c r="G316" s="4"/>
      <c r="H316" s="8"/>
      <c r="I316" s="4"/>
    </row>
    <row r="317" spans="1:9" x14ac:dyDescent="0.2">
      <c r="A317" s="1" t="s">
        <v>14</v>
      </c>
      <c r="C317" s="4"/>
      <c r="D317" s="8"/>
      <c r="E317" s="4"/>
      <c r="F317" s="8"/>
      <c r="G317" s="4"/>
      <c r="H317" s="8"/>
      <c r="I317" s="4"/>
    </row>
    <row r="318" spans="1:9" x14ac:dyDescent="0.2">
      <c r="A318" s="2">
        <v>1</v>
      </c>
      <c r="B318" s="1" t="s">
        <v>126</v>
      </c>
      <c r="C318" s="4">
        <v>129</v>
      </c>
      <c r="D318" s="8">
        <v>8.4700000000000006</v>
      </c>
      <c r="E318" s="4">
        <v>82</v>
      </c>
      <c r="F318" s="8">
        <v>10.43</v>
      </c>
      <c r="G318" s="4">
        <v>46</v>
      </c>
      <c r="H318" s="8">
        <v>6.34</v>
      </c>
      <c r="I318" s="4">
        <v>1</v>
      </c>
    </row>
    <row r="319" spans="1:9" x14ac:dyDescent="0.2">
      <c r="A319" s="2">
        <v>2</v>
      </c>
      <c r="B319" s="1" t="s">
        <v>128</v>
      </c>
      <c r="C319" s="4">
        <v>87</v>
      </c>
      <c r="D319" s="8">
        <v>5.71</v>
      </c>
      <c r="E319" s="4">
        <v>62</v>
      </c>
      <c r="F319" s="8">
        <v>7.89</v>
      </c>
      <c r="G319" s="4">
        <v>25</v>
      </c>
      <c r="H319" s="8">
        <v>3.44</v>
      </c>
      <c r="I319" s="4">
        <v>0</v>
      </c>
    </row>
    <row r="320" spans="1:9" x14ac:dyDescent="0.2">
      <c r="A320" s="2">
        <v>3</v>
      </c>
      <c r="B320" s="1" t="s">
        <v>130</v>
      </c>
      <c r="C320" s="4">
        <v>67</v>
      </c>
      <c r="D320" s="8">
        <v>4.4000000000000004</v>
      </c>
      <c r="E320" s="4">
        <v>65</v>
      </c>
      <c r="F320" s="8">
        <v>8.27</v>
      </c>
      <c r="G320" s="4">
        <v>2</v>
      </c>
      <c r="H320" s="8">
        <v>0.28000000000000003</v>
      </c>
      <c r="I320" s="4">
        <v>0</v>
      </c>
    </row>
    <row r="321" spans="1:9" x14ac:dyDescent="0.2">
      <c r="A321" s="2">
        <v>4</v>
      </c>
      <c r="B321" s="1" t="s">
        <v>132</v>
      </c>
      <c r="C321" s="4">
        <v>59</v>
      </c>
      <c r="D321" s="8">
        <v>3.87</v>
      </c>
      <c r="E321" s="4">
        <v>51</v>
      </c>
      <c r="F321" s="8">
        <v>6.49</v>
      </c>
      <c r="G321" s="4">
        <v>8</v>
      </c>
      <c r="H321" s="8">
        <v>1.1000000000000001</v>
      </c>
      <c r="I321" s="4">
        <v>0</v>
      </c>
    </row>
    <row r="322" spans="1:9" x14ac:dyDescent="0.2">
      <c r="A322" s="2">
        <v>5</v>
      </c>
      <c r="B322" s="1" t="s">
        <v>121</v>
      </c>
      <c r="C322" s="4">
        <v>51</v>
      </c>
      <c r="D322" s="8">
        <v>3.35</v>
      </c>
      <c r="E322" s="4">
        <v>28</v>
      </c>
      <c r="F322" s="8">
        <v>3.56</v>
      </c>
      <c r="G322" s="4">
        <v>23</v>
      </c>
      <c r="H322" s="8">
        <v>3.17</v>
      </c>
      <c r="I322" s="4">
        <v>0</v>
      </c>
    </row>
    <row r="323" spans="1:9" x14ac:dyDescent="0.2">
      <c r="A323" s="2">
        <v>6</v>
      </c>
      <c r="B323" s="1" t="s">
        <v>116</v>
      </c>
      <c r="C323" s="4">
        <v>38</v>
      </c>
      <c r="D323" s="8">
        <v>2.5</v>
      </c>
      <c r="E323" s="4">
        <v>8</v>
      </c>
      <c r="F323" s="8">
        <v>1.02</v>
      </c>
      <c r="G323" s="4">
        <v>30</v>
      </c>
      <c r="H323" s="8">
        <v>4.13</v>
      </c>
      <c r="I323" s="4">
        <v>0</v>
      </c>
    </row>
    <row r="324" spans="1:9" x14ac:dyDescent="0.2">
      <c r="A324" s="2">
        <v>6</v>
      </c>
      <c r="B324" s="1" t="s">
        <v>139</v>
      </c>
      <c r="C324" s="4">
        <v>38</v>
      </c>
      <c r="D324" s="8">
        <v>2.5</v>
      </c>
      <c r="E324" s="4">
        <v>27</v>
      </c>
      <c r="F324" s="8">
        <v>3.44</v>
      </c>
      <c r="G324" s="4">
        <v>11</v>
      </c>
      <c r="H324" s="8">
        <v>1.52</v>
      </c>
      <c r="I324" s="4">
        <v>0</v>
      </c>
    </row>
    <row r="325" spans="1:9" x14ac:dyDescent="0.2">
      <c r="A325" s="2">
        <v>8</v>
      </c>
      <c r="B325" s="1" t="s">
        <v>136</v>
      </c>
      <c r="C325" s="4">
        <v>34</v>
      </c>
      <c r="D325" s="8">
        <v>2.23</v>
      </c>
      <c r="E325" s="4">
        <v>15</v>
      </c>
      <c r="F325" s="8">
        <v>1.91</v>
      </c>
      <c r="G325" s="4">
        <v>19</v>
      </c>
      <c r="H325" s="8">
        <v>2.62</v>
      </c>
      <c r="I325" s="4">
        <v>0</v>
      </c>
    </row>
    <row r="326" spans="1:9" x14ac:dyDescent="0.2">
      <c r="A326" s="2">
        <v>9</v>
      </c>
      <c r="B326" s="1" t="s">
        <v>160</v>
      </c>
      <c r="C326" s="4">
        <v>33</v>
      </c>
      <c r="D326" s="8">
        <v>2.17</v>
      </c>
      <c r="E326" s="4">
        <v>16</v>
      </c>
      <c r="F326" s="8">
        <v>2.04</v>
      </c>
      <c r="G326" s="4">
        <v>17</v>
      </c>
      <c r="H326" s="8">
        <v>2.34</v>
      </c>
      <c r="I326" s="4">
        <v>0</v>
      </c>
    </row>
    <row r="327" spans="1:9" x14ac:dyDescent="0.2">
      <c r="A327" s="2">
        <v>10</v>
      </c>
      <c r="B327" s="1" t="s">
        <v>129</v>
      </c>
      <c r="C327" s="4">
        <v>32</v>
      </c>
      <c r="D327" s="8">
        <v>2.1</v>
      </c>
      <c r="E327" s="4">
        <v>28</v>
      </c>
      <c r="F327" s="8">
        <v>3.56</v>
      </c>
      <c r="G327" s="4">
        <v>4</v>
      </c>
      <c r="H327" s="8">
        <v>0.55000000000000004</v>
      </c>
      <c r="I327" s="4">
        <v>0</v>
      </c>
    </row>
    <row r="328" spans="1:9" x14ac:dyDescent="0.2">
      <c r="A328" s="2">
        <v>11</v>
      </c>
      <c r="B328" s="1" t="s">
        <v>131</v>
      </c>
      <c r="C328" s="4">
        <v>31</v>
      </c>
      <c r="D328" s="8">
        <v>2.04</v>
      </c>
      <c r="E328" s="4">
        <v>28</v>
      </c>
      <c r="F328" s="8">
        <v>3.56</v>
      </c>
      <c r="G328" s="4">
        <v>3</v>
      </c>
      <c r="H328" s="8">
        <v>0.41</v>
      </c>
      <c r="I328" s="4">
        <v>0</v>
      </c>
    </row>
    <row r="329" spans="1:9" x14ac:dyDescent="0.2">
      <c r="A329" s="2">
        <v>12</v>
      </c>
      <c r="B329" s="1" t="s">
        <v>120</v>
      </c>
      <c r="C329" s="4">
        <v>30</v>
      </c>
      <c r="D329" s="8">
        <v>1.97</v>
      </c>
      <c r="E329" s="4">
        <v>7</v>
      </c>
      <c r="F329" s="8">
        <v>0.89</v>
      </c>
      <c r="G329" s="4">
        <v>23</v>
      </c>
      <c r="H329" s="8">
        <v>3.17</v>
      </c>
      <c r="I329" s="4">
        <v>0</v>
      </c>
    </row>
    <row r="330" spans="1:9" x14ac:dyDescent="0.2">
      <c r="A330" s="2">
        <v>12</v>
      </c>
      <c r="B330" s="1" t="s">
        <v>124</v>
      </c>
      <c r="C330" s="4">
        <v>30</v>
      </c>
      <c r="D330" s="8">
        <v>1.97</v>
      </c>
      <c r="E330" s="4">
        <v>19</v>
      </c>
      <c r="F330" s="8">
        <v>2.42</v>
      </c>
      <c r="G330" s="4">
        <v>11</v>
      </c>
      <c r="H330" s="8">
        <v>1.52</v>
      </c>
      <c r="I330" s="4">
        <v>0</v>
      </c>
    </row>
    <row r="331" spans="1:9" x14ac:dyDescent="0.2">
      <c r="A331" s="2">
        <v>14</v>
      </c>
      <c r="B331" s="1" t="s">
        <v>161</v>
      </c>
      <c r="C331" s="4">
        <v>28</v>
      </c>
      <c r="D331" s="8">
        <v>1.84</v>
      </c>
      <c r="E331" s="4">
        <v>24</v>
      </c>
      <c r="F331" s="8">
        <v>3.05</v>
      </c>
      <c r="G331" s="4">
        <v>4</v>
      </c>
      <c r="H331" s="8">
        <v>0.55000000000000004</v>
      </c>
      <c r="I331" s="4">
        <v>0</v>
      </c>
    </row>
    <row r="332" spans="1:9" x14ac:dyDescent="0.2">
      <c r="A332" s="2">
        <v>14</v>
      </c>
      <c r="B332" s="1" t="s">
        <v>140</v>
      </c>
      <c r="C332" s="4">
        <v>28</v>
      </c>
      <c r="D332" s="8">
        <v>1.84</v>
      </c>
      <c r="E332" s="4">
        <v>19</v>
      </c>
      <c r="F332" s="8">
        <v>2.42</v>
      </c>
      <c r="G332" s="4">
        <v>9</v>
      </c>
      <c r="H332" s="8">
        <v>1.24</v>
      </c>
      <c r="I332" s="4">
        <v>0</v>
      </c>
    </row>
    <row r="333" spans="1:9" x14ac:dyDescent="0.2">
      <c r="A333" s="2">
        <v>16</v>
      </c>
      <c r="B333" s="1" t="s">
        <v>137</v>
      </c>
      <c r="C333" s="4">
        <v>24</v>
      </c>
      <c r="D333" s="8">
        <v>1.58</v>
      </c>
      <c r="E333" s="4">
        <v>16</v>
      </c>
      <c r="F333" s="8">
        <v>2.04</v>
      </c>
      <c r="G333" s="4">
        <v>8</v>
      </c>
      <c r="H333" s="8">
        <v>1.1000000000000001</v>
      </c>
      <c r="I333" s="4">
        <v>0</v>
      </c>
    </row>
    <row r="334" spans="1:9" x14ac:dyDescent="0.2">
      <c r="A334" s="2">
        <v>17</v>
      </c>
      <c r="B334" s="1" t="s">
        <v>134</v>
      </c>
      <c r="C334" s="4">
        <v>22</v>
      </c>
      <c r="D334" s="8">
        <v>1.44</v>
      </c>
      <c r="E334" s="4">
        <v>17</v>
      </c>
      <c r="F334" s="8">
        <v>2.16</v>
      </c>
      <c r="G334" s="4">
        <v>5</v>
      </c>
      <c r="H334" s="8">
        <v>0.69</v>
      </c>
      <c r="I334" s="4">
        <v>0</v>
      </c>
    </row>
    <row r="335" spans="1:9" x14ac:dyDescent="0.2">
      <c r="A335" s="2">
        <v>18</v>
      </c>
      <c r="B335" s="1" t="s">
        <v>119</v>
      </c>
      <c r="C335" s="4">
        <v>21</v>
      </c>
      <c r="D335" s="8">
        <v>1.38</v>
      </c>
      <c r="E335" s="4">
        <v>4</v>
      </c>
      <c r="F335" s="8">
        <v>0.51</v>
      </c>
      <c r="G335" s="4">
        <v>17</v>
      </c>
      <c r="H335" s="8">
        <v>2.34</v>
      </c>
      <c r="I335" s="4">
        <v>0</v>
      </c>
    </row>
    <row r="336" spans="1:9" x14ac:dyDescent="0.2">
      <c r="A336" s="2">
        <v>18</v>
      </c>
      <c r="B336" s="1" t="s">
        <v>147</v>
      </c>
      <c r="C336" s="4">
        <v>21</v>
      </c>
      <c r="D336" s="8">
        <v>1.38</v>
      </c>
      <c r="E336" s="4">
        <v>1</v>
      </c>
      <c r="F336" s="8">
        <v>0.13</v>
      </c>
      <c r="G336" s="4">
        <v>20</v>
      </c>
      <c r="H336" s="8">
        <v>2.75</v>
      </c>
      <c r="I336" s="4">
        <v>0</v>
      </c>
    </row>
    <row r="337" spans="1:9" x14ac:dyDescent="0.2">
      <c r="A337" s="2">
        <v>20</v>
      </c>
      <c r="B337" s="1" t="s">
        <v>125</v>
      </c>
      <c r="C337" s="4">
        <v>20</v>
      </c>
      <c r="D337" s="8">
        <v>1.31</v>
      </c>
      <c r="E337" s="4">
        <v>9</v>
      </c>
      <c r="F337" s="8">
        <v>1.1499999999999999</v>
      </c>
      <c r="G337" s="4">
        <v>11</v>
      </c>
      <c r="H337" s="8">
        <v>1.52</v>
      </c>
      <c r="I337" s="4">
        <v>0</v>
      </c>
    </row>
    <row r="338" spans="1:9" x14ac:dyDescent="0.2">
      <c r="A338" s="1"/>
      <c r="C338" s="4"/>
      <c r="D338" s="8"/>
      <c r="E338" s="4"/>
      <c r="F338" s="8"/>
      <c r="G338" s="4"/>
      <c r="H338" s="8"/>
      <c r="I338" s="4"/>
    </row>
    <row r="339" spans="1:9" x14ac:dyDescent="0.2">
      <c r="A339" s="1" t="s">
        <v>15</v>
      </c>
      <c r="C339" s="4"/>
      <c r="D339" s="8"/>
      <c r="E339" s="4"/>
      <c r="F339" s="8"/>
      <c r="G339" s="4"/>
      <c r="H339" s="8"/>
      <c r="I339" s="4"/>
    </row>
    <row r="340" spans="1:9" x14ac:dyDescent="0.2">
      <c r="A340" s="2">
        <v>1</v>
      </c>
      <c r="B340" s="1" t="s">
        <v>126</v>
      </c>
      <c r="C340" s="4">
        <v>235</v>
      </c>
      <c r="D340" s="8">
        <v>7.43</v>
      </c>
      <c r="E340" s="4">
        <v>156</v>
      </c>
      <c r="F340" s="8">
        <v>9.0399999999999991</v>
      </c>
      <c r="G340" s="4">
        <v>79</v>
      </c>
      <c r="H340" s="8">
        <v>5.66</v>
      </c>
      <c r="I340" s="4">
        <v>0</v>
      </c>
    </row>
    <row r="341" spans="1:9" x14ac:dyDescent="0.2">
      <c r="A341" s="2">
        <v>2</v>
      </c>
      <c r="B341" s="1" t="s">
        <v>132</v>
      </c>
      <c r="C341" s="4">
        <v>174</v>
      </c>
      <c r="D341" s="8">
        <v>5.5</v>
      </c>
      <c r="E341" s="4">
        <v>154</v>
      </c>
      <c r="F341" s="8">
        <v>8.92</v>
      </c>
      <c r="G341" s="4">
        <v>20</v>
      </c>
      <c r="H341" s="8">
        <v>1.43</v>
      </c>
      <c r="I341" s="4">
        <v>0</v>
      </c>
    </row>
    <row r="342" spans="1:9" x14ac:dyDescent="0.2">
      <c r="A342" s="2">
        <v>3</v>
      </c>
      <c r="B342" s="1" t="s">
        <v>130</v>
      </c>
      <c r="C342" s="4">
        <v>118</v>
      </c>
      <c r="D342" s="8">
        <v>3.73</v>
      </c>
      <c r="E342" s="4">
        <v>112</v>
      </c>
      <c r="F342" s="8">
        <v>6.49</v>
      </c>
      <c r="G342" s="4">
        <v>6</v>
      </c>
      <c r="H342" s="8">
        <v>0.43</v>
      </c>
      <c r="I342" s="4">
        <v>0</v>
      </c>
    </row>
    <row r="343" spans="1:9" x14ac:dyDescent="0.2">
      <c r="A343" s="2">
        <v>4</v>
      </c>
      <c r="B343" s="1" t="s">
        <v>129</v>
      </c>
      <c r="C343" s="4">
        <v>115</v>
      </c>
      <c r="D343" s="8">
        <v>3.64</v>
      </c>
      <c r="E343" s="4">
        <v>105</v>
      </c>
      <c r="F343" s="8">
        <v>6.08</v>
      </c>
      <c r="G343" s="4">
        <v>10</v>
      </c>
      <c r="H343" s="8">
        <v>0.72</v>
      </c>
      <c r="I343" s="4">
        <v>0</v>
      </c>
    </row>
    <row r="344" spans="1:9" x14ac:dyDescent="0.2">
      <c r="A344" s="2">
        <v>5</v>
      </c>
      <c r="B344" s="1" t="s">
        <v>125</v>
      </c>
      <c r="C344" s="4">
        <v>107</v>
      </c>
      <c r="D344" s="8">
        <v>3.39</v>
      </c>
      <c r="E344" s="4">
        <v>44</v>
      </c>
      <c r="F344" s="8">
        <v>2.5499999999999998</v>
      </c>
      <c r="G344" s="4">
        <v>63</v>
      </c>
      <c r="H344" s="8">
        <v>4.51</v>
      </c>
      <c r="I344" s="4">
        <v>0</v>
      </c>
    </row>
    <row r="345" spans="1:9" x14ac:dyDescent="0.2">
      <c r="A345" s="2">
        <v>5</v>
      </c>
      <c r="B345" s="1" t="s">
        <v>128</v>
      </c>
      <c r="C345" s="4">
        <v>107</v>
      </c>
      <c r="D345" s="8">
        <v>3.39</v>
      </c>
      <c r="E345" s="4">
        <v>96</v>
      </c>
      <c r="F345" s="8">
        <v>5.56</v>
      </c>
      <c r="G345" s="4">
        <v>11</v>
      </c>
      <c r="H345" s="8">
        <v>0.79</v>
      </c>
      <c r="I345" s="4">
        <v>0</v>
      </c>
    </row>
    <row r="346" spans="1:9" x14ac:dyDescent="0.2">
      <c r="A346" s="2">
        <v>7</v>
      </c>
      <c r="B346" s="1" t="s">
        <v>133</v>
      </c>
      <c r="C346" s="4">
        <v>99</v>
      </c>
      <c r="D346" s="8">
        <v>3.13</v>
      </c>
      <c r="E346" s="4">
        <v>87</v>
      </c>
      <c r="F346" s="8">
        <v>5.04</v>
      </c>
      <c r="G346" s="4">
        <v>11</v>
      </c>
      <c r="H346" s="8">
        <v>0.79</v>
      </c>
      <c r="I346" s="4">
        <v>1</v>
      </c>
    </row>
    <row r="347" spans="1:9" x14ac:dyDescent="0.2">
      <c r="A347" s="2">
        <v>8</v>
      </c>
      <c r="B347" s="1" t="s">
        <v>134</v>
      </c>
      <c r="C347" s="4">
        <v>82</v>
      </c>
      <c r="D347" s="8">
        <v>2.59</v>
      </c>
      <c r="E347" s="4">
        <v>72</v>
      </c>
      <c r="F347" s="8">
        <v>4.17</v>
      </c>
      <c r="G347" s="4">
        <v>10</v>
      </c>
      <c r="H347" s="8">
        <v>0.72</v>
      </c>
      <c r="I347" s="4">
        <v>0</v>
      </c>
    </row>
    <row r="348" spans="1:9" x14ac:dyDescent="0.2">
      <c r="A348" s="2">
        <v>9</v>
      </c>
      <c r="B348" s="1" t="s">
        <v>131</v>
      </c>
      <c r="C348" s="4">
        <v>71</v>
      </c>
      <c r="D348" s="8">
        <v>2.25</v>
      </c>
      <c r="E348" s="4">
        <v>68</v>
      </c>
      <c r="F348" s="8">
        <v>3.94</v>
      </c>
      <c r="G348" s="4">
        <v>3</v>
      </c>
      <c r="H348" s="8">
        <v>0.21</v>
      </c>
      <c r="I348" s="4">
        <v>0</v>
      </c>
    </row>
    <row r="349" spans="1:9" x14ac:dyDescent="0.2">
      <c r="A349" s="2">
        <v>10</v>
      </c>
      <c r="B349" s="1" t="s">
        <v>124</v>
      </c>
      <c r="C349" s="4">
        <v>57</v>
      </c>
      <c r="D349" s="8">
        <v>1.8</v>
      </c>
      <c r="E349" s="4">
        <v>35</v>
      </c>
      <c r="F349" s="8">
        <v>2.0299999999999998</v>
      </c>
      <c r="G349" s="4">
        <v>22</v>
      </c>
      <c r="H349" s="8">
        <v>1.58</v>
      </c>
      <c r="I349" s="4">
        <v>0</v>
      </c>
    </row>
    <row r="350" spans="1:9" x14ac:dyDescent="0.2">
      <c r="A350" s="2">
        <v>11</v>
      </c>
      <c r="B350" s="1" t="s">
        <v>121</v>
      </c>
      <c r="C350" s="4">
        <v>52</v>
      </c>
      <c r="D350" s="8">
        <v>1.65</v>
      </c>
      <c r="E350" s="4">
        <v>34</v>
      </c>
      <c r="F350" s="8">
        <v>1.97</v>
      </c>
      <c r="G350" s="4">
        <v>18</v>
      </c>
      <c r="H350" s="8">
        <v>1.29</v>
      </c>
      <c r="I350" s="4">
        <v>0</v>
      </c>
    </row>
    <row r="351" spans="1:9" x14ac:dyDescent="0.2">
      <c r="A351" s="2">
        <v>12</v>
      </c>
      <c r="B351" s="1" t="s">
        <v>127</v>
      </c>
      <c r="C351" s="4">
        <v>49</v>
      </c>
      <c r="D351" s="8">
        <v>1.55</v>
      </c>
      <c r="E351" s="4">
        <v>22</v>
      </c>
      <c r="F351" s="8">
        <v>1.27</v>
      </c>
      <c r="G351" s="4">
        <v>27</v>
      </c>
      <c r="H351" s="8">
        <v>1.93</v>
      </c>
      <c r="I351" s="4">
        <v>0</v>
      </c>
    </row>
    <row r="352" spans="1:9" x14ac:dyDescent="0.2">
      <c r="A352" s="2">
        <v>13</v>
      </c>
      <c r="B352" s="1" t="s">
        <v>146</v>
      </c>
      <c r="C352" s="4">
        <v>48</v>
      </c>
      <c r="D352" s="8">
        <v>1.52</v>
      </c>
      <c r="E352" s="4">
        <v>30</v>
      </c>
      <c r="F352" s="8">
        <v>1.74</v>
      </c>
      <c r="G352" s="4">
        <v>18</v>
      </c>
      <c r="H352" s="8">
        <v>1.29</v>
      </c>
      <c r="I352" s="4">
        <v>0</v>
      </c>
    </row>
    <row r="353" spans="1:9" x14ac:dyDescent="0.2">
      <c r="A353" s="2">
        <v>14</v>
      </c>
      <c r="B353" s="1" t="s">
        <v>119</v>
      </c>
      <c r="C353" s="4">
        <v>47</v>
      </c>
      <c r="D353" s="8">
        <v>1.49</v>
      </c>
      <c r="E353" s="4">
        <v>9</v>
      </c>
      <c r="F353" s="8">
        <v>0.52</v>
      </c>
      <c r="G353" s="4">
        <v>38</v>
      </c>
      <c r="H353" s="8">
        <v>2.72</v>
      </c>
      <c r="I353" s="4">
        <v>0</v>
      </c>
    </row>
    <row r="354" spans="1:9" x14ac:dyDescent="0.2">
      <c r="A354" s="2">
        <v>15</v>
      </c>
      <c r="B354" s="1" t="s">
        <v>120</v>
      </c>
      <c r="C354" s="4">
        <v>45</v>
      </c>
      <c r="D354" s="8">
        <v>1.42</v>
      </c>
      <c r="E354" s="4">
        <v>9</v>
      </c>
      <c r="F354" s="8">
        <v>0.52</v>
      </c>
      <c r="G354" s="4">
        <v>36</v>
      </c>
      <c r="H354" s="8">
        <v>2.58</v>
      </c>
      <c r="I354" s="4">
        <v>0</v>
      </c>
    </row>
    <row r="355" spans="1:9" x14ac:dyDescent="0.2">
      <c r="A355" s="2">
        <v>15</v>
      </c>
      <c r="B355" s="1" t="s">
        <v>123</v>
      </c>
      <c r="C355" s="4">
        <v>45</v>
      </c>
      <c r="D355" s="8">
        <v>1.42</v>
      </c>
      <c r="E355" s="4">
        <v>11</v>
      </c>
      <c r="F355" s="8">
        <v>0.64</v>
      </c>
      <c r="G355" s="4">
        <v>34</v>
      </c>
      <c r="H355" s="8">
        <v>2.44</v>
      </c>
      <c r="I355" s="4">
        <v>0</v>
      </c>
    </row>
    <row r="356" spans="1:9" x14ac:dyDescent="0.2">
      <c r="A356" s="2">
        <v>17</v>
      </c>
      <c r="B356" s="1" t="s">
        <v>116</v>
      </c>
      <c r="C356" s="4">
        <v>42</v>
      </c>
      <c r="D356" s="8">
        <v>1.33</v>
      </c>
      <c r="E356" s="4">
        <v>10</v>
      </c>
      <c r="F356" s="8">
        <v>0.57999999999999996</v>
      </c>
      <c r="G356" s="4">
        <v>32</v>
      </c>
      <c r="H356" s="8">
        <v>2.29</v>
      </c>
      <c r="I356" s="4">
        <v>0</v>
      </c>
    </row>
    <row r="357" spans="1:9" x14ac:dyDescent="0.2">
      <c r="A357" s="2">
        <v>17</v>
      </c>
      <c r="B357" s="1" t="s">
        <v>122</v>
      </c>
      <c r="C357" s="4">
        <v>42</v>
      </c>
      <c r="D357" s="8">
        <v>1.33</v>
      </c>
      <c r="E357" s="4">
        <v>20</v>
      </c>
      <c r="F357" s="8">
        <v>1.1599999999999999</v>
      </c>
      <c r="G357" s="4">
        <v>22</v>
      </c>
      <c r="H357" s="8">
        <v>1.58</v>
      </c>
      <c r="I357" s="4">
        <v>0</v>
      </c>
    </row>
    <row r="358" spans="1:9" x14ac:dyDescent="0.2">
      <c r="A358" s="2">
        <v>17</v>
      </c>
      <c r="B358" s="1" t="s">
        <v>153</v>
      </c>
      <c r="C358" s="4">
        <v>42</v>
      </c>
      <c r="D358" s="8">
        <v>1.33</v>
      </c>
      <c r="E358" s="4">
        <v>31</v>
      </c>
      <c r="F358" s="8">
        <v>1.8</v>
      </c>
      <c r="G358" s="4">
        <v>11</v>
      </c>
      <c r="H358" s="8">
        <v>0.79</v>
      </c>
      <c r="I358" s="4">
        <v>0</v>
      </c>
    </row>
    <row r="359" spans="1:9" x14ac:dyDescent="0.2">
      <c r="A359" s="2">
        <v>20</v>
      </c>
      <c r="B359" s="1" t="s">
        <v>137</v>
      </c>
      <c r="C359" s="4">
        <v>39</v>
      </c>
      <c r="D359" s="8">
        <v>1.23</v>
      </c>
      <c r="E359" s="4">
        <v>18</v>
      </c>
      <c r="F359" s="8">
        <v>1.04</v>
      </c>
      <c r="G359" s="4">
        <v>21</v>
      </c>
      <c r="H359" s="8">
        <v>1.5</v>
      </c>
      <c r="I359" s="4">
        <v>0</v>
      </c>
    </row>
    <row r="360" spans="1:9" x14ac:dyDescent="0.2">
      <c r="A360" s="1"/>
      <c r="C360" s="4"/>
      <c r="D360" s="8"/>
      <c r="E360" s="4"/>
      <c r="F360" s="8"/>
      <c r="G360" s="4"/>
      <c r="H360" s="8"/>
      <c r="I360" s="4"/>
    </row>
    <row r="361" spans="1:9" x14ac:dyDescent="0.2">
      <c r="A361" s="1" t="s">
        <v>16</v>
      </c>
      <c r="C361" s="4"/>
      <c r="D361" s="8"/>
      <c r="E361" s="4"/>
      <c r="F361" s="8"/>
      <c r="G361" s="4"/>
      <c r="H361" s="8"/>
      <c r="I361" s="4"/>
    </row>
    <row r="362" spans="1:9" x14ac:dyDescent="0.2">
      <c r="A362" s="2">
        <v>1</v>
      </c>
      <c r="B362" s="1" t="s">
        <v>132</v>
      </c>
      <c r="C362" s="4">
        <v>191</v>
      </c>
      <c r="D362" s="8">
        <v>5.98</v>
      </c>
      <c r="E362" s="4">
        <v>173</v>
      </c>
      <c r="F362" s="8">
        <v>9.09</v>
      </c>
      <c r="G362" s="4">
        <v>18</v>
      </c>
      <c r="H362" s="8">
        <v>1.4</v>
      </c>
      <c r="I362" s="4">
        <v>0</v>
      </c>
    </row>
    <row r="363" spans="1:9" x14ac:dyDescent="0.2">
      <c r="A363" s="2">
        <v>2</v>
      </c>
      <c r="B363" s="1" t="s">
        <v>116</v>
      </c>
      <c r="C363" s="4">
        <v>92</v>
      </c>
      <c r="D363" s="8">
        <v>2.88</v>
      </c>
      <c r="E363" s="4">
        <v>29</v>
      </c>
      <c r="F363" s="8">
        <v>1.52</v>
      </c>
      <c r="G363" s="4">
        <v>63</v>
      </c>
      <c r="H363" s="8">
        <v>4.91</v>
      </c>
      <c r="I363" s="4">
        <v>0</v>
      </c>
    </row>
    <row r="364" spans="1:9" x14ac:dyDescent="0.2">
      <c r="A364" s="2">
        <v>3</v>
      </c>
      <c r="B364" s="1" t="s">
        <v>130</v>
      </c>
      <c r="C364" s="4">
        <v>77</v>
      </c>
      <c r="D364" s="8">
        <v>2.41</v>
      </c>
      <c r="E364" s="4">
        <v>75</v>
      </c>
      <c r="F364" s="8">
        <v>3.94</v>
      </c>
      <c r="G364" s="4">
        <v>2</v>
      </c>
      <c r="H364" s="8">
        <v>0.16</v>
      </c>
      <c r="I364" s="4">
        <v>0</v>
      </c>
    </row>
    <row r="365" spans="1:9" x14ac:dyDescent="0.2">
      <c r="A365" s="2">
        <v>4</v>
      </c>
      <c r="B365" s="1" t="s">
        <v>118</v>
      </c>
      <c r="C365" s="4">
        <v>76</v>
      </c>
      <c r="D365" s="8">
        <v>2.38</v>
      </c>
      <c r="E365" s="4">
        <v>53</v>
      </c>
      <c r="F365" s="8">
        <v>2.79</v>
      </c>
      <c r="G365" s="4">
        <v>23</v>
      </c>
      <c r="H365" s="8">
        <v>1.79</v>
      </c>
      <c r="I365" s="4">
        <v>0</v>
      </c>
    </row>
    <row r="366" spans="1:9" x14ac:dyDescent="0.2">
      <c r="A366" s="2">
        <v>4</v>
      </c>
      <c r="B366" s="1" t="s">
        <v>131</v>
      </c>
      <c r="C366" s="4">
        <v>76</v>
      </c>
      <c r="D366" s="8">
        <v>2.38</v>
      </c>
      <c r="E366" s="4">
        <v>76</v>
      </c>
      <c r="F366" s="8">
        <v>3.99</v>
      </c>
      <c r="G366" s="4">
        <v>0</v>
      </c>
      <c r="H366" s="8">
        <v>0</v>
      </c>
      <c r="I366" s="4">
        <v>0</v>
      </c>
    </row>
    <row r="367" spans="1:9" x14ac:dyDescent="0.2">
      <c r="A367" s="2">
        <v>6</v>
      </c>
      <c r="B367" s="1" t="s">
        <v>128</v>
      </c>
      <c r="C367" s="4">
        <v>75</v>
      </c>
      <c r="D367" s="8">
        <v>2.35</v>
      </c>
      <c r="E367" s="4">
        <v>63</v>
      </c>
      <c r="F367" s="8">
        <v>3.31</v>
      </c>
      <c r="G367" s="4">
        <v>12</v>
      </c>
      <c r="H367" s="8">
        <v>0.94</v>
      </c>
      <c r="I367" s="4">
        <v>0</v>
      </c>
    </row>
    <row r="368" spans="1:9" x14ac:dyDescent="0.2">
      <c r="A368" s="2">
        <v>7</v>
      </c>
      <c r="B368" s="1" t="s">
        <v>134</v>
      </c>
      <c r="C368" s="4">
        <v>73</v>
      </c>
      <c r="D368" s="8">
        <v>2.2799999999999998</v>
      </c>
      <c r="E368" s="4">
        <v>69</v>
      </c>
      <c r="F368" s="8">
        <v>3.63</v>
      </c>
      <c r="G368" s="4">
        <v>4</v>
      </c>
      <c r="H368" s="8">
        <v>0.31</v>
      </c>
      <c r="I368" s="4">
        <v>0</v>
      </c>
    </row>
    <row r="369" spans="1:9" x14ac:dyDescent="0.2">
      <c r="A369" s="2">
        <v>8</v>
      </c>
      <c r="B369" s="1" t="s">
        <v>121</v>
      </c>
      <c r="C369" s="4">
        <v>72</v>
      </c>
      <c r="D369" s="8">
        <v>2.25</v>
      </c>
      <c r="E369" s="4">
        <v>54</v>
      </c>
      <c r="F369" s="8">
        <v>2.84</v>
      </c>
      <c r="G369" s="4">
        <v>18</v>
      </c>
      <c r="H369" s="8">
        <v>1.4</v>
      </c>
      <c r="I369" s="4">
        <v>0</v>
      </c>
    </row>
    <row r="370" spans="1:9" x14ac:dyDescent="0.2">
      <c r="A370" s="2">
        <v>9</v>
      </c>
      <c r="B370" s="1" t="s">
        <v>119</v>
      </c>
      <c r="C370" s="4">
        <v>70</v>
      </c>
      <c r="D370" s="8">
        <v>2.19</v>
      </c>
      <c r="E370" s="4">
        <v>27</v>
      </c>
      <c r="F370" s="8">
        <v>1.42</v>
      </c>
      <c r="G370" s="4">
        <v>43</v>
      </c>
      <c r="H370" s="8">
        <v>3.35</v>
      </c>
      <c r="I370" s="4">
        <v>0</v>
      </c>
    </row>
    <row r="371" spans="1:9" x14ac:dyDescent="0.2">
      <c r="A371" s="2">
        <v>10</v>
      </c>
      <c r="B371" s="1" t="s">
        <v>124</v>
      </c>
      <c r="C371" s="4">
        <v>69</v>
      </c>
      <c r="D371" s="8">
        <v>2.16</v>
      </c>
      <c r="E371" s="4">
        <v>50</v>
      </c>
      <c r="F371" s="8">
        <v>2.63</v>
      </c>
      <c r="G371" s="4">
        <v>19</v>
      </c>
      <c r="H371" s="8">
        <v>1.48</v>
      </c>
      <c r="I371" s="4">
        <v>0</v>
      </c>
    </row>
    <row r="372" spans="1:9" x14ac:dyDescent="0.2">
      <c r="A372" s="2">
        <v>10</v>
      </c>
      <c r="B372" s="1" t="s">
        <v>162</v>
      </c>
      <c r="C372" s="4">
        <v>69</v>
      </c>
      <c r="D372" s="8">
        <v>2.16</v>
      </c>
      <c r="E372" s="4">
        <v>65</v>
      </c>
      <c r="F372" s="8">
        <v>3.42</v>
      </c>
      <c r="G372" s="4">
        <v>4</v>
      </c>
      <c r="H372" s="8">
        <v>0.31</v>
      </c>
      <c r="I372" s="4">
        <v>0</v>
      </c>
    </row>
    <row r="373" spans="1:9" x14ac:dyDescent="0.2">
      <c r="A373" s="2">
        <v>12</v>
      </c>
      <c r="B373" s="1" t="s">
        <v>133</v>
      </c>
      <c r="C373" s="4">
        <v>62</v>
      </c>
      <c r="D373" s="8">
        <v>1.94</v>
      </c>
      <c r="E373" s="4">
        <v>56</v>
      </c>
      <c r="F373" s="8">
        <v>2.94</v>
      </c>
      <c r="G373" s="4">
        <v>6</v>
      </c>
      <c r="H373" s="8">
        <v>0.47</v>
      </c>
      <c r="I373" s="4">
        <v>0</v>
      </c>
    </row>
    <row r="374" spans="1:9" x14ac:dyDescent="0.2">
      <c r="A374" s="2">
        <v>13</v>
      </c>
      <c r="B374" s="1" t="s">
        <v>129</v>
      </c>
      <c r="C374" s="4">
        <v>61</v>
      </c>
      <c r="D374" s="8">
        <v>1.91</v>
      </c>
      <c r="E374" s="4">
        <v>59</v>
      </c>
      <c r="F374" s="8">
        <v>3.1</v>
      </c>
      <c r="G374" s="4">
        <v>2</v>
      </c>
      <c r="H374" s="8">
        <v>0.16</v>
      </c>
      <c r="I374" s="4">
        <v>0</v>
      </c>
    </row>
    <row r="375" spans="1:9" x14ac:dyDescent="0.2">
      <c r="A375" s="2">
        <v>14</v>
      </c>
      <c r="B375" s="1" t="s">
        <v>126</v>
      </c>
      <c r="C375" s="4">
        <v>59</v>
      </c>
      <c r="D375" s="8">
        <v>1.85</v>
      </c>
      <c r="E375" s="4">
        <v>30</v>
      </c>
      <c r="F375" s="8">
        <v>1.58</v>
      </c>
      <c r="G375" s="4">
        <v>28</v>
      </c>
      <c r="H375" s="8">
        <v>2.1800000000000002</v>
      </c>
      <c r="I375" s="4">
        <v>0</v>
      </c>
    </row>
    <row r="376" spans="1:9" x14ac:dyDescent="0.2">
      <c r="A376" s="2">
        <v>14</v>
      </c>
      <c r="B376" s="1" t="s">
        <v>135</v>
      </c>
      <c r="C376" s="4">
        <v>59</v>
      </c>
      <c r="D376" s="8">
        <v>1.85</v>
      </c>
      <c r="E376" s="4">
        <v>56</v>
      </c>
      <c r="F376" s="8">
        <v>2.94</v>
      </c>
      <c r="G376" s="4">
        <v>3</v>
      </c>
      <c r="H376" s="8">
        <v>0.23</v>
      </c>
      <c r="I376" s="4">
        <v>0</v>
      </c>
    </row>
    <row r="377" spans="1:9" x14ac:dyDescent="0.2">
      <c r="A377" s="2">
        <v>16</v>
      </c>
      <c r="B377" s="1" t="s">
        <v>120</v>
      </c>
      <c r="C377" s="4">
        <v>50</v>
      </c>
      <c r="D377" s="8">
        <v>1.56</v>
      </c>
      <c r="E377" s="4">
        <v>17</v>
      </c>
      <c r="F377" s="8">
        <v>0.89</v>
      </c>
      <c r="G377" s="4">
        <v>33</v>
      </c>
      <c r="H377" s="8">
        <v>2.57</v>
      </c>
      <c r="I377" s="4">
        <v>0</v>
      </c>
    </row>
    <row r="378" spans="1:9" x14ac:dyDescent="0.2">
      <c r="A378" s="2">
        <v>16</v>
      </c>
      <c r="B378" s="1" t="s">
        <v>123</v>
      </c>
      <c r="C378" s="4">
        <v>50</v>
      </c>
      <c r="D378" s="8">
        <v>1.56</v>
      </c>
      <c r="E378" s="4">
        <v>22</v>
      </c>
      <c r="F378" s="8">
        <v>1.1599999999999999</v>
      </c>
      <c r="G378" s="4">
        <v>28</v>
      </c>
      <c r="H378" s="8">
        <v>2.1800000000000002</v>
      </c>
      <c r="I378" s="4">
        <v>0</v>
      </c>
    </row>
    <row r="379" spans="1:9" x14ac:dyDescent="0.2">
      <c r="A379" s="2">
        <v>18</v>
      </c>
      <c r="B379" s="1" t="s">
        <v>122</v>
      </c>
      <c r="C379" s="4">
        <v>48</v>
      </c>
      <c r="D379" s="8">
        <v>1.5</v>
      </c>
      <c r="E379" s="4">
        <v>25</v>
      </c>
      <c r="F379" s="8">
        <v>1.31</v>
      </c>
      <c r="G379" s="4">
        <v>23</v>
      </c>
      <c r="H379" s="8">
        <v>1.79</v>
      </c>
      <c r="I379" s="4">
        <v>0</v>
      </c>
    </row>
    <row r="380" spans="1:9" x14ac:dyDescent="0.2">
      <c r="A380" s="2">
        <v>19</v>
      </c>
      <c r="B380" s="1" t="s">
        <v>153</v>
      </c>
      <c r="C380" s="4">
        <v>46</v>
      </c>
      <c r="D380" s="8">
        <v>1.44</v>
      </c>
      <c r="E380" s="4">
        <v>29</v>
      </c>
      <c r="F380" s="8">
        <v>1.52</v>
      </c>
      <c r="G380" s="4">
        <v>17</v>
      </c>
      <c r="H380" s="8">
        <v>1.33</v>
      </c>
      <c r="I380" s="4">
        <v>0</v>
      </c>
    </row>
    <row r="381" spans="1:9" x14ac:dyDescent="0.2">
      <c r="A381" s="2">
        <v>20</v>
      </c>
      <c r="B381" s="1" t="s">
        <v>117</v>
      </c>
      <c r="C381" s="4">
        <v>43</v>
      </c>
      <c r="D381" s="8">
        <v>1.35</v>
      </c>
      <c r="E381" s="4">
        <v>14</v>
      </c>
      <c r="F381" s="8">
        <v>0.74</v>
      </c>
      <c r="G381" s="4">
        <v>29</v>
      </c>
      <c r="H381" s="8">
        <v>2.2599999999999998</v>
      </c>
      <c r="I381" s="4">
        <v>0</v>
      </c>
    </row>
    <row r="382" spans="1:9" x14ac:dyDescent="0.2">
      <c r="A382" s="1"/>
      <c r="C382" s="4"/>
      <c r="D382" s="8"/>
      <c r="E382" s="4"/>
      <c r="F382" s="8"/>
      <c r="G382" s="4"/>
      <c r="H382" s="8"/>
      <c r="I382" s="4"/>
    </row>
    <row r="383" spans="1:9" x14ac:dyDescent="0.2">
      <c r="A383" s="1" t="s">
        <v>17</v>
      </c>
      <c r="C383" s="4"/>
      <c r="D383" s="8"/>
      <c r="E383" s="4"/>
      <c r="F383" s="8"/>
      <c r="G383" s="4"/>
      <c r="H383" s="8"/>
      <c r="I383" s="4"/>
    </row>
    <row r="384" spans="1:9" x14ac:dyDescent="0.2">
      <c r="A384" s="2">
        <v>1</v>
      </c>
      <c r="B384" s="1" t="s">
        <v>126</v>
      </c>
      <c r="C384" s="4">
        <v>136</v>
      </c>
      <c r="D384" s="8">
        <v>5.26</v>
      </c>
      <c r="E384" s="4">
        <v>89</v>
      </c>
      <c r="F384" s="8">
        <v>6.22</v>
      </c>
      <c r="G384" s="4">
        <v>47</v>
      </c>
      <c r="H384" s="8">
        <v>4.12</v>
      </c>
      <c r="I384" s="4">
        <v>0</v>
      </c>
    </row>
    <row r="385" spans="1:9" x14ac:dyDescent="0.2">
      <c r="A385" s="2">
        <v>2</v>
      </c>
      <c r="B385" s="1" t="s">
        <v>160</v>
      </c>
      <c r="C385" s="4">
        <v>124</v>
      </c>
      <c r="D385" s="8">
        <v>4.79</v>
      </c>
      <c r="E385" s="4">
        <v>92</v>
      </c>
      <c r="F385" s="8">
        <v>6.43</v>
      </c>
      <c r="G385" s="4">
        <v>32</v>
      </c>
      <c r="H385" s="8">
        <v>2.8</v>
      </c>
      <c r="I385" s="4">
        <v>0</v>
      </c>
    </row>
    <row r="386" spans="1:9" x14ac:dyDescent="0.2">
      <c r="A386" s="2">
        <v>3</v>
      </c>
      <c r="B386" s="1" t="s">
        <v>132</v>
      </c>
      <c r="C386" s="4">
        <v>122</v>
      </c>
      <c r="D386" s="8">
        <v>4.71</v>
      </c>
      <c r="E386" s="4">
        <v>110</v>
      </c>
      <c r="F386" s="8">
        <v>7.69</v>
      </c>
      <c r="G386" s="4">
        <v>12</v>
      </c>
      <c r="H386" s="8">
        <v>1.05</v>
      </c>
      <c r="I386" s="4">
        <v>0</v>
      </c>
    </row>
    <row r="387" spans="1:9" x14ac:dyDescent="0.2">
      <c r="A387" s="2">
        <v>4</v>
      </c>
      <c r="B387" s="1" t="s">
        <v>128</v>
      </c>
      <c r="C387" s="4">
        <v>114</v>
      </c>
      <c r="D387" s="8">
        <v>4.4000000000000004</v>
      </c>
      <c r="E387" s="4">
        <v>94</v>
      </c>
      <c r="F387" s="8">
        <v>6.57</v>
      </c>
      <c r="G387" s="4">
        <v>20</v>
      </c>
      <c r="H387" s="8">
        <v>1.75</v>
      </c>
      <c r="I387" s="4">
        <v>0</v>
      </c>
    </row>
    <row r="388" spans="1:9" x14ac:dyDescent="0.2">
      <c r="A388" s="2">
        <v>5</v>
      </c>
      <c r="B388" s="1" t="s">
        <v>121</v>
      </c>
      <c r="C388" s="4">
        <v>83</v>
      </c>
      <c r="D388" s="8">
        <v>3.21</v>
      </c>
      <c r="E388" s="4">
        <v>42</v>
      </c>
      <c r="F388" s="8">
        <v>2.94</v>
      </c>
      <c r="G388" s="4">
        <v>41</v>
      </c>
      <c r="H388" s="8">
        <v>3.59</v>
      </c>
      <c r="I388" s="4">
        <v>0</v>
      </c>
    </row>
    <row r="389" spans="1:9" x14ac:dyDescent="0.2">
      <c r="A389" s="2">
        <v>6</v>
      </c>
      <c r="B389" s="1" t="s">
        <v>124</v>
      </c>
      <c r="C389" s="4">
        <v>63</v>
      </c>
      <c r="D389" s="8">
        <v>2.4300000000000002</v>
      </c>
      <c r="E389" s="4">
        <v>39</v>
      </c>
      <c r="F389" s="8">
        <v>2.73</v>
      </c>
      <c r="G389" s="4">
        <v>24</v>
      </c>
      <c r="H389" s="8">
        <v>2.1</v>
      </c>
      <c r="I389" s="4">
        <v>0</v>
      </c>
    </row>
    <row r="390" spans="1:9" x14ac:dyDescent="0.2">
      <c r="A390" s="2">
        <v>7</v>
      </c>
      <c r="B390" s="1" t="s">
        <v>129</v>
      </c>
      <c r="C390" s="4">
        <v>62</v>
      </c>
      <c r="D390" s="8">
        <v>2.4</v>
      </c>
      <c r="E390" s="4">
        <v>56</v>
      </c>
      <c r="F390" s="8">
        <v>3.91</v>
      </c>
      <c r="G390" s="4">
        <v>6</v>
      </c>
      <c r="H390" s="8">
        <v>0.53</v>
      </c>
      <c r="I390" s="4">
        <v>0</v>
      </c>
    </row>
    <row r="391" spans="1:9" x14ac:dyDescent="0.2">
      <c r="A391" s="2">
        <v>8</v>
      </c>
      <c r="B391" s="1" t="s">
        <v>131</v>
      </c>
      <c r="C391" s="4">
        <v>61</v>
      </c>
      <c r="D391" s="8">
        <v>2.36</v>
      </c>
      <c r="E391" s="4">
        <v>61</v>
      </c>
      <c r="F391" s="8">
        <v>4.26</v>
      </c>
      <c r="G391" s="4">
        <v>0</v>
      </c>
      <c r="H391" s="8">
        <v>0</v>
      </c>
      <c r="I391" s="4">
        <v>0</v>
      </c>
    </row>
    <row r="392" spans="1:9" x14ac:dyDescent="0.2">
      <c r="A392" s="2">
        <v>9</v>
      </c>
      <c r="B392" s="1" t="s">
        <v>130</v>
      </c>
      <c r="C392" s="4">
        <v>60</v>
      </c>
      <c r="D392" s="8">
        <v>2.3199999999999998</v>
      </c>
      <c r="E392" s="4">
        <v>55</v>
      </c>
      <c r="F392" s="8">
        <v>3.84</v>
      </c>
      <c r="G392" s="4">
        <v>5</v>
      </c>
      <c r="H392" s="8">
        <v>0.44</v>
      </c>
      <c r="I392" s="4">
        <v>0</v>
      </c>
    </row>
    <row r="393" spans="1:9" x14ac:dyDescent="0.2">
      <c r="A393" s="2">
        <v>10</v>
      </c>
      <c r="B393" s="1" t="s">
        <v>139</v>
      </c>
      <c r="C393" s="4">
        <v>56</v>
      </c>
      <c r="D393" s="8">
        <v>2.16</v>
      </c>
      <c r="E393" s="4">
        <v>47</v>
      </c>
      <c r="F393" s="8">
        <v>3.28</v>
      </c>
      <c r="G393" s="4">
        <v>9</v>
      </c>
      <c r="H393" s="8">
        <v>0.79</v>
      </c>
      <c r="I393" s="4">
        <v>0</v>
      </c>
    </row>
    <row r="394" spans="1:9" x14ac:dyDescent="0.2">
      <c r="A394" s="2">
        <v>11</v>
      </c>
      <c r="B394" s="1" t="s">
        <v>134</v>
      </c>
      <c r="C394" s="4">
        <v>54</v>
      </c>
      <c r="D394" s="8">
        <v>2.09</v>
      </c>
      <c r="E394" s="4">
        <v>50</v>
      </c>
      <c r="F394" s="8">
        <v>3.49</v>
      </c>
      <c r="G394" s="4">
        <v>4</v>
      </c>
      <c r="H394" s="8">
        <v>0.35</v>
      </c>
      <c r="I394" s="4">
        <v>0</v>
      </c>
    </row>
    <row r="395" spans="1:9" x14ac:dyDescent="0.2">
      <c r="A395" s="2">
        <v>12</v>
      </c>
      <c r="B395" s="1" t="s">
        <v>161</v>
      </c>
      <c r="C395" s="4">
        <v>50</v>
      </c>
      <c r="D395" s="8">
        <v>1.93</v>
      </c>
      <c r="E395" s="4">
        <v>30</v>
      </c>
      <c r="F395" s="8">
        <v>2.1</v>
      </c>
      <c r="G395" s="4">
        <v>20</v>
      </c>
      <c r="H395" s="8">
        <v>1.75</v>
      </c>
      <c r="I395" s="4">
        <v>0</v>
      </c>
    </row>
    <row r="396" spans="1:9" x14ac:dyDescent="0.2">
      <c r="A396" s="2">
        <v>13</v>
      </c>
      <c r="B396" s="1" t="s">
        <v>133</v>
      </c>
      <c r="C396" s="4">
        <v>49</v>
      </c>
      <c r="D396" s="8">
        <v>1.89</v>
      </c>
      <c r="E396" s="4">
        <v>38</v>
      </c>
      <c r="F396" s="8">
        <v>2.66</v>
      </c>
      <c r="G396" s="4">
        <v>11</v>
      </c>
      <c r="H396" s="8">
        <v>0.96</v>
      </c>
      <c r="I396" s="4">
        <v>0</v>
      </c>
    </row>
    <row r="397" spans="1:9" x14ac:dyDescent="0.2">
      <c r="A397" s="2">
        <v>14</v>
      </c>
      <c r="B397" s="1" t="s">
        <v>116</v>
      </c>
      <c r="C397" s="4">
        <v>48</v>
      </c>
      <c r="D397" s="8">
        <v>1.85</v>
      </c>
      <c r="E397" s="4">
        <v>17</v>
      </c>
      <c r="F397" s="8">
        <v>1.19</v>
      </c>
      <c r="G397" s="4">
        <v>31</v>
      </c>
      <c r="H397" s="8">
        <v>2.72</v>
      </c>
      <c r="I397" s="4">
        <v>0</v>
      </c>
    </row>
    <row r="398" spans="1:9" x14ac:dyDescent="0.2">
      <c r="A398" s="2">
        <v>15</v>
      </c>
      <c r="B398" s="1" t="s">
        <v>136</v>
      </c>
      <c r="C398" s="4">
        <v>46</v>
      </c>
      <c r="D398" s="8">
        <v>1.78</v>
      </c>
      <c r="E398" s="4">
        <v>24</v>
      </c>
      <c r="F398" s="8">
        <v>1.68</v>
      </c>
      <c r="G398" s="4">
        <v>22</v>
      </c>
      <c r="H398" s="8">
        <v>1.93</v>
      </c>
      <c r="I398" s="4">
        <v>0</v>
      </c>
    </row>
    <row r="399" spans="1:9" x14ac:dyDescent="0.2">
      <c r="A399" s="2">
        <v>16</v>
      </c>
      <c r="B399" s="1" t="s">
        <v>119</v>
      </c>
      <c r="C399" s="4">
        <v>42</v>
      </c>
      <c r="D399" s="8">
        <v>1.62</v>
      </c>
      <c r="E399" s="4">
        <v>17</v>
      </c>
      <c r="F399" s="8">
        <v>1.19</v>
      </c>
      <c r="G399" s="4">
        <v>25</v>
      </c>
      <c r="H399" s="8">
        <v>2.19</v>
      </c>
      <c r="I399" s="4">
        <v>0</v>
      </c>
    </row>
    <row r="400" spans="1:9" x14ac:dyDescent="0.2">
      <c r="A400" s="2">
        <v>17</v>
      </c>
      <c r="B400" s="1" t="s">
        <v>163</v>
      </c>
      <c r="C400" s="4">
        <v>39</v>
      </c>
      <c r="D400" s="8">
        <v>1.51</v>
      </c>
      <c r="E400" s="4">
        <v>0</v>
      </c>
      <c r="F400" s="8">
        <v>0</v>
      </c>
      <c r="G400" s="4">
        <v>39</v>
      </c>
      <c r="H400" s="8">
        <v>3.42</v>
      </c>
      <c r="I400" s="4">
        <v>0</v>
      </c>
    </row>
    <row r="401" spans="1:9" x14ac:dyDescent="0.2">
      <c r="A401" s="2">
        <v>18</v>
      </c>
      <c r="B401" s="1" t="s">
        <v>149</v>
      </c>
      <c r="C401" s="4">
        <v>38</v>
      </c>
      <c r="D401" s="8">
        <v>1.47</v>
      </c>
      <c r="E401" s="4">
        <v>9</v>
      </c>
      <c r="F401" s="8">
        <v>0.63</v>
      </c>
      <c r="G401" s="4">
        <v>29</v>
      </c>
      <c r="H401" s="8">
        <v>2.54</v>
      </c>
      <c r="I401" s="4">
        <v>0</v>
      </c>
    </row>
    <row r="402" spans="1:9" x14ac:dyDescent="0.2">
      <c r="A402" s="2">
        <v>18</v>
      </c>
      <c r="B402" s="1" t="s">
        <v>138</v>
      </c>
      <c r="C402" s="4">
        <v>38</v>
      </c>
      <c r="D402" s="8">
        <v>1.47</v>
      </c>
      <c r="E402" s="4">
        <v>2</v>
      </c>
      <c r="F402" s="8">
        <v>0.14000000000000001</v>
      </c>
      <c r="G402" s="4">
        <v>36</v>
      </c>
      <c r="H402" s="8">
        <v>3.16</v>
      </c>
      <c r="I402" s="4">
        <v>0</v>
      </c>
    </row>
    <row r="403" spans="1:9" x14ac:dyDescent="0.2">
      <c r="A403" s="2">
        <v>20</v>
      </c>
      <c r="B403" s="1" t="s">
        <v>120</v>
      </c>
      <c r="C403" s="4">
        <v>36</v>
      </c>
      <c r="D403" s="8">
        <v>1.39</v>
      </c>
      <c r="E403" s="4">
        <v>9</v>
      </c>
      <c r="F403" s="8">
        <v>0.63</v>
      </c>
      <c r="G403" s="4">
        <v>27</v>
      </c>
      <c r="H403" s="8">
        <v>2.37</v>
      </c>
      <c r="I403" s="4">
        <v>0</v>
      </c>
    </row>
    <row r="404" spans="1:9" x14ac:dyDescent="0.2">
      <c r="A404" s="1"/>
      <c r="C404" s="4"/>
      <c r="D404" s="8"/>
      <c r="E404" s="4"/>
      <c r="F404" s="8"/>
      <c r="G404" s="4"/>
      <c r="H404" s="8"/>
      <c r="I404" s="4"/>
    </row>
    <row r="405" spans="1:9" x14ac:dyDescent="0.2">
      <c r="A405" s="1" t="s">
        <v>18</v>
      </c>
      <c r="C405" s="4"/>
      <c r="D405" s="8"/>
      <c r="E405" s="4"/>
      <c r="F405" s="8"/>
      <c r="G405" s="4"/>
      <c r="H405" s="8"/>
      <c r="I405" s="4"/>
    </row>
    <row r="406" spans="1:9" x14ac:dyDescent="0.2">
      <c r="A406" s="2">
        <v>1</v>
      </c>
      <c r="B406" s="1" t="s">
        <v>132</v>
      </c>
      <c r="C406" s="4">
        <v>132</v>
      </c>
      <c r="D406" s="8">
        <v>5.16</v>
      </c>
      <c r="E406" s="4">
        <v>121</v>
      </c>
      <c r="F406" s="8">
        <v>7.57</v>
      </c>
      <c r="G406" s="4">
        <v>11</v>
      </c>
      <c r="H406" s="8">
        <v>1.17</v>
      </c>
      <c r="I406" s="4">
        <v>0</v>
      </c>
    </row>
    <row r="407" spans="1:9" x14ac:dyDescent="0.2">
      <c r="A407" s="2">
        <v>2</v>
      </c>
      <c r="B407" s="1" t="s">
        <v>126</v>
      </c>
      <c r="C407" s="4">
        <v>121</v>
      </c>
      <c r="D407" s="8">
        <v>4.7300000000000004</v>
      </c>
      <c r="E407" s="4">
        <v>106</v>
      </c>
      <c r="F407" s="8">
        <v>6.63</v>
      </c>
      <c r="G407" s="4">
        <v>15</v>
      </c>
      <c r="H407" s="8">
        <v>1.6</v>
      </c>
      <c r="I407" s="4">
        <v>0</v>
      </c>
    </row>
    <row r="408" spans="1:9" x14ac:dyDescent="0.2">
      <c r="A408" s="2">
        <v>3</v>
      </c>
      <c r="B408" s="1" t="s">
        <v>131</v>
      </c>
      <c r="C408" s="4">
        <v>92</v>
      </c>
      <c r="D408" s="8">
        <v>3.6</v>
      </c>
      <c r="E408" s="4">
        <v>91</v>
      </c>
      <c r="F408" s="8">
        <v>5.69</v>
      </c>
      <c r="G408" s="4">
        <v>1</v>
      </c>
      <c r="H408" s="8">
        <v>0.11</v>
      </c>
      <c r="I408" s="4">
        <v>0</v>
      </c>
    </row>
    <row r="409" spans="1:9" x14ac:dyDescent="0.2">
      <c r="A409" s="2">
        <v>4</v>
      </c>
      <c r="B409" s="1" t="s">
        <v>121</v>
      </c>
      <c r="C409" s="4">
        <v>78</v>
      </c>
      <c r="D409" s="8">
        <v>3.05</v>
      </c>
      <c r="E409" s="4">
        <v>54</v>
      </c>
      <c r="F409" s="8">
        <v>3.38</v>
      </c>
      <c r="G409" s="4">
        <v>24</v>
      </c>
      <c r="H409" s="8">
        <v>2.56</v>
      </c>
      <c r="I409" s="4">
        <v>0</v>
      </c>
    </row>
    <row r="410" spans="1:9" x14ac:dyDescent="0.2">
      <c r="A410" s="2">
        <v>5</v>
      </c>
      <c r="B410" s="1" t="s">
        <v>129</v>
      </c>
      <c r="C410" s="4">
        <v>62</v>
      </c>
      <c r="D410" s="8">
        <v>2.42</v>
      </c>
      <c r="E410" s="4">
        <v>58</v>
      </c>
      <c r="F410" s="8">
        <v>3.63</v>
      </c>
      <c r="G410" s="4">
        <v>4</v>
      </c>
      <c r="H410" s="8">
        <v>0.43</v>
      </c>
      <c r="I410" s="4">
        <v>0</v>
      </c>
    </row>
    <row r="411" spans="1:9" x14ac:dyDescent="0.2">
      <c r="A411" s="2">
        <v>6</v>
      </c>
      <c r="B411" s="1" t="s">
        <v>118</v>
      </c>
      <c r="C411" s="4">
        <v>59</v>
      </c>
      <c r="D411" s="8">
        <v>2.31</v>
      </c>
      <c r="E411" s="4">
        <v>31</v>
      </c>
      <c r="F411" s="8">
        <v>1.94</v>
      </c>
      <c r="G411" s="4">
        <v>28</v>
      </c>
      <c r="H411" s="8">
        <v>2.98</v>
      </c>
      <c r="I411" s="4">
        <v>0</v>
      </c>
    </row>
    <row r="412" spans="1:9" x14ac:dyDescent="0.2">
      <c r="A412" s="2">
        <v>7</v>
      </c>
      <c r="B412" s="1" t="s">
        <v>128</v>
      </c>
      <c r="C412" s="4">
        <v>56</v>
      </c>
      <c r="D412" s="8">
        <v>2.19</v>
      </c>
      <c r="E412" s="4">
        <v>47</v>
      </c>
      <c r="F412" s="8">
        <v>2.94</v>
      </c>
      <c r="G412" s="4">
        <v>9</v>
      </c>
      <c r="H412" s="8">
        <v>0.96</v>
      </c>
      <c r="I412" s="4">
        <v>0</v>
      </c>
    </row>
    <row r="413" spans="1:9" x14ac:dyDescent="0.2">
      <c r="A413" s="2">
        <v>8</v>
      </c>
      <c r="B413" s="1" t="s">
        <v>134</v>
      </c>
      <c r="C413" s="4">
        <v>55</v>
      </c>
      <c r="D413" s="8">
        <v>2.15</v>
      </c>
      <c r="E413" s="4">
        <v>49</v>
      </c>
      <c r="F413" s="8">
        <v>3.07</v>
      </c>
      <c r="G413" s="4">
        <v>6</v>
      </c>
      <c r="H413" s="8">
        <v>0.64</v>
      </c>
      <c r="I413" s="4">
        <v>0</v>
      </c>
    </row>
    <row r="414" spans="1:9" x14ac:dyDescent="0.2">
      <c r="A414" s="2">
        <v>9</v>
      </c>
      <c r="B414" s="1" t="s">
        <v>123</v>
      </c>
      <c r="C414" s="4">
        <v>52</v>
      </c>
      <c r="D414" s="8">
        <v>2.0299999999999998</v>
      </c>
      <c r="E414" s="4">
        <v>27</v>
      </c>
      <c r="F414" s="8">
        <v>1.69</v>
      </c>
      <c r="G414" s="4">
        <v>25</v>
      </c>
      <c r="H414" s="8">
        <v>2.66</v>
      </c>
      <c r="I414" s="4">
        <v>0</v>
      </c>
    </row>
    <row r="415" spans="1:9" x14ac:dyDescent="0.2">
      <c r="A415" s="2">
        <v>10</v>
      </c>
      <c r="B415" s="1" t="s">
        <v>124</v>
      </c>
      <c r="C415" s="4">
        <v>49</v>
      </c>
      <c r="D415" s="8">
        <v>1.91</v>
      </c>
      <c r="E415" s="4">
        <v>36</v>
      </c>
      <c r="F415" s="8">
        <v>2.25</v>
      </c>
      <c r="G415" s="4">
        <v>13</v>
      </c>
      <c r="H415" s="8">
        <v>1.38</v>
      </c>
      <c r="I415" s="4">
        <v>0</v>
      </c>
    </row>
    <row r="416" spans="1:9" x14ac:dyDescent="0.2">
      <c r="A416" s="2">
        <v>11</v>
      </c>
      <c r="B416" s="1" t="s">
        <v>133</v>
      </c>
      <c r="C416" s="4">
        <v>47</v>
      </c>
      <c r="D416" s="8">
        <v>1.84</v>
      </c>
      <c r="E416" s="4">
        <v>40</v>
      </c>
      <c r="F416" s="8">
        <v>2.5</v>
      </c>
      <c r="G416" s="4">
        <v>7</v>
      </c>
      <c r="H416" s="8">
        <v>0.75</v>
      </c>
      <c r="I416" s="4">
        <v>0</v>
      </c>
    </row>
    <row r="417" spans="1:9" x14ac:dyDescent="0.2">
      <c r="A417" s="2">
        <v>12</v>
      </c>
      <c r="B417" s="1" t="s">
        <v>157</v>
      </c>
      <c r="C417" s="4">
        <v>43</v>
      </c>
      <c r="D417" s="8">
        <v>1.68</v>
      </c>
      <c r="E417" s="4">
        <v>17</v>
      </c>
      <c r="F417" s="8">
        <v>1.06</v>
      </c>
      <c r="G417" s="4">
        <v>24</v>
      </c>
      <c r="H417" s="8">
        <v>2.56</v>
      </c>
      <c r="I417" s="4">
        <v>2</v>
      </c>
    </row>
    <row r="418" spans="1:9" x14ac:dyDescent="0.2">
      <c r="A418" s="2">
        <v>12</v>
      </c>
      <c r="B418" s="1" t="s">
        <v>140</v>
      </c>
      <c r="C418" s="4">
        <v>43</v>
      </c>
      <c r="D418" s="8">
        <v>1.68</v>
      </c>
      <c r="E418" s="4">
        <v>23</v>
      </c>
      <c r="F418" s="8">
        <v>1.44</v>
      </c>
      <c r="G418" s="4">
        <v>20</v>
      </c>
      <c r="H418" s="8">
        <v>2.13</v>
      </c>
      <c r="I418" s="4">
        <v>0</v>
      </c>
    </row>
    <row r="419" spans="1:9" x14ac:dyDescent="0.2">
      <c r="A419" s="2">
        <v>14</v>
      </c>
      <c r="B419" s="1" t="s">
        <v>116</v>
      </c>
      <c r="C419" s="4">
        <v>41</v>
      </c>
      <c r="D419" s="8">
        <v>1.6</v>
      </c>
      <c r="E419" s="4">
        <v>15</v>
      </c>
      <c r="F419" s="8">
        <v>0.94</v>
      </c>
      <c r="G419" s="4">
        <v>26</v>
      </c>
      <c r="H419" s="8">
        <v>2.77</v>
      </c>
      <c r="I419" s="4">
        <v>0</v>
      </c>
    </row>
    <row r="420" spans="1:9" x14ac:dyDescent="0.2">
      <c r="A420" s="2">
        <v>15</v>
      </c>
      <c r="B420" s="1" t="s">
        <v>130</v>
      </c>
      <c r="C420" s="4">
        <v>40</v>
      </c>
      <c r="D420" s="8">
        <v>1.56</v>
      </c>
      <c r="E420" s="4">
        <v>38</v>
      </c>
      <c r="F420" s="8">
        <v>2.38</v>
      </c>
      <c r="G420" s="4">
        <v>2</v>
      </c>
      <c r="H420" s="8">
        <v>0.21</v>
      </c>
      <c r="I420" s="4">
        <v>0</v>
      </c>
    </row>
    <row r="421" spans="1:9" x14ac:dyDescent="0.2">
      <c r="A421" s="2">
        <v>16</v>
      </c>
      <c r="B421" s="1" t="s">
        <v>119</v>
      </c>
      <c r="C421" s="4">
        <v>39</v>
      </c>
      <c r="D421" s="8">
        <v>1.52</v>
      </c>
      <c r="E421" s="4">
        <v>24</v>
      </c>
      <c r="F421" s="8">
        <v>1.5</v>
      </c>
      <c r="G421" s="4">
        <v>15</v>
      </c>
      <c r="H421" s="8">
        <v>1.6</v>
      </c>
      <c r="I421" s="4">
        <v>0</v>
      </c>
    </row>
    <row r="422" spans="1:9" x14ac:dyDescent="0.2">
      <c r="A422" s="2">
        <v>16</v>
      </c>
      <c r="B422" s="1" t="s">
        <v>122</v>
      </c>
      <c r="C422" s="4">
        <v>39</v>
      </c>
      <c r="D422" s="8">
        <v>1.52</v>
      </c>
      <c r="E422" s="4">
        <v>19</v>
      </c>
      <c r="F422" s="8">
        <v>1.19</v>
      </c>
      <c r="G422" s="4">
        <v>20</v>
      </c>
      <c r="H422" s="8">
        <v>2.13</v>
      </c>
      <c r="I422" s="4">
        <v>0</v>
      </c>
    </row>
    <row r="423" spans="1:9" x14ac:dyDescent="0.2">
      <c r="A423" s="2">
        <v>18</v>
      </c>
      <c r="B423" s="1" t="s">
        <v>127</v>
      </c>
      <c r="C423" s="4">
        <v>38</v>
      </c>
      <c r="D423" s="8">
        <v>1.48</v>
      </c>
      <c r="E423" s="4">
        <v>26</v>
      </c>
      <c r="F423" s="8">
        <v>1.63</v>
      </c>
      <c r="G423" s="4">
        <v>11</v>
      </c>
      <c r="H423" s="8">
        <v>1.17</v>
      </c>
      <c r="I423" s="4">
        <v>0</v>
      </c>
    </row>
    <row r="424" spans="1:9" x14ac:dyDescent="0.2">
      <c r="A424" s="2">
        <v>19</v>
      </c>
      <c r="B424" s="1" t="s">
        <v>120</v>
      </c>
      <c r="C424" s="4">
        <v>34</v>
      </c>
      <c r="D424" s="8">
        <v>1.33</v>
      </c>
      <c r="E424" s="4">
        <v>16</v>
      </c>
      <c r="F424" s="8">
        <v>1</v>
      </c>
      <c r="G424" s="4">
        <v>18</v>
      </c>
      <c r="H424" s="8">
        <v>1.92</v>
      </c>
      <c r="I424" s="4">
        <v>0</v>
      </c>
    </row>
    <row r="425" spans="1:9" x14ac:dyDescent="0.2">
      <c r="A425" s="2">
        <v>19</v>
      </c>
      <c r="B425" s="1" t="s">
        <v>153</v>
      </c>
      <c r="C425" s="4">
        <v>34</v>
      </c>
      <c r="D425" s="8">
        <v>1.33</v>
      </c>
      <c r="E425" s="4">
        <v>27</v>
      </c>
      <c r="F425" s="8">
        <v>1.69</v>
      </c>
      <c r="G425" s="4">
        <v>7</v>
      </c>
      <c r="H425" s="8">
        <v>0.75</v>
      </c>
      <c r="I425" s="4">
        <v>0</v>
      </c>
    </row>
    <row r="426" spans="1:9" x14ac:dyDescent="0.2">
      <c r="A426" s="1"/>
      <c r="C426" s="4"/>
      <c r="D426" s="8"/>
      <c r="E426" s="4"/>
      <c r="F426" s="8"/>
      <c r="G426" s="4"/>
      <c r="H426" s="8"/>
      <c r="I426" s="4"/>
    </row>
    <row r="427" spans="1:9" x14ac:dyDescent="0.2">
      <c r="A427" s="1" t="s">
        <v>19</v>
      </c>
      <c r="C427" s="4"/>
      <c r="D427" s="8"/>
      <c r="E427" s="4"/>
      <c r="F427" s="8"/>
      <c r="G427" s="4"/>
      <c r="H427" s="8"/>
      <c r="I427" s="4"/>
    </row>
    <row r="428" spans="1:9" x14ac:dyDescent="0.2">
      <c r="A428" s="2">
        <v>1</v>
      </c>
      <c r="B428" s="1" t="s">
        <v>126</v>
      </c>
      <c r="C428" s="4">
        <v>376</v>
      </c>
      <c r="D428" s="8">
        <v>5.54</v>
      </c>
      <c r="E428" s="4">
        <v>260</v>
      </c>
      <c r="F428" s="8">
        <v>7.11</v>
      </c>
      <c r="G428" s="4">
        <v>116</v>
      </c>
      <c r="H428" s="8">
        <v>3.74</v>
      </c>
      <c r="I428" s="4">
        <v>0</v>
      </c>
    </row>
    <row r="429" spans="1:9" x14ac:dyDescent="0.2">
      <c r="A429" s="2">
        <v>2</v>
      </c>
      <c r="B429" s="1" t="s">
        <v>132</v>
      </c>
      <c r="C429" s="4">
        <v>350</v>
      </c>
      <c r="D429" s="8">
        <v>5.16</v>
      </c>
      <c r="E429" s="4">
        <v>302</v>
      </c>
      <c r="F429" s="8">
        <v>8.26</v>
      </c>
      <c r="G429" s="4">
        <v>48</v>
      </c>
      <c r="H429" s="8">
        <v>1.55</v>
      </c>
      <c r="I429" s="4">
        <v>0</v>
      </c>
    </row>
    <row r="430" spans="1:9" x14ac:dyDescent="0.2">
      <c r="A430" s="2">
        <v>3</v>
      </c>
      <c r="B430" s="1" t="s">
        <v>130</v>
      </c>
      <c r="C430" s="4">
        <v>177</v>
      </c>
      <c r="D430" s="8">
        <v>2.61</v>
      </c>
      <c r="E430" s="4">
        <v>166</v>
      </c>
      <c r="F430" s="8">
        <v>4.54</v>
      </c>
      <c r="G430" s="4">
        <v>11</v>
      </c>
      <c r="H430" s="8">
        <v>0.35</v>
      </c>
      <c r="I430" s="4">
        <v>0</v>
      </c>
    </row>
    <row r="431" spans="1:9" x14ac:dyDescent="0.2">
      <c r="A431" s="2">
        <v>4</v>
      </c>
      <c r="B431" s="1" t="s">
        <v>128</v>
      </c>
      <c r="C431" s="4">
        <v>167</v>
      </c>
      <c r="D431" s="8">
        <v>2.46</v>
      </c>
      <c r="E431" s="4">
        <v>135</v>
      </c>
      <c r="F431" s="8">
        <v>3.69</v>
      </c>
      <c r="G431" s="4">
        <v>32</v>
      </c>
      <c r="H431" s="8">
        <v>1.03</v>
      </c>
      <c r="I431" s="4">
        <v>0</v>
      </c>
    </row>
    <row r="432" spans="1:9" x14ac:dyDescent="0.2">
      <c r="A432" s="2">
        <v>5</v>
      </c>
      <c r="B432" s="1" t="s">
        <v>133</v>
      </c>
      <c r="C432" s="4">
        <v>166</v>
      </c>
      <c r="D432" s="8">
        <v>2.4500000000000002</v>
      </c>
      <c r="E432" s="4">
        <v>142</v>
      </c>
      <c r="F432" s="8">
        <v>3.88</v>
      </c>
      <c r="G432" s="4">
        <v>24</v>
      </c>
      <c r="H432" s="8">
        <v>0.77</v>
      </c>
      <c r="I432" s="4">
        <v>0</v>
      </c>
    </row>
    <row r="433" spans="1:9" x14ac:dyDescent="0.2">
      <c r="A433" s="2">
        <v>6</v>
      </c>
      <c r="B433" s="1" t="s">
        <v>131</v>
      </c>
      <c r="C433" s="4">
        <v>165</v>
      </c>
      <c r="D433" s="8">
        <v>2.4300000000000002</v>
      </c>
      <c r="E433" s="4">
        <v>158</v>
      </c>
      <c r="F433" s="8">
        <v>4.32</v>
      </c>
      <c r="G433" s="4">
        <v>7</v>
      </c>
      <c r="H433" s="8">
        <v>0.23</v>
      </c>
      <c r="I433" s="4">
        <v>0</v>
      </c>
    </row>
    <row r="434" spans="1:9" x14ac:dyDescent="0.2">
      <c r="A434" s="2">
        <v>7</v>
      </c>
      <c r="B434" s="1" t="s">
        <v>129</v>
      </c>
      <c r="C434" s="4">
        <v>160</v>
      </c>
      <c r="D434" s="8">
        <v>2.36</v>
      </c>
      <c r="E434" s="4">
        <v>148</v>
      </c>
      <c r="F434" s="8">
        <v>4.05</v>
      </c>
      <c r="G434" s="4">
        <v>12</v>
      </c>
      <c r="H434" s="8">
        <v>0.39</v>
      </c>
      <c r="I434" s="4">
        <v>0</v>
      </c>
    </row>
    <row r="435" spans="1:9" x14ac:dyDescent="0.2">
      <c r="A435" s="2">
        <v>8</v>
      </c>
      <c r="B435" s="1" t="s">
        <v>134</v>
      </c>
      <c r="C435" s="4">
        <v>159</v>
      </c>
      <c r="D435" s="8">
        <v>2.34</v>
      </c>
      <c r="E435" s="4">
        <v>143</v>
      </c>
      <c r="F435" s="8">
        <v>3.91</v>
      </c>
      <c r="G435" s="4">
        <v>16</v>
      </c>
      <c r="H435" s="8">
        <v>0.52</v>
      </c>
      <c r="I435" s="4">
        <v>0</v>
      </c>
    </row>
    <row r="436" spans="1:9" x14ac:dyDescent="0.2">
      <c r="A436" s="2">
        <v>9</v>
      </c>
      <c r="B436" s="1" t="s">
        <v>122</v>
      </c>
      <c r="C436" s="4">
        <v>157</v>
      </c>
      <c r="D436" s="8">
        <v>2.31</v>
      </c>
      <c r="E436" s="4">
        <v>102</v>
      </c>
      <c r="F436" s="8">
        <v>2.79</v>
      </c>
      <c r="G436" s="4">
        <v>55</v>
      </c>
      <c r="H436" s="8">
        <v>1.77</v>
      </c>
      <c r="I436" s="4">
        <v>0</v>
      </c>
    </row>
    <row r="437" spans="1:9" x14ac:dyDescent="0.2">
      <c r="A437" s="2">
        <v>10</v>
      </c>
      <c r="B437" s="1" t="s">
        <v>116</v>
      </c>
      <c r="C437" s="4">
        <v>153</v>
      </c>
      <c r="D437" s="8">
        <v>2.25</v>
      </c>
      <c r="E437" s="4">
        <v>35</v>
      </c>
      <c r="F437" s="8">
        <v>0.96</v>
      </c>
      <c r="G437" s="4">
        <v>118</v>
      </c>
      <c r="H437" s="8">
        <v>3.81</v>
      </c>
      <c r="I437" s="4">
        <v>0</v>
      </c>
    </row>
    <row r="438" spans="1:9" x14ac:dyDescent="0.2">
      <c r="A438" s="2">
        <v>11</v>
      </c>
      <c r="B438" s="1" t="s">
        <v>125</v>
      </c>
      <c r="C438" s="4">
        <v>149</v>
      </c>
      <c r="D438" s="8">
        <v>2.19</v>
      </c>
      <c r="E438" s="4">
        <v>45</v>
      </c>
      <c r="F438" s="8">
        <v>1.23</v>
      </c>
      <c r="G438" s="4">
        <v>104</v>
      </c>
      <c r="H438" s="8">
        <v>3.35</v>
      </c>
      <c r="I438" s="4">
        <v>0</v>
      </c>
    </row>
    <row r="439" spans="1:9" x14ac:dyDescent="0.2">
      <c r="A439" s="2">
        <v>12</v>
      </c>
      <c r="B439" s="1" t="s">
        <v>135</v>
      </c>
      <c r="C439" s="4">
        <v>133</v>
      </c>
      <c r="D439" s="8">
        <v>1.96</v>
      </c>
      <c r="E439" s="4">
        <v>105</v>
      </c>
      <c r="F439" s="8">
        <v>2.87</v>
      </c>
      <c r="G439" s="4">
        <v>28</v>
      </c>
      <c r="H439" s="8">
        <v>0.9</v>
      </c>
      <c r="I439" s="4">
        <v>0</v>
      </c>
    </row>
    <row r="440" spans="1:9" x14ac:dyDescent="0.2">
      <c r="A440" s="2">
        <v>13</v>
      </c>
      <c r="B440" s="1" t="s">
        <v>119</v>
      </c>
      <c r="C440" s="4">
        <v>123</v>
      </c>
      <c r="D440" s="8">
        <v>1.81</v>
      </c>
      <c r="E440" s="4">
        <v>43</v>
      </c>
      <c r="F440" s="8">
        <v>1.18</v>
      </c>
      <c r="G440" s="4">
        <v>80</v>
      </c>
      <c r="H440" s="8">
        <v>2.58</v>
      </c>
      <c r="I440" s="4">
        <v>0</v>
      </c>
    </row>
    <row r="441" spans="1:9" x14ac:dyDescent="0.2">
      <c r="A441" s="2">
        <v>14</v>
      </c>
      <c r="B441" s="1" t="s">
        <v>123</v>
      </c>
      <c r="C441" s="4">
        <v>111</v>
      </c>
      <c r="D441" s="8">
        <v>1.63</v>
      </c>
      <c r="E441" s="4">
        <v>54</v>
      </c>
      <c r="F441" s="8">
        <v>1.48</v>
      </c>
      <c r="G441" s="4">
        <v>57</v>
      </c>
      <c r="H441" s="8">
        <v>1.84</v>
      </c>
      <c r="I441" s="4">
        <v>0</v>
      </c>
    </row>
    <row r="442" spans="1:9" x14ac:dyDescent="0.2">
      <c r="A442" s="2">
        <v>15</v>
      </c>
      <c r="B442" s="1" t="s">
        <v>117</v>
      </c>
      <c r="C442" s="4">
        <v>110</v>
      </c>
      <c r="D442" s="8">
        <v>1.62</v>
      </c>
      <c r="E442" s="4">
        <v>20</v>
      </c>
      <c r="F442" s="8">
        <v>0.55000000000000004</v>
      </c>
      <c r="G442" s="4">
        <v>90</v>
      </c>
      <c r="H442" s="8">
        <v>2.9</v>
      </c>
      <c r="I442" s="4">
        <v>0</v>
      </c>
    </row>
    <row r="443" spans="1:9" x14ac:dyDescent="0.2">
      <c r="A443" s="2">
        <v>15</v>
      </c>
      <c r="B443" s="1" t="s">
        <v>124</v>
      </c>
      <c r="C443" s="4">
        <v>110</v>
      </c>
      <c r="D443" s="8">
        <v>1.62</v>
      </c>
      <c r="E443" s="4">
        <v>69</v>
      </c>
      <c r="F443" s="8">
        <v>1.89</v>
      </c>
      <c r="G443" s="4">
        <v>41</v>
      </c>
      <c r="H443" s="8">
        <v>1.32</v>
      </c>
      <c r="I443" s="4">
        <v>0</v>
      </c>
    </row>
    <row r="444" spans="1:9" x14ac:dyDescent="0.2">
      <c r="A444" s="2">
        <v>17</v>
      </c>
      <c r="B444" s="1" t="s">
        <v>120</v>
      </c>
      <c r="C444" s="4">
        <v>108</v>
      </c>
      <c r="D444" s="8">
        <v>1.59</v>
      </c>
      <c r="E444" s="4">
        <v>33</v>
      </c>
      <c r="F444" s="8">
        <v>0.9</v>
      </c>
      <c r="G444" s="4">
        <v>75</v>
      </c>
      <c r="H444" s="8">
        <v>2.42</v>
      </c>
      <c r="I444" s="4">
        <v>0</v>
      </c>
    </row>
    <row r="445" spans="1:9" x14ac:dyDescent="0.2">
      <c r="A445" s="2">
        <v>18</v>
      </c>
      <c r="B445" s="1" t="s">
        <v>153</v>
      </c>
      <c r="C445" s="4">
        <v>107</v>
      </c>
      <c r="D445" s="8">
        <v>1.58</v>
      </c>
      <c r="E445" s="4">
        <v>81</v>
      </c>
      <c r="F445" s="8">
        <v>2.21</v>
      </c>
      <c r="G445" s="4">
        <v>26</v>
      </c>
      <c r="H445" s="8">
        <v>0.84</v>
      </c>
      <c r="I445" s="4">
        <v>0</v>
      </c>
    </row>
    <row r="446" spans="1:9" x14ac:dyDescent="0.2">
      <c r="A446" s="2">
        <v>19</v>
      </c>
      <c r="B446" s="1" t="s">
        <v>118</v>
      </c>
      <c r="C446" s="4">
        <v>104</v>
      </c>
      <c r="D446" s="8">
        <v>1.53</v>
      </c>
      <c r="E446" s="4">
        <v>57</v>
      </c>
      <c r="F446" s="8">
        <v>1.56</v>
      </c>
      <c r="G446" s="4">
        <v>47</v>
      </c>
      <c r="H446" s="8">
        <v>1.52</v>
      </c>
      <c r="I446" s="4">
        <v>0</v>
      </c>
    </row>
    <row r="447" spans="1:9" x14ac:dyDescent="0.2">
      <c r="A447" s="2">
        <v>20</v>
      </c>
      <c r="B447" s="1" t="s">
        <v>121</v>
      </c>
      <c r="C447" s="4">
        <v>94</v>
      </c>
      <c r="D447" s="8">
        <v>1.38</v>
      </c>
      <c r="E447" s="4">
        <v>62</v>
      </c>
      <c r="F447" s="8">
        <v>1.69</v>
      </c>
      <c r="G447" s="4">
        <v>32</v>
      </c>
      <c r="H447" s="8">
        <v>1.03</v>
      </c>
      <c r="I447" s="4">
        <v>0</v>
      </c>
    </row>
    <row r="448" spans="1:9" x14ac:dyDescent="0.2">
      <c r="A448" s="1"/>
      <c r="C448" s="4"/>
      <c r="D448" s="8"/>
      <c r="E448" s="4"/>
      <c r="F448" s="8"/>
      <c r="G448" s="4"/>
      <c r="H448" s="8"/>
      <c r="I448" s="4"/>
    </row>
    <row r="449" spans="1:9" x14ac:dyDescent="0.2">
      <c r="A449" s="1" t="s">
        <v>20</v>
      </c>
      <c r="C449" s="4"/>
      <c r="D449" s="8"/>
      <c r="E449" s="4"/>
      <c r="F449" s="8"/>
      <c r="G449" s="4"/>
      <c r="H449" s="8"/>
      <c r="I449" s="4"/>
    </row>
    <row r="450" spans="1:9" x14ac:dyDescent="0.2">
      <c r="A450" s="2">
        <v>1</v>
      </c>
      <c r="B450" s="1" t="s">
        <v>132</v>
      </c>
      <c r="C450" s="4">
        <v>189</v>
      </c>
      <c r="D450" s="8">
        <v>5.36</v>
      </c>
      <c r="E450" s="4">
        <v>163</v>
      </c>
      <c r="F450" s="8">
        <v>8.92</v>
      </c>
      <c r="G450" s="4">
        <v>26</v>
      </c>
      <c r="H450" s="8">
        <v>1.61</v>
      </c>
      <c r="I450" s="4">
        <v>0</v>
      </c>
    </row>
    <row r="451" spans="1:9" x14ac:dyDescent="0.2">
      <c r="A451" s="2">
        <v>2</v>
      </c>
      <c r="B451" s="1" t="s">
        <v>126</v>
      </c>
      <c r="C451" s="4">
        <v>177</v>
      </c>
      <c r="D451" s="8">
        <v>5.0199999999999996</v>
      </c>
      <c r="E451" s="4">
        <v>113</v>
      </c>
      <c r="F451" s="8">
        <v>6.18</v>
      </c>
      <c r="G451" s="4">
        <v>64</v>
      </c>
      <c r="H451" s="8">
        <v>3.98</v>
      </c>
      <c r="I451" s="4">
        <v>0</v>
      </c>
    </row>
    <row r="452" spans="1:9" x14ac:dyDescent="0.2">
      <c r="A452" s="2">
        <v>3</v>
      </c>
      <c r="B452" s="1" t="s">
        <v>131</v>
      </c>
      <c r="C452" s="4">
        <v>106</v>
      </c>
      <c r="D452" s="8">
        <v>3</v>
      </c>
      <c r="E452" s="4">
        <v>102</v>
      </c>
      <c r="F452" s="8">
        <v>5.58</v>
      </c>
      <c r="G452" s="4">
        <v>4</v>
      </c>
      <c r="H452" s="8">
        <v>0.25</v>
      </c>
      <c r="I452" s="4">
        <v>0</v>
      </c>
    </row>
    <row r="453" spans="1:9" x14ac:dyDescent="0.2">
      <c r="A453" s="2">
        <v>4</v>
      </c>
      <c r="B453" s="1" t="s">
        <v>122</v>
      </c>
      <c r="C453" s="4">
        <v>93</v>
      </c>
      <c r="D453" s="8">
        <v>2.64</v>
      </c>
      <c r="E453" s="4">
        <v>46</v>
      </c>
      <c r="F453" s="8">
        <v>2.52</v>
      </c>
      <c r="G453" s="4">
        <v>47</v>
      </c>
      <c r="H453" s="8">
        <v>2.92</v>
      </c>
      <c r="I453" s="4">
        <v>0</v>
      </c>
    </row>
    <row r="454" spans="1:9" x14ac:dyDescent="0.2">
      <c r="A454" s="2">
        <v>5</v>
      </c>
      <c r="B454" s="1" t="s">
        <v>134</v>
      </c>
      <c r="C454" s="4">
        <v>91</v>
      </c>
      <c r="D454" s="8">
        <v>2.58</v>
      </c>
      <c r="E454" s="4">
        <v>82</v>
      </c>
      <c r="F454" s="8">
        <v>4.49</v>
      </c>
      <c r="G454" s="4">
        <v>9</v>
      </c>
      <c r="H454" s="8">
        <v>0.56000000000000005</v>
      </c>
      <c r="I454" s="4">
        <v>0</v>
      </c>
    </row>
    <row r="455" spans="1:9" x14ac:dyDescent="0.2">
      <c r="A455" s="2">
        <v>6</v>
      </c>
      <c r="B455" s="1" t="s">
        <v>133</v>
      </c>
      <c r="C455" s="4">
        <v>78</v>
      </c>
      <c r="D455" s="8">
        <v>2.21</v>
      </c>
      <c r="E455" s="4">
        <v>62</v>
      </c>
      <c r="F455" s="8">
        <v>3.39</v>
      </c>
      <c r="G455" s="4">
        <v>16</v>
      </c>
      <c r="H455" s="8">
        <v>0.99</v>
      </c>
      <c r="I455" s="4">
        <v>0</v>
      </c>
    </row>
    <row r="456" spans="1:9" x14ac:dyDescent="0.2">
      <c r="A456" s="2">
        <v>7</v>
      </c>
      <c r="B456" s="1" t="s">
        <v>128</v>
      </c>
      <c r="C456" s="4">
        <v>74</v>
      </c>
      <c r="D456" s="8">
        <v>2.1</v>
      </c>
      <c r="E456" s="4">
        <v>64</v>
      </c>
      <c r="F456" s="8">
        <v>3.5</v>
      </c>
      <c r="G456" s="4">
        <v>10</v>
      </c>
      <c r="H456" s="8">
        <v>0.62</v>
      </c>
      <c r="I456" s="4">
        <v>0</v>
      </c>
    </row>
    <row r="457" spans="1:9" x14ac:dyDescent="0.2">
      <c r="A457" s="2">
        <v>8</v>
      </c>
      <c r="B457" s="1" t="s">
        <v>116</v>
      </c>
      <c r="C457" s="4">
        <v>65</v>
      </c>
      <c r="D457" s="8">
        <v>1.84</v>
      </c>
      <c r="E457" s="4">
        <v>14</v>
      </c>
      <c r="F457" s="8">
        <v>0.77</v>
      </c>
      <c r="G457" s="4">
        <v>51</v>
      </c>
      <c r="H457" s="8">
        <v>3.17</v>
      </c>
      <c r="I457" s="4">
        <v>0</v>
      </c>
    </row>
    <row r="458" spans="1:9" x14ac:dyDescent="0.2">
      <c r="A458" s="2">
        <v>9</v>
      </c>
      <c r="B458" s="1" t="s">
        <v>118</v>
      </c>
      <c r="C458" s="4">
        <v>64</v>
      </c>
      <c r="D458" s="8">
        <v>1.81</v>
      </c>
      <c r="E458" s="4">
        <v>40</v>
      </c>
      <c r="F458" s="8">
        <v>2.19</v>
      </c>
      <c r="G458" s="4">
        <v>24</v>
      </c>
      <c r="H458" s="8">
        <v>1.49</v>
      </c>
      <c r="I458" s="4">
        <v>0</v>
      </c>
    </row>
    <row r="459" spans="1:9" x14ac:dyDescent="0.2">
      <c r="A459" s="2">
        <v>10</v>
      </c>
      <c r="B459" s="1" t="s">
        <v>164</v>
      </c>
      <c r="C459" s="4">
        <v>61</v>
      </c>
      <c r="D459" s="8">
        <v>1.73</v>
      </c>
      <c r="E459" s="4">
        <v>0</v>
      </c>
      <c r="F459" s="8">
        <v>0</v>
      </c>
      <c r="G459" s="4">
        <v>6</v>
      </c>
      <c r="H459" s="8">
        <v>0.37</v>
      </c>
      <c r="I459" s="4">
        <v>0</v>
      </c>
    </row>
    <row r="460" spans="1:9" x14ac:dyDescent="0.2">
      <c r="A460" s="2">
        <v>11</v>
      </c>
      <c r="B460" s="1" t="s">
        <v>129</v>
      </c>
      <c r="C460" s="4">
        <v>57</v>
      </c>
      <c r="D460" s="8">
        <v>1.62</v>
      </c>
      <c r="E460" s="4">
        <v>54</v>
      </c>
      <c r="F460" s="8">
        <v>2.95</v>
      </c>
      <c r="G460" s="4">
        <v>3</v>
      </c>
      <c r="H460" s="8">
        <v>0.19</v>
      </c>
      <c r="I460" s="4">
        <v>0</v>
      </c>
    </row>
    <row r="461" spans="1:9" x14ac:dyDescent="0.2">
      <c r="A461" s="2">
        <v>12</v>
      </c>
      <c r="B461" s="1" t="s">
        <v>121</v>
      </c>
      <c r="C461" s="4">
        <v>55</v>
      </c>
      <c r="D461" s="8">
        <v>1.56</v>
      </c>
      <c r="E461" s="4">
        <v>34</v>
      </c>
      <c r="F461" s="8">
        <v>1.86</v>
      </c>
      <c r="G461" s="4">
        <v>21</v>
      </c>
      <c r="H461" s="8">
        <v>1.3</v>
      </c>
      <c r="I461" s="4">
        <v>0</v>
      </c>
    </row>
    <row r="462" spans="1:9" x14ac:dyDescent="0.2">
      <c r="A462" s="2">
        <v>13</v>
      </c>
      <c r="B462" s="1" t="s">
        <v>117</v>
      </c>
      <c r="C462" s="4">
        <v>54</v>
      </c>
      <c r="D462" s="8">
        <v>1.53</v>
      </c>
      <c r="E462" s="4">
        <v>15</v>
      </c>
      <c r="F462" s="8">
        <v>0.82</v>
      </c>
      <c r="G462" s="4">
        <v>39</v>
      </c>
      <c r="H462" s="8">
        <v>2.42</v>
      </c>
      <c r="I462" s="4">
        <v>0</v>
      </c>
    </row>
    <row r="463" spans="1:9" x14ac:dyDescent="0.2">
      <c r="A463" s="2">
        <v>13</v>
      </c>
      <c r="B463" s="1" t="s">
        <v>130</v>
      </c>
      <c r="C463" s="4">
        <v>54</v>
      </c>
      <c r="D463" s="8">
        <v>1.53</v>
      </c>
      <c r="E463" s="4">
        <v>51</v>
      </c>
      <c r="F463" s="8">
        <v>2.79</v>
      </c>
      <c r="G463" s="4">
        <v>3</v>
      </c>
      <c r="H463" s="8">
        <v>0.19</v>
      </c>
      <c r="I463" s="4">
        <v>0</v>
      </c>
    </row>
    <row r="464" spans="1:9" x14ac:dyDescent="0.2">
      <c r="A464" s="2">
        <v>13</v>
      </c>
      <c r="B464" s="1" t="s">
        <v>135</v>
      </c>
      <c r="C464" s="4">
        <v>54</v>
      </c>
      <c r="D464" s="8">
        <v>1.53</v>
      </c>
      <c r="E464" s="4">
        <v>36</v>
      </c>
      <c r="F464" s="8">
        <v>1.97</v>
      </c>
      <c r="G464" s="4">
        <v>18</v>
      </c>
      <c r="H464" s="8">
        <v>1.1200000000000001</v>
      </c>
      <c r="I464" s="4">
        <v>0</v>
      </c>
    </row>
    <row r="465" spans="1:9" x14ac:dyDescent="0.2">
      <c r="A465" s="2">
        <v>16</v>
      </c>
      <c r="B465" s="1" t="s">
        <v>120</v>
      </c>
      <c r="C465" s="4">
        <v>53</v>
      </c>
      <c r="D465" s="8">
        <v>1.5</v>
      </c>
      <c r="E465" s="4">
        <v>15</v>
      </c>
      <c r="F465" s="8">
        <v>0.82</v>
      </c>
      <c r="G465" s="4">
        <v>38</v>
      </c>
      <c r="H465" s="8">
        <v>2.36</v>
      </c>
      <c r="I465" s="4">
        <v>0</v>
      </c>
    </row>
    <row r="466" spans="1:9" x14ac:dyDescent="0.2">
      <c r="A466" s="2">
        <v>17</v>
      </c>
      <c r="B466" s="1" t="s">
        <v>153</v>
      </c>
      <c r="C466" s="4">
        <v>50</v>
      </c>
      <c r="D466" s="8">
        <v>1.42</v>
      </c>
      <c r="E466" s="4">
        <v>41</v>
      </c>
      <c r="F466" s="8">
        <v>2.2400000000000002</v>
      </c>
      <c r="G466" s="4">
        <v>9</v>
      </c>
      <c r="H466" s="8">
        <v>0.56000000000000005</v>
      </c>
      <c r="I466" s="4">
        <v>0</v>
      </c>
    </row>
    <row r="467" spans="1:9" x14ac:dyDescent="0.2">
      <c r="A467" s="2">
        <v>18</v>
      </c>
      <c r="B467" s="1" t="s">
        <v>145</v>
      </c>
      <c r="C467" s="4">
        <v>49</v>
      </c>
      <c r="D467" s="8">
        <v>1.39</v>
      </c>
      <c r="E467" s="4">
        <v>19</v>
      </c>
      <c r="F467" s="8">
        <v>1.04</v>
      </c>
      <c r="G467" s="4">
        <v>30</v>
      </c>
      <c r="H467" s="8">
        <v>1.86</v>
      </c>
      <c r="I467" s="4">
        <v>0</v>
      </c>
    </row>
    <row r="468" spans="1:9" x14ac:dyDescent="0.2">
      <c r="A468" s="2">
        <v>19</v>
      </c>
      <c r="B468" s="1" t="s">
        <v>119</v>
      </c>
      <c r="C468" s="4">
        <v>44</v>
      </c>
      <c r="D468" s="8">
        <v>1.25</v>
      </c>
      <c r="E468" s="4">
        <v>16</v>
      </c>
      <c r="F468" s="8">
        <v>0.88</v>
      </c>
      <c r="G468" s="4">
        <v>28</v>
      </c>
      <c r="H468" s="8">
        <v>1.74</v>
      </c>
      <c r="I468" s="4">
        <v>0</v>
      </c>
    </row>
    <row r="469" spans="1:9" x14ac:dyDescent="0.2">
      <c r="A469" s="2">
        <v>20</v>
      </c>
      <c r="B469" s="1" t="s">
        <v>155</v>
      </c>
      <c r="C469" s="4">
        <v>43</v>
      </c>
      <c r="D469" s="8">
        <v>1.22</v>
      </c>
      <c r="E469" s="4">
        <v>20</v>
      </c>
      <c r="F469" s="8">
        <v>1.0900000000000001</v>
      </c>
      <c r="G469" s="4">
        <v>23</v>
      </c>
      <c r="H469" s="8">
        <v>1.43</v>
      </c>
      <c r="I469" s="4">
        <v>0</v>
      </c>
    </row>
    <row r="470" spans="1:9" x14ac:dyDescent="0.2">
      <c r="A470" s="2">
        <v>20</v>
      </c>
      <c r="B470" s="1" t="s">
        <v>125</v>
      </c>
      <c r="C470" s="4">
        <v>43</v>
      </c>
      <c r="D470" s="8">
        <v>1.22</v>
      </c>
      <c r="E470" s="4">
        <v>7</v>
      </c>
      <c r="F470" s="8">
        <v>0.38</v>
      </c>
      <c r="G470" s="4">
        <v>36</v>
      </c>
      <c r="H470" s="8">
        <v>2.2400000000000002</v>
      </c>
      <c r="I470" s="4">
        <v>0</v>
      </c>
    </row>
    <row r="471" spans="1:9" x14ac:dyDescent="0.2">
      <c r="A471" s="1"/>
      <c r="C471" s="4"/>
      <c r="D471" s="8"/>
      <c r="E471" s="4"/>
      <c r="F471" s="8"/>
      <c r="G471" s="4"/>
      <c r="H471" s="8"/>
      <c r="I471" s="4"/>
    </row>
    <row r="472" spans="1:9" x14ac:dyDescent="0.2">
      <c r="A472" s="1" t="s">
        <v>21</v>
      </c>
      <c r="C472" s="4"/>
      <c r="D472" s="8"/>
      <c r="E472" s="4"/>
      <c r="F472" s="8"/>
      <c r="G472" s="4"/>
      <c r="H472" s="8"/>
      <c r="I472" s="4"/>
    </row>
    <row r="473" spans="1:9" x14ac:dyDescent="0.2">
      <c r="A473" s="2">
        <v>1</v>
      </c>
      <c r="B473" s="1" t="s">
        <v>132</v>
      </c>
      <c r="C473" s="4">
        <v>209</v>
      </c>
      <c r="D473" s="8">
        <v>5.76</v>
      </c>
      <c r="E473" s="4">
        <v>185</v>
      </c>
      <c r="F473" s="8">
        <v>9.06</v>
      </c>
      <c r="G473" s="4">
        <v>24</v>
      </c>
      <c r="H473" s="8">
        <v>1.52</v>
      </c>
      <c r="I473" s="4">
        <v>0</v>
      </c>
    </row>
    <row r="474" spans="1:9" x14ac:dyDescent="0.2">
      <c r="A474" s="2">
        <v>2</v>
      </c>
      <c r="B474" s="1" t="s">
        <v>126</v>
      </c>
      <c r="C474" s="4">
        <v>118</v>
      </c>
      <c r="D474" s="8">
        <v>3.25</v>
      </c>
      <c r="E474" s="4">
        <v>84</v>
      </c>
      <c r="F474" s="8">
        <v>4.12</v>
      </c>
      <c r="G474" s="4">
        <v>34</v>
      </c>
      <c r="H474" s="8">
        <v>2.15</v>
      </c>
      <c r="I474" s="4">
        <v>0</v>
      </c>
    </row>
    <row r="475" spans="1:9" x14ac:dyDescent="0.2">
      <c r="A475" s="2">
        <v>3</v>
      </c>
      <c r="B475" s="1" t="s">
        <v>129</v>
      </c>
      <c r="C475" s="4">
        <v>108</v>
      </c>
      <c r="D475" s="8">
        <v>2.97</v>
      </c>
      <c r="E475" s="4">
        <v>105</v>
      </c>
      <c r="F475" s="8">
        <v>5.14</v>
      </c>
      <c r="G475" s="4">
        <v>3</v>
      </c>
      <c r="H475" s="8">
        <v>0.19</v>
      </c>
      <c r="I475" s="4">
        <v>0</v>
      </c>
    </row>
    <row r="476" spans="1:9" x14ac:dyDescent="0.2">
      <c r="A476" s="2">
        <v>4</v>
      </c>
      <c r="B476" s="1" t="s">
        <v>131</v>
      </c>
      <c r="C476" s="4">
        <v>105</v>
      </c>
      <c r="D476" s="8">
        <v>2.89</v>
      </c>
      <c r="E476" s="4">
        <v>103</v>
      </c>
      <c r="F476" s="8">
        <v>5.05</v>
      </c>
      <c r="G476" s="4">
        <v>2</v>
      </c>
      <c r="H476" s="8">
        <v>0.13</v>
      </c>
      <c r="I476" s="4">
        <v>0</v>
      </c>
    </row>
    <row r="477" spans="1:9" x14ac:dyDescent="0.2">
      <c r="A477" s="2">
        <v>5</v>
      </c>
      <c r="B477" s="1" t="s">
        <v>133</v>
      </c>
      <c r="C477" s="4">
        <v>104</v>
      </c>
      <c r="D477" s="8">
        <v>2.86</v>
      </c>
      <c r="E477" s="4">
        <v>92</v>
      </c>
      <c r="F477" s="8">
        <v>4.51</v>
      </c>
      <c r="G477" s="4">
        <v>11</v>
      </c>
      <c r="H477" s="8">
        <v>0.69</v>
      </c>
      <c r="I477" s="4">
        <v>1</v>
      </c>
    </row>
    <row r="478" spans="1:9" x14ac:dyDescent="0.2">
      <c r="A478" s="2">
        <v>6</v>
      </c>
      <c r="B478" s="1" t="s">
        <v>165</v>
      </c>
      <c r="C478" s="4">
        <v>91</v>
      </c>
      <c r="D478" s="8">
        <v>2.5099999999999998</v>
      </c>
      <c r="E478" s="4">
        <v>19</v>
      </c>
      <c r="F478" s="8">
        <v>0.93</v>
      </c>
      <c r="G478" s="4">
        <v>72</v>
      </c>
      <c r="H478" s="8">
        <v>4.55</v>
      </c>
      <c r="I478" s="4">
        <v>0</v>
      </c>
    </row>
    <row r="479" spans="1:9" x14ac:dyDescent="0.2">
      <c r="A479" s="2">
        <v>6</v>
      </c>
      <c r="B479" s="1" t="s">
        <v>122</v>
      </c>
      <c r="C479" s="4">
        <v>91</v>
      </c>
      <c r="D479" s="8">
        <v>2.5099999999999998</v>
      </c>
      <c r="E479" s="4">
        <v>53</v>
      </c>
      <c r="F479" s="8">
        <v>2.6</v>
      </c>
      <c r="G479" s="4">
        <v>38</v>
      </c>
      <c r="H479" s="8">
        <v>2.4</v>
      </c>
      <c r="I479" s="4">
        <v>0</v>
      </c>
    </row>
    <row r="480" spans="1:9" x14ac:dyDescent="0.2">
      <c r="A480" s="2">
        <v>8</v>
      </c>
      <c r="B480" s="1" t="s">
        <v>128</v>
      </c>
      <c r="C480" s="4">
        <v>87</v>
      </c>
      <c r="D480" s="8">
        <v>2.4</v>
      </c>
      <c r="E480" s="4">
        <v>74</v>
      </c>
      <c r="F480" s="8">
        <v>3.63</v>
      </c>
      <c r="G480" s="4">
        <v>13</v>
      </c>
      <c r="H480" s="8">
        <v>0.82</v>
      </c>
      <c r="I480" s="4">
        <v>0</v>
      </c>
    </row>
    <row r="481" spans="1:9" x14ac:dyDescent="0.2">
      <c r="A481" s="2">
        <v>8</v>
      </c>
      <c r="B481" s="1" t="s">
        <v>134</v>
      </c>
      <c r="C481" s="4">
        <v>87</v>
      </c>
      <c r="D481" s="8">
        <v>2.4</v>
      </c>
      <c r="E481" s="4">
        <v>74</v>
      </c>
      <c r="F481" s="8">
        <v>3.63</v>
      </c>
      <c r="G481" s="4">
        <v>13</v>
      </c>
      <c r="H481" s="8">
        <v>0.82</v>
      </c>
      <c r="I481" s="4">
        <v>0</v>
      </c>
    </row>
    <row r="482" spans="1:9" x14ac:dyDescent="0.2">
      <c r="A482" s="2">
        <v>10</v>
      </c>
      <c r="B482" s="1" t="s">
        <v>121</v>
      </c>
      <c r="C482" s="4">
        <v>76</v>
      </c>
      <c r="D482" s="8">
        <v>2.09</v>
      </c>
      <c r="E482" s="4">
        <v>50</v>
      </c>
      <c r="F482" s="8">
        <v>2.4500000000000002</v>
      </c>
      <c r="G482" s="4">
        <v>26</v>
      </c>
      <c r="H482" s="8">
        <v>1.64</v>
      </c>
      <c r="I482" s="4">
        <v>0</v>
      </c>
    </row>
    <row r="483" spans="1:9" x14ac:dyDescent="0.2">
      <c r="A483" s="2">
        <v>11</v>
      </c>
      <c r="B483" s="1" t="s">
        <v>124</v>
      </c>
      <c r="C483" s="4">
        <v>71</v>
      </c>
      <c r="D483" s="8">
        <v>1.96</v>
      </c>
      <c r="E483" s="4">
        <v>41</v>
      </c>
      <c r="F483" s="8">
        <v>2.0099999999999998</v>
      </c>
      <c r="G483" s="4">
        <v>30</v>
      </c>
      <c r="H483" s="8">
        <v>1.9</v>
      </c>
      <c r="I483" s="4">
        <v>0</v>
      </c>
    </row>
    <row r="484" spans="1:9" x14ac:dyDescent="0.2">
      <c r="A484" s="2">
        <v>12</v>
      </c>
      <c r="B484" s="1" t="s">
        <v>136</v>
      </c>
      <c r="C484" s="4">
        <v>64</v>
      </c>
      <c r="D484" s="8">
        <v>1.76</v>
      </c>
      <c r="E484" s="4">
        <v>57</v>
      </c>
      <c r="F484" s="8">
        <v>2.79</v>
      </c>
      <c r="G484" s="4">
        <v>7</v>
      </c>
      <c r="H484" s="8">
        <v>0.44</v>
      </c>
      <c r="I484" s="4">
        <v>0</v>
      </c>
    </row>
    <row r="485" spans="1:9" x14ac:dyDescent="0.2">
      <c r="A485" s="2">
        <v>13</v>
      </c>
      <c r="B485" s="1" t="s">
        <v>119</v>
      </c>
      <c r="C485" s="4">
        <v>61</v>
      </c>
      <c r="D485" s="8">
        <v>1.68</v>
      </c>
      <c r="E485" s="4">
        <v>32</v>
      </c>
      <c r="F485" s="8">
        <v>1.57</v>
      </c>
      <c r="G485" s="4">
        <v>29</v>
      </c>
      <c r="H485" s="8">
        <v>1.83</v>
      </c>
      <c r="I485" s="4">
        <v>0</v>
      </c>
    </row>
    <row r="486" spans="1:9" x14ac:dyDescent="0.2">
      <c r="A486" s="2">
        <v>14</v>
      </c>
      <c r="B486" s="1" t="s">
        <v>116</v>
      </c>
      <c r="C486" s="4">
        <v>59</v>
      </c>
      <c r="D486" s="8">
        <v>1.62</v>
      </c>
      <c r="E486" s="4">
        <v>17</v>
      </c>
      <c r="F486" s="8">
        <v>0.83</v>
      </c>
      <c r="G486" s="4">
        <v>42</v>
      </c>
      <c r="H486" s="8">
        <v>2.65</v>
      </c>
      <c r="I486" s="4">
        <v>0</v>
      </c>
    </row>
    <row r="487" spans="1:9" x14ac:dyDescent="0.2">
      <c r="A487" s="2">
        <v>15</v>
      </c>
      <c r="B487" s="1" t="s">
        <v>118</v>
      </c>
      <c r="C487" s="4">
        <v>55</v>
      </c>
      <c r="D487" s="8">
        <v>1.51</v>
      </c>
      <c r="E487" s="4">
        <v>31</v>
      </c>
      <c r="F487" s="8">
        <v>1.52</v>
      </c>
      <c r="G487" s="4">
        <v>24</v>
      </c>
      <c r="H487" s="8">
        <v>1.52</v>
      </c>
      <c r="I487" s="4">
        <v>0</v>
      </c>
    </row>
    <row r="488" spans="1:9" x14ac:dyDescent="0.2">
      <c r="A488" s="2">
        <v>16</v>
      </c>
      <c r="B488" s="1" t="s">
        <v>166</v>
      </c>
      <c r="C488" s="4">
        <v>52</v>
      </c>
      <c r="D488" s="8">
        <v>1.43</v>
      </c>
      <c r="E488" s="4">
        <v>9</v>
      </c>
      <c r="F488" s="8">
        <v>0.44</v>
      </c>
      <c r="G488" s="4">
        <v>43</v>
      </c>
      <c r="H488" s="8">
        <v>2.72</v>
      </c>
      <c r="I488" s="4">
        <v>0</v>
      </c>
    </row>
    <row r="489" spans="1:9" x14ac:dyDescent="0.2">
      <c r="A489" s="2">
        <v>16</v>
      </c>
      <c r="B489" s="1" t="s">
        <v>123</v>
      </c>
      <c r="C489" s="4">
        <v>52</v>
      </c>
      <c r="D489" s="8">
        <v>1.43</v>
      </c>
      <c r="E489" s="4">
        <v>16</v>
      </c>
      <c r="F489" s="8">
        <v>0.78</v>
      </c>
      <c r="G489" s="4">
        <v>36</v>
      </c>
      <c r="H489" s="8">
        <v>2.27</v>
      </c>
      <c r="I489" s="4">
        <v>0</v>
      </c>
    </row>
    <row r="490" spans="1:9" x14ac:dyDescent="0.2">
      <c r="A490" s="2">
        <v>16</v>
      </c>
      <c r="B490" s="1" t="s">
        <v>153</v>
      </c>
      <c r="C490" s="4">
        <v>52</v>
      </c>
      <c r="D490" s="8">
        <v>1.43</v>
      </c>
      <c r="E490" s="4">
        <v>44</v>
      </c>
      <c r="F490" s="8">
        <v>2.16</v>
      </c>
      <c r="G490" s="4">
        <v>8</v>
      </c>
      <c r="H490" s="8">
        <v>0.51</v>
      </c>
      <c r="I490" s="4">
        <v>0</v>
      </c>
    </row>
    <row r="491" spans="1:9" x14ac:dyDescent="0.2">
      <c r="A491" s="2">
        <v>19</v>
      </c>
      <c r="B491" s="1" t="s">
        <v>120</v>
      </c>
      <c r="C491" s="4">
        <v>48</v>
      </c>
      <c r="D491" s="8">
        <v>1.32</v>
      </c>
      <c r="E491" s="4">
        <v>14</v>
      </c>
      <c r="F491" s="8">
        <v>0.69</v>
      </c>
      <c r="G491" s="4">
        <v>34</v>
      </c>
      <c r="H491" s="8">
        <v>2.15</v>
      </c>
      <c r="I491" s="4">
        <v>0</v>
      </c>
    </row>
    <row r="492" spans="1:9" x14ac:dyDescent="0.2">
      <c r="A492" s="2">
        <v>20</v>
      </c>
      <c r="B492" s="1" t="s">
        <v>125</v>
      </c>
      <c r="C492" s="4">
        <v>45</v>
      </c>
      <c r="D492" s="8">
        <v>1.24</v>
      </c>
      <c r="E492" s="4">
        <v>9</v>
      </c>
      <c r="F492" s="8">
        <v>0.44</v>
      </c>
      <c r="G492" s="4">
        <v>36</v>
      </c>
      <c r="H492" s="8">
        <v>2.27</v>
      </c>
      <c r="I492" s="4">
        <v>0</v>
      </c>
    </row>
    <row r="493" spans="1:9" x14ac:dyDescent="0.2">
      <c r="A493" s="1"/>
      <c r="C493" s="4"/>
      <c r="D493" s="8"/>
      <c r="E493" s="4"/>
      <c r="F493" s="8"/>
      <c r="G493" s="4"/>
      <c r="H493" s="8"/>
      <c r="I493" s="4"/>
    </row>
    <row r="494" spans="1:9" x14ac:dyDescent="0.2">
      <c r="A494" s="1" t="s">
        <v>22</v>
      </c>
      <c r="C494" s="4"/>
      <c r="D494" s="8"/>
      <c r="E494" s="4"/>
      <c r="F494" s="8"/>
      <c r="G494" s="4"/>
      <c r="H494" s="8"/>
      <c r="I494" s="4"/>
    </row>
    <row r="495" spans="1:9" x14ac:dyDescent="0.2">
      <c r="A495" s="2">
        <v>1</v>
      </c>
      <c r="B495" s="1" t="s">
        <v>132</v>
      </c>
      <c r="C495" s="4">
        <v>147</v>
      </c>
      <c r="D495" s="8">
        <v>5.84</v>
      </c>
      <c r="E495" s="4">
        <v>129</v>
      </c>
      <c r="F495" s="8">
        <v>9.23</v>
      </c>
      <c r="G495" s="4">
        <v>18</v>
      </c>
      <c r="H495" s="8">
        <v>1.64</v>
      </c>
      <c r="I495" s="4">
        <v>0</v>
      </c>
    </row>
    <row r="496" spans="1:9" x14ac:dyDescent="0.2">
      <c r="A496" s="2">
        <v>2</v>
      </c>
      <c r="B496" s="1" t="s">
        <v>129</v>
      </c>
      <c r="C496" s="4">
        <v>95</v>
      </c>
      <c r="D496" s="8">
        <v>3.78</v>
      </c>
      <c r="E496" s="4">
        <v>80</v>
      </c>
      <c r="F496" s="8">
        <v>5.72</v>
      </c>
      <c r="G496" s="4">
        <v>15</v>
      </c>
      <c r="H496" s="8">
        <v>1.36</v>
      </c>
      <c r="I496" s="4">
        <v>0</v>
      </c>
    </row>
    <row r="497" spans="1:9" x14ac:dyDescent="0.2">
      <c r="A497" s="2">
        <v>3</v>
      </c>
      <c r="B497" s="1" t="s">
        <v>131</v>
      </c>
      <c r="C497" s="4">
        <v>82</v>
      </c>
      <c r="D497" s="8">
        <v>3.26</v>
      </c>
      <c r="E497" s="4">
        <v>78</v>
      </c>
      <c r="F497" s="8">
        <v>5.58</v>
      </c>
      <c r="G497" s="4">
        <v>4</v>
      </c>
      <c r="H497" s="8">
        <v>0.36</v>
      </c>
      <c r="I497" s="4">
        <v>0</v>
      </c>
    </row>
    <row r="498" spans="1:9" x14ac:dyDescent="0.2">
      <c r="A498" s="2">
        <v>4</v>
      </c>
      <c r="B498" s="1" t="s">
        <v>128</v>
      </c>
      <c r="C498" s="4">
        <v>80</v>
      </c>
      <c r="D498" s="8">
        <v>3.18</v>
      </c>
      <c r="E498" s="4">
        <v>68</v>
      </c>
      <c r="F498" s="8">
        <v>4.8600000000000003</v>
      </c>
      <c r="G498" s="4">
        <v>12</v>
      </c>
      <c r="H498" s="8">
        <v>1.0900000000000001</v>
      </c>
      <c r="I498" s="4">
        <v>0</v>
      </c>
    </row>
    <row r="499" spans="1:9" x14ac:dyDescent="0.2">
      <c r="A499" s="2">
        <v>5</v>
      </c>
      <c r="B499" s="1" t="s">
        <v>118</v>
      </c>
      <c r="C499" s="4">
        <v>69</v>
      </c>
      <c r="D499" s="8">
        <v>2.74</v>
      </c>
      <c r="E499" s="4">
        <v>41</v>
      </c>
      <c r="F499" s="8">
        <v>2.93</v>
      </c>
      <c r="G499" s="4">
        <v>28</v>
      </c>
      <c r="H499" s="8">
        <v>2.5499999999999998</v>
      </c>
      <c r="I499" s="4">
        <v>0</v>
      </c>
    </row>
    <row r="500" spans="1:9" x14ac:dyDescent="0.2">
      <c r="A500" s="2">
        <v>6</v>
      </c>
      <c r="B500" s="1" t="s">
        <v>133</v>
      </c>
      <c r="C500" s="4">
        <v>63</v>
      </c>
      <c r="D500" s="8">
        <v>2.5</v>
      </c>
      <c r="E500" s="4">
        <v>55</v>
      </c>
      <c r="F500" s="8">
        <v>3.93</v>
      </c>
      <c r="G500" s="4">
        <v>7</v>
      </c>
      <c r="H500" s="8">
        <v>0.64</v>
      </c>
      <c r="I500" s="4">
        <v>1</v>
      </c>
    </row>
    <row r="501" spans="1:9" x14ac:dyDescent="0.2">
      <c r="A501" s="2">
        <v>7</v>
      </c>
      <c r="B501" s="1" t="s">
        <v>116</v>
      </c>
      <c r="C501" s="4">
        <v>59</v>
      </c>
      <c r="D501" s="8">
        <v>2.35</v>
      </c>
      <c r="E501" s="4">
        <v>21</v>
      </c>
      <c r="F501" s="8">
        <v>1.5</v>
      </c>
      <c r="G501" s="4">
        <v>38</v>
      </c>
      <c r="H501" s="8">
        <v>3.45</v>
      </c>
      <c r="I501" s="4">
        <v>0</v>
      </c>
    </row>
    <row r="502" spans="1:9" x14ac:dyDescent="0.2">
      <c r="A502" s="2">
        <v>8</v>
      </c>
      <c r="B502" s="1" t="s">
        <v>134</v>
      </c>
      <c r="C502" s="4">
        <v>58</v>
      </c>
      <c r="D502" s="8">
        <v>2.31</v>
      </c>
      <c r="E502" s="4">
        <v>54</v>
      </c>
      <c r="F502" s="8">
        <v>3.86</v>
      </c>
      <c r="G502" s="4">
        <v>4</v>
      </c>
      <c r="H502" s="8">
        <v>0.36</v>
      </c>
      <c r="I502" s="4">
        <v>0</v>
      </c>
    </row>
    <row r="503" spans="1:9" x14ac:dyDescent="0.2">
      <c r="A503" s="2">
        <v>9</v>
      </c>
      <c r="B503" s="1" t="s">
        <v>124</v>
      </c>
      <c r="C503" s="4">
        <v>53</v>
      </c>
      <c r="D503" s="8">
        <v>2.11</v>
      </c>
      <c r="E503" s="4">
        <v>41</v>
      </c>
      <c r="F503" s="8">
        <v>2.93</v>
      </c>
      <c r="G503" s="4">
        <v>12</v>
      </c>
      <c r="H503" s="8">
        <v>1.0900000000000001</v>
      </c>
      <c r="I503" s="4">
        <v>0</v>
      </c>
    </row>
    <row r="504" spans="1:9" x14ac:dyDescent="0.2">
      <c r="A504" s="2">
        <v>10</v>
      </c>
      <c r="B504" s="1" t="s">
        <v>117</v>
      </c>
      <c r="C504" s="4">
        <v>49</v>
      </c>
      <c r="D504" s="8">
        <v>1.95</v>
      </c>
      <c r="E504" s="4">
        <v>6</v>
      </c>
      <c r="F504" s="8">
        <v>0.43</v>
      </c>
      <c r="G504" s="4">
        <v>43</v>
      </c>
      <c r="H504" s="8">
        <v>3.91</v>
      </c>
      <c r="I504" s="4">
        <v>0</v>
      </c>
    </row>
    <row r="505" spans="1:9" x14ac:dyDescent="0.2">
      <c r="A505" s="2">
        <v>10</v>
      </c>
      <c r="B505" s="1" t="s">
        <v>127</v>
      </c>
      <c r="C505" s="4">
        <v>49</v>
      </c>
      <c r="D505" s="8">
        <v>1.95</v>
      </c>
      <c r="E505" s="4">
        <v>22</v>
      </c>
      <c r="F505" s="8">
        <v>1.57</v>
      </c>
      <c r="G505" s="4">
        <v>27</v>
      </c>
      <c r="H505" s="8">
        <v>2.4500000000000002</v>
      </c>
      <c r="I505" s="4">
        <v>0</v>
      </c>
    </row>
    <row r="506" spans="1:9" x14ac:dyDescent="0.2">
      <c r="A506" s="2">
        <v>12</v>
      </c>
      <c r="B506" s="1" t="s">
        <v>126</v>
      </c>
      <c r="C506" s="4">
        <v>46</v>
      </c>
      <c r="D506" s="8">
        <v>1.83</v>
      </c>
      <c r="E506" s="4">
        <v>8</v>
      </c>
      <c r="F506" s="8">
        <v>0.56999999999999995</v>
      </c>
      <c r="G506" s="4">
        <v>38</v>
      </c>
      <c r="H506" s="8">
        <v>3.45</v>
      </c>
      <c r="I506" s="4">
        <v>0</v>
      </c>
    </row>
    <row r="507" spans="1:9" x14ac:dyDescent="0.2">
      <c r="A507" s="2">
        <v>13</v>
      </c>
      <c r="B507" s="1" t="s">
        <v>130</v>
      </c>
      <c r="C507" s="4">
        <v>45</v>
      </c>
      <c r="D507" s="8">
        <v>1.79</v>
      </c>
      <c r="E507" s="4">
        <v>42</v>
      </c>
      <c r="F507" s="8">
        <v>3</v>
      </c>
      <c r="G507" s="4">
        <v>3</v>
      </c>
      <c r="H507" s="8">
        <v>0.27</v>
      </c>
      <c r="I507" s="4">
        <v>0</v>
      </c>
    </row>
    <row r="508" spans="1:9" x14ac:dyDescent="0.2">
      <c r="A508" s="2">
        <v>14</v>
      </c>
      <c r="B508" s="1" t="s">
        <v>121</v>
      </c>
      <c r="C508" s="4">
        <v>39</v>
      </c>
      <c r="D508" s="8">
        <v>1.55</v>
      </c>
      <c r="E508" s="4">
        <v>26</v>
      </c>
      <c r="F508" s="8">
        <v>1.86</v>
      </c>
      <c r="G508" s="4">
        <v>13</v>
      </c>
      <c r="H508" s="8">
        <v>1.18</v>
      </c>
      <c r="I508" s="4">
        <v>0</v>
      </c>
    </row>
    <row r="509" spans="1:9" x14ac:dyDescent="0.2">
      <c r="A509" s="2">
        <v>15</v>
      </c>
      <c r="B509" s="1" t="s">
        <v>157</v>
      </c>
      <c r="C509" s="4">
        <v>36</v>
      </c>
      <c r="D509" s="8">
        <v>1.43</v>
      </c>
      <c r="E509" s="4">
        <v>11</v>
      </c>
      <c r="F509" s="8">
        <v>0.79</v>
      </c>
      <c r="G509" s="4">
        <v>25</v>
      </c>
      <c r="H509" s="8">
        <v>2.27</v>
      </c>
      <c r="I509" s="4">
        <v>0</v>
      </c>
    </row>
    <row r="510" spans="1:9" x14ac:dyDescent="0.2">
      <c r="A510" s="2">
        <v>15</v>
      </c>
      <c r="B510" s="1" t="s">
        <v>136</v>
      </c>
      <c r="C510" s="4">
        <v>36</v>
      </c>
      <c r="D510" s="8">
        <v>1.43</v>
      </c>
      <c r="E510" s="4">
        <v>31</v>
      </c>
      <c r="F510" s="8">
        <v>2.2200000000000002</v>
      </c>
      <c r="G510" s="4">
        <v>5</v>
      </c>
      <c r="H510" s="8">
        <v>0.45</v>
      </c>
      <c r="I510" s="4">
        <v>0</v>
      </c>
    </row>
    <row r="511" spans="1:9" x14ac:dyDescent="0.2">
      <c r="A511" s="2">
        <v>15</v>
      </c>
      <c r="B511" s="1" t="s">
        <v>122</v>
      </c>
      <c r="C511" s="4">
        <v>36</v>
      </c>
      <c r="D511" s="8">
        <v>1.43</v>
      </c>
      <c r="E511" s="4">
        <v>13</v>
      </c>
      <c r="F511" s="8">
        <v>0.93</v>
      </c>
      <c r="G511" s="4">
        <v>23</v>
      </c>
      <c r="H511" s="8">
        <v>2.09</v>
      </c>
      <c r="I511" s="4">
        <v>0</v>
      </c>
    </row>
    <row r="512" spans="1:9" x14ac:dyDescent="0.2">
      <c r="A512" s="2">
        <v>18</v>
      </c>
      <c r="B512" s="1" t="s">
        <v>120</v>
      </c>
      <c r="C512" s="4">
        <v>35</v>
      </c>
      <c r="D512" s="8">
        <v>1.39</v>
      </c>
      <c r="E512" s="4">
        <v>9</v>
      </c>
      <c r="F512" s="8">
        <v>0.64</v>
      </c>
      <c r="G512" s="4">
        <v>26</v>
      </c>
      <c r="H512" s="8">
        <v>2.36</v>
      </c>
      <c r="I512" s="4">
        <v>0</v>
      </c>
    </row>
    <row r="513" spans="1:9" x14ac:dyDescent="0.2">
      <c r="A513" s="2">
        <v>18</v>
      </c>
      <c r="B513" s="1" t="s">
        <v>123</v>
      </c>
      <c r="C513" s="4">
        <v>35</v>
      </c>
      <c r="D513" s="8">
        <v>1.39</v>
      </c>
      <c r="E513" s="4">
        <v>10</v>
      </c>
      <c r="F513" s="8">
        <v>0.72</v>
      </c>
      <c r="G513" s="4">
        <v>25</v>
      </c>
      <c r="H513" s="8">
        <v>2.27</v>
      </c>
      <c r="I513" s="4">
        <v>0</v>
      </c>
    </row>
    <row r="514" spans="1:9" x14ac:dyDescent="0.2">
      <c r="A514" s="2">
        <v>18</v>
      </c>
      <c r="B514" s="1" t="s">
        <v>167</v>
      </c>
      <c r="C514" s="4">
        <v>35</v>
      </c>
      <c r="D514" s="8">
        <v>1.39</v>
      </c>
      <c r="E514" s="4">
        <v>25</v>
      </c>
      <c r="F514" s="8">
        <v>1.79</v>
      </c>
      <c r="G514" s="4">
        <v>10</v>
      </c>
      <c r="H514" s="8">
        <v>0.91</v>
      </c>
      <c r="I514" s="4">
        <v>0</v>
      </c>
    </row>
    <row r="515" spans="1:9" x14ac:dyDescent="0.2">
      <c r="A515" s="1"/>
      <c r="C515" s="4"/>
      <c r="D515" s="8"/>
      <c r="E515" s="4"/>
      <c r="F515" s="8"/>
      <c r="G515" s="4"/>
      <c r="H515" s="8"/>
      <c r="I515" s="4"/>
    </row>
    <row r="516" spans="1:9" x14ac:dyDescent="0.2">
      <c r="A516" s="1" t="s">
        <v>23</v>
      </c>
      <c r="C516" s="4"/>
      <c r="D516" s="8"/>
      <c r="E516" s="4"/>
      <c r="F516" s="8"/>
      <c r="G516" s="4"/>
      <c r="H516" s="8"/>
      <c r="I516" s="4"/>
    </row>
    <row r="517" spans="1:9" x14ac:dyDescent="0.2">
      <c r="A517" s="2">
        <v>1</v>
      </c>
      <c r="B517" s="1" t="s">
        <v>132</v>
      </c>
      <c r="C517" s="4">
        <v>195</v>
      </c>
      <c r="D517" s="8">
        <v>5.99</v>
      </c>
      <c r="E517" s="4">
        <v>172</v>
      </c>
      <c r="F517" s="8">
        <v>8.83</v>
      </c>
      <c r="G517" s="4">
        <v>23</v>
      </c>
      <c r="H517" s="8">
        <v>1.77</v>
      </c>
      <c r="I517" s="4">
        <v>0</v>
      </c>
    </row>
    <row r="518" spans="1:9" x14ac:dyDescent="0.2">
      <c r="A518" s="2">
        <v>2</v>
      </c>
      <c r="B518" s="1" t="s">
        <v>133</v>
      </c>
      <c r="C518" s="4">
        <v>118</v>
      </c>
      <c r="D518" s="8">
        <v>3.62</v>
      </c>
      <c r="E518" s="4">
        <v>100</v>
      </c>
      <c r="F518" s="8">
        <v>5.14</v>
      </c>
      <c r="G518" s="4">
        <v>18</v>
      </c>
      <c r="H518" s="8">
        <v>1.39</v>
      </c>
      <c r="I518" s="4">
        <v>0</v>
      </c>
    </row>
    <row r="519" spans="1:9" x14ac:dyDescent="0.2">
      <c r="A519" s="2">
        <v>3</v>
      </c>
      <c r="B519" s="1" t="s">
        <v>126</v>
      </c>
      <c r="C519" s="4">
        <v>117</v>
      </c>
      <c r="D519" s="8">
        <v>3.59</v>
      </c>
      <c r="E519" s="4">
        <v>79</v>
      </c>
      <c r="F519" s="8">
        <v>4.0599999999999996</v>
      </c>
      <c r="G519" s="4">
        <v>38</v>
      </c>
      <c r="H519" s="8">
        <v>2.93</v>
      </c>
      <c r="I519" s="4">
        <v>0</v>
      </c>
    </row>
    <row r="520" spans="1:9" x14ac:dyDescent="0.2">
      <c r="A520" s="2">
        <v>4</v>
      </c>
      <c r="B520" s="1" t="s">
        <v>131</v>
      </c>
      <c r="C520" s="4">
        <v>104</v>
      </c>
      <c r="D520" s="8">
        <v>3.19</v>
      </c>
      <c r="E520" s="4">
        <v>98</v>
      </c>
      <c r="F520" s="8">
        <v>5.03</v>
      </c>
      <c r="G520" s="4">
        <v>5</v>
      </c>
      <c r="H520" s="8">
        <v>0.39</v>
      </c>
      <c r="I520" s="4">
        <v>1</v>
      </c>
    </row>
    <row r="521" spans="1:9" x14ac:dyDescent="0.2">
      <c r="A521" s="2">
        <v>5</v>
      </c>
      <c r="B521" s="1" t="s">
        <v>129</v>
      </c>
      <c r="C521" s="4">
        <v>90</v>
      </c>
      <c r="D521" s="8">
        <v>2.76</v>
      </c>
      <c r="E521" s="4">
        <v>75</v>
      </c>
      <c r="F521" s="8">
        <v>3.85</v>
      </c>
      <c r="G521" s="4">
        <v>15</v>
      </c>
      <c r="H521" s="8">
        <v>1.1599999999999999</v>
      </c>
      <c r="I521" s="4">
        <v>0</v>
      </c>
    </row>
    <row r="522" spans="1:9" x14ac:dyDescent="0.2">
      <c r="A522" s="2">
        <v>6</v>
      </c>
      <c r="B522" s="1" t="s">
        <v>128</v>
      </c>
      <c r="C522" s="4">
        <v>84</v>
      </c>
      <c r="D522" s="8">
        <v>2.58</v>
      </c>
      <c r="E522" s="4">
        <v>75</v>
      </c>
      <c r="F522" s="8">
        <v>3.85</v>
      </c>
      <c r="G522" s="4">
        <v>9</v>
      </c>
      <c r="H522" s="8">
        <v>0.69</v>
      </c>
      <c r="I522" s="4">
        <v>0</v>
      </c>
    </row>
    <row r="523" spans="1:9" x14ac:dyDescent="0.2">
      <c r="A523" s="2">
        <v>7</v>
      </c>
      <c r="B523" s="1" t="s">
        <v>134</v>
      </c>
      <c r="C523" s="4">
        <v>77</v>
      </c>
      <c r="D523" s="8">
        <v>2.36</v>
      </c>
      <c r="E523" s="4">
        <v>70</v>
      </c>
      <c r="F523" s="8">
        <v>3.6</v>
      </c>
      <c r="G523" s="4">
        <v>7</v>
      </c>
      <c r="H523" s="8">
        <v>0.54</v>
      </c>
      <c r="I523" s="4">
        <v>0</v>
      </c>
    </row>
    <row r="524" spans="1:9" x14ac:dyDescent="0.2">
      <c r="A524" s="2">
        <v>8</v>
      </c>
      <c r="B524" s="1" t="s">
        <v>118</v>
      </c>
      <c r="C524" s="4">
        <v>68</v>
      </c>
      <c r="D524" s="8">
        <v>2.09</v>
      </c>
      <c r="E524" s="4">
        <v>29</v>
      </c>
      <c r="F524" s="8">
        <v>1.49</v>
      </c>
      <c r="G524" s="4">
        <v>39</v>
      </c>
      <c r="H524" s="8">
        <v>3.01</v>
      </c>
      <c r="I524" s="4">
        <v>0</v>
      </c>
    </row>
    <row r="525" spans="1:9" x14ac:dyDescent="0.2">
      <c r="A525" s="2">
        <v>9</v>
      </c>
      <c r="B525" s="1" t="s">
        <v>124</v>
      </c>
      <c r="C525" s="4">
        <v>60</v>
      </c>
      <c r="D525" s="8">
        <v>1.84</v>
      </c>
      <c r="E525" s="4">
        <v>40</v>
      </c>
      <c r="F525" s="8">
        <v>2.0499999999999998</v>
      </c>
      <c r="G525" s="4">
        <v>20</v>
      </c>
      <c r="H525" s="8">
        <v>1.54</v>
      </c>
      <c r="I525" s="4">
        <v>0</v>
      </c>
    </row>
    <row r="526" spans="1:9" x14ac:dyDescent="0.2">
      <c r="A526" s="2">
        <v>10</v>
      </c>
      <c r="B526" s="1" t="s">
        <v>122</v>
      </c>
      <c r="C526" s="4">
        <v>58</v>
      </c>
      <c r="D526" s="8">
        <v>1.78</v>
      </c>
      <c r="E526" s="4">
        <v>28</v>
      </c>
      <c r="F526" s="8">
        <v>1.44</v>
      </c>
      <c r="G526" s="4">
        <v>30</v>
      </c>
      <c r="H526" s="8">
        <v>2.31</v>
      </c>
      <c r="I526" s="4">
        <v>0</v>
      </c>
    </row>
    <row r="527" spans="1:9" x14ac:dyDescent="0.2">
      <c r="A527" s="2">
        <v>11</v>
      </c>
      <c r="B527" s="1" t="s">
        <v>125</v>
      </c>
      <c r="C527" s="4">
        <v>57</v>
      </c>
      <c r="D527" s="8">
        <v>1.75</v>
      </c>
      <c r="E527" s="4">
        <v>27</v>
      </c>
      <c r="F527" s="8">
        <v>1.39</v>
      </c>
      <c r="G527" s="4">
        <v>30</v>
      </c>
      <c r="H527" s="8">
        <v>2.31</v>
      </c>
      <c r="I527" s="4">
        <v>0</v>
      </c>
    </row>
    <row r="528" spans="1:9" x14ac:dyDescent="0.2">
      <c r="A528" s="2">
        <v>12</v>
      </c>
      <c r="B528" s="1" t="s">
        <v>123</v>
      </c>
      <c r="C528" s="4">
        <v>53</v>
      </c>
      <c r="D528" s="8">
        <v>1.63</v>
      </c>
      <c r="E528" s="4">
        <v>24</v>
      </c>
      <c r="F528" s="8">
        <v>1.23</v>
      </c>
      <c r="G528" s="4">
        <v>29</v>
      </c>
      <c r="H528" s="8">
        <v>2.2400000000000002</v>
      </c>
      <c r="I528" s="4">
        <v>0</v>
      </c>
    </row>
    <row r="529" spans="1:9" x14ac:dyDescent="0.2">
      <c r="A529" s="2">
        <v>12</v>
      </c>
      <c r="B529" s="1" t="s">
        <v>130</v>
      </c>
      <c r="C529" s="4">
        <v>53</v>
      </c>
      <c r="D529" s="8">
        <v>1.63</v>
      </c>
      <c r="E529" s="4">
        <v>47</v>
      </c>
      <c r="F529" s="8">
        <v>2.41</v>
      </c>
      <c r="G529" s="4">
        <v>6</v>
      </c>
      <c r="H529" s="8">
        <v>0.46</v>
      </c>
      <c r="I529" s="4">
        <v>0</v>
      </c>
    </row>
    <row r="530" spans="1:9" x14ac:dyDescent="0.2">
      <c r="A530" s="2">
        <v>14</v>
      </c>
      <c r="B530" s="1" t="s">
        <v>121</v>
      </c>
      <c r="C530" s="4">
        <v>52</v>
      </c>
      <c r="D530" s="8">
        <v>1.6</v>
      </c>
      <c r="E530" s="4">
        <v>43</v>
      </c>
      <c r="F530" s="8">
        <v>2.21</v>
      </c>
      <c r="G530" s="4">
        <v>8</v>
      </c>
      <c r="H530" s="8">
        <v>0.62</v>
      </c>
      <c r="I530" s="4">
        <v>1</v>
      </c>
    </row>
    <row r="531" spans="1:9" x14ac:dyDescent="0.2">
      <c r="A531" s="2">
        <v>15</v>
      </c>
      <c r="B531" s="1" t="s">
        <v>116</v>
      </c>
      <c r="C531" s="4">
        <v>51</v>
      </c>
      <c r="D531" s="8">
        <v>1.57</v>
      </c>
      <c r="E531" s="4">
        <v>19</v>
      </c>
      <c r="F531" s="8">
        <v>0.98</v>
      </c>
      <c r="G531" s="4">
        <v>32</v>
      </c>
      <c r="H531" s="8">
        <v>2.4700000000000002</v>
      </c>
      <c r="I531" s="4">
        <v>0</v>
      </c>
    </row>
    <row r="532" spans="1:9" x14ac:dyDescent="0.2">
      <c r="A532" s="2">
        <v>16</v>
      </c>
      <c r="B532" s="1" t="s">
        <v>120</v>
      </c>
      <c r="C532" s="4">
        <v>49</v>
      </c>
      <c r="D532" s="8">
        <v>1.5</v>
      </c>
      <c r="E532" s="4">
        <v>19</v>
      </c>
      <c r="F532" s="8">
        <v>0.98</v>
      </c>
      <c r="G532" s="4">
        <v>30</v>
      </c>
      <c r="H532" s="8">
        <v>2.31</v>
      </c>
      <c r="I532" s="4">
        <v>0</v>
      </c>
    </row>
    <row r="533" spans="1:9" x14ac:dyDescent="0.2">
      <c r="A533" s="2">
        <v>17</v>
      </c>
      <c r="B533" s="1" t="s">
        <v>119</v>
      </c>
      <c r="C533" s="4">
        <v>48</v>
      </c>
      <c r="D533" s="8">
        <v>1.47</v>
      </c>
      <c r="E533" s="4">
        <v>20</v>
      </c>
      <c r="F533" s="8">
        <v>1.03</v>
      </c>
      <c r="G533" s="4">
        <v>28</v>
      </c>
      <c r="H533" s="8">
        <v>2.16</v>
      </c>
      <c r="I533" s="4">
        <v>0</v>
      </c>
    </row>
    <row r="534" spans="1:9" x14ac:dyDescent="0.2">
      <c r="A534" s="2">
        <v>18</v>
      </c>
      <c r="B534" s="1" t="s">
        <v>136</v>
      </c>
      <c r="C534" s="4">
        <v>47</v>
      </c>
      <c r="D534" s="8">
        <v>1.44</v>
      </c>
      <c r="E534" s="4">
        <v>43</v>
      </c>
      <c r="F534" s="8">
        <v>2.21</v>
      </c>
      <c r="G534" s="4">
        <v>4</v>
      </c>
      <c r="H534" s="8">
        <v>0.31</v>
      </c>
      <c r="I534" s="4">
        <v>0</v>
      </c>
    </row>
    <row r="535" spans="1:9" x14ac:dyDescent="0.2">
      <c r="A535" s="2">
        <v>18</v>
      </c>
      <c r="B535" s="1" t="s">
        <v>140</v>
      </c>
      <c r="C535" s="4">
        <v>47</v>
      </c>
      <c r="D535" s="8">
        <v>1.44</v>
      </c>
      <c r="E535" s="4">
        <v>29</v>
      </c>
      <c r="F535" s="8">
        <v>1.49</v>
      </c>
      <c r="G535" s="4">
        <v>18</v>
      </c>
      <c r="H535" s="8">
        <v>1.39</v>
      </c>
      <c r="I535" s="4">
        <v>0</v>
      </c>
    </row>
    <row r="536" spans="1:9" x14ac:dyDescent="0.2">
      <c r="A536" s="2">
        <v>20</v>
      </c>
      <c r="B536" s="1" t="s">
        <v>153</v>
      </c>
      <c r="C536" s="4">
        <v>45</v>
      </c>
      <c r="D536" s="8">
        <v>1.38</v>
      </c>
      <c r="E536" s="4">
        <v>32</v>
      </c>
      <c r="F536" s="8">
        <v>1.64</v>
      </c>
      <c r="G536" s="4">
        <v>13</v>
      </c>
      <c r="H536" s="8">
        <v>1</v>
      </c>
      <c r="I536" s="4">
        <v>0</v>
      </c>
    </row>
    <row r="537" spans="1:9" x14ac:dyDescent="0.2">
      <c r="A537" s="1"/>
      <c r="C537" s="4"/>
      <c r="D537" s="8"/>
      <c r="E537" s="4"/>
      <c r="F537" s="8"/>
      <c r="G537" s="4"/>
      <c r="H537" s="8"/>
      <c r="I537" s="4"/>
    </row>
    <row r="538" spans="1:9" x14ac:dyDescent="0.2">
      <c r="A538" s="1" t="s">
        <v>24</v>
      </c>
      <c r="C538" s="4"/>
      <c r="D538" s="8"/>
      <c r="E538" s="4"/>
      <c r="F538" s="8"/>
      <c r="G538" s="4"/>
      <c r="H538" s="8"/>
      <c r="I538" s="4"/>
    </row>
    <row r="539" spans="1:9" x14ac:dyDescent="0.2">
      <c r="A539" s="2">
        <v>1</v>
      </c>
      <c r="B539" s="1" t="s">
        <v>126</v>
      </c>
      <c r="C539" s="4">
        <v>106</v>
      </c>
      <c r="D539" s="8">
        <v>5.79</v>
      </c>
      <c r="E539" s="4">
        <v>55</v>
      </c>
      <c r="F539" s="8">
        <v>6.29</v>
      </c>
      <c r="G539" s="4">
        <v>51</v>
      </c>
      <c r="H539" s="8">
        <v>5.36</v>
      </c>
      <c r="I539" s="4">
        <v>0</v>
      </c>
    </row>
    <row r="540" spans="1:9" x14ac:dyDescent="0.2">
      <c r="A540" s="2">
        <v>1</v>
      </c>
      <c r="B540" s="1" t="s">
        <v>132</v>
      </c>
      <c r="C540" s="4">
        <v>106</v>
      </c>
      <c r="D540" s="8">
        <v>5.79</v>
      </c>
      <c r="E540" s="4">
        <v>90</v>
      </c>
      <c r="F540" s="8">
        <v>10.29</v>
      </c>
      <c r="G540" s="4">
        <v>16</v>
      </c>
      <c r="H540" s="8">
        <v>1.68</v>
      </c>
      <c r="I540" s="4">
        <v>0</v>
      </c>
    </row>
    <row r="541" spans="1:9" x14ac:dyDescent="0.2">
      <c r="A541" s="2">
        <v>3</v>
      </c>
      <c r="B541" s="1" t="s">
        <v>128</v>
      </c>
      <c r="C541" s="4">
        <v>63</v>
      </c>
      <c r="D541" s="8">
        <v>3.44</v>
      </c>
      <c r="E541" s="4">
        <v>50</v>
      </c>
      <c r="F541" s="8">
        <v>5.71</v>
      </c>
      <c r="G541" s="4">
        <v>13</v>
      </c>
      <c r="H541" s="8">
        <v>1.37</v>
      </c>
      <c r="I541" s="4">
        <v>0</v>
      </c>
    </row>
    <row r="542" spans="1:9" x14ac:dyDescent="0.2">
      <c r="A542" s="2">
        <v>4</v>
      </c>
      <c r="B542" s="1" t="s">
        <v>131</v>
      </c>
      <c r="C542" s="4">
        <v>54</v>
      </c>
      <c r="D542" s="8">
        <v>2.95</v>
      </c>
      <c r="E542" s="4">
        <v>51</v>
      </c>
      <c r="F542" s="8">
        <v>5.83</v>
      </c>
      <c r="G542" s="4">
        <v>3</v>
      </c>
      <c r="H542" s="8">
        <v>0.32</v>
      </c>
      <c r="I542" s="4">
        <v>0</v>
      </c>
    </row>
    <row r="543" spans="1:9" x14ac:dyDescent="0.2">
      <c r="A543" s="2">
        <v>5</v>
      </c>
      <c r="B543" s="1" t="s">
        <v>116</v>
      </c>
      <c r="C543" s="4">
        <v>51</v>
      </c>
      <c r="D543" s="8">
        <v>2.78</v>
      </c>
      <c r="E543" s="4">
        <v>7</v>
      </c>
      <c r="F543" s="8">
        <v>0.8</v>
      </c>
      <c r="G543" s="4">
        <v>44</v>
      </c>
      <c r="H543" s="8">
        <v>4.63</v>
      </c>
      <c r="I543" s="4">
        <v>0</v>
      </c>
    </row>
    <row r="544" spans="1:9" x14ac:dyDescent="0.2">
      <c r="A544" s="2">
        <v>6</v>
      </c>
      <c r="B544" s="1" t="s">
        <v>129</v>
      </c>
      <c r="C544" s="4">
        <v>49</v>
      </c>
      <c r="D544" s="8">
        <v>2.67</v>
      </c>
      <c r="E544" s="4">
        <v>43</v>
      </c>
      <c r="F544" s="8">
        <v>4.91</v>
      </c>
      <c r="G544" s="4">
        <v>6</v>
      </c>
      <c r="H544" s="8">
        <v>0.63</v>
      </c>
      <c r="I544" s="4">
        <v>0</v>
      </c>
    </row>
    <row r="545" spans="1:9" x14ac:dyDescent="0.2">
      <c r="A545" s="2">
        <v>7</v>
      </c>
      <c r="B545" s="1" t="s">
        <v>130</v>
      </c>
      <c r="C545" s="4">
        <v>48</v>
      </c>
      <c r="D545" s="8">
        <v>2.62</v>
      </c>
      <c r="E545" s="4">
        <v>44</v>
      </c>
      <c r="F545" s="8">
        <v>5.03</v>
      </c>
      <c r="G545" s="4">
        <v>4</v>
      </c>
      <c r="H545" s="8">
        <v>0.42</v>
      </c>
      <c r="I545" s="4">
        <v>0</v>
      </c>
    </row>
    <row r="546" spans="1:9" x14ac:dyDescent="0.2">
      <c r="A546" s="2">
        <v>7</v>
      </c>
      <c r="B546" s="1" t="s">
        <v>134</v>
      </c>
      <c r="C546" s="4">
        <v>48</v>
      </c>
      <c r="D546" s="8">
        <v>2.62</v>
      </c>
      <c r="E546" s="4">
        <v>40</v>
      </c>
      <c r="F546" s="8">
        <v>4.57</v>
      </c>
      <c r="G546" s="4">
        <v>8</v>
      </c>
      <c r="H546" s="8">
        <v>0.84</v>
      </c>
      <c r="I546" s="4">
        <v>0</v>
      </c>
    </row>
    <row r="547" spans="1:9" x14ac:dyDescent="0.2">
      <c r="A547" s="2">
        <v>9</v>
      </c>
      <c r="B547" s="1" t="s">
        <v>122</v>
      </c>
      <c r="C547" s="4">
        <v>47</v>
      </c>
      <c r="D547" s="8">
        <v>2.57</v>
      </c>
      <c r="E547" s="4">
        <v>22</v>
      </c>
      <c r="F547" s="8">
        <v>2.5099999999999998</v>
      </c>
      <c r="G547" s="4">
        <v>25</v>
      </c>
      <c r="H547" s="8">
        <v>2.63</v>
      </c>
      <c r="I547" s="4">
        <v>0</v>
      </c>
    </row>
    <row r="548" spans="1:9" x14ac:dyDescent="0.2">
      <c r="A548" s="2">
        <v>10</v>
      </c>
      <c r="B548" s="1" t="s">
        <v>133</v>
      </c>
      <c r="C548" s="4">
        <v>42</v>
      </c>
      <c r="D548" s="8">
        <v>2.29</v>
      </c>
      <c r="E548" s="4">
        <v>38</v>
      </c>
      <c r="F548" s="8">
        <v>4.34</v>
      </c>
      <c r="G548" s="4">
        <v>4</v>
      </c>
      <c r="H548" s="8">
        <v>0.42</v>
      </c>
      <c r="I548" s="4">
        <v>0</v>
      </c>
    </row>
    <row r="549" spans="1:9" x14ac:dyDescent="0.2">
      <c r="A549" s="2">
        <v>11</v>
      </c>
      <c r="B549" s="1" t="s">
        <v>124</v>
      </c>
      <c r="C549" s="4">
        <v>41</v>
      </c>
      <c r="D549" s="8">
        <v>2.2400000000000002</v>
      </c>
      <c r="E549" s="4">
        <v>22</v>
      </c>
      <c r="F549" s="8">
        <v>2.5099999999999998</v>
      </c>
      <c r="G549" s="4">
        <v>19</v>
      </c>
      <c r="H549" s="8">
        <v>2</v>
      </c>
      <c r="I549" s="4">
        <v>0</v>
      </c>
    </row>
    <row r="550" spans="1:9" x14ac:dyDescent="0.2">
      <c r="A550" s="2">
        <v>12</v>
      </c>
      <c r="B550" s="1" t="s">
        <v>118</v>
      </c>
      <c r="C550" s="4">
        <v>38</v>
      </c>
      <c r="D550" s="8">
        <v>2.0699999999999998</v>
      </c>
      <c r="E550" s="4">
        <v>19</v>
      </c>
      <c r="F550" s="8">
        <v>2.17</v>
      </c>
      <c r="G550" s="4">
        <v>19</v>
      </c>
      <c r="H550" s="8">
        <v>2</v>
      </c>
      <c r="I550" s="4">
        <v>0</v>
      </c>
    </row>
    <row r="551" spans="1:9" x14ac:dyDescent="0.2">
      <c r="A551" s="2">
        <v>13</v>
      </c>
      <c r="B551" s="1" t="s">
        <v>135</v>
      </c>
      <c r="C551" s="4">
        <v>34</v>
      </c>
      <c r="D551" s="8">
        <v>1.86</v>
      </c>
      <c r="E551" s="4">
        <v>19</v>
      </c>
      <c r="F551" s="8">
        <v>2.17</v>
      </c>
      <c r="G551" s="4">
        <v>15</v>
      </c>
      <c r="H551" s="8">
        <v>1.58</v>
      </c>
      <c r="I551" s="4">
        <v>0</v>
      </c>
    </row>
    <row r="552" spans="1:9" x14ac:dyDescent="0.2">
      <c r="A552" s="2">
        <v>14</v>
      </c>
      <c r="B552" s="1" t="s">
        <v>137</v>
      </c>
      <c r="C552" s="4">
        <v>33</v>
      </c>
      <c r="D552" s="8">
        <v>1.8</v>
      </c>
      <c r="E552" s="4">
        <v>9</v>
      </c>
      <c r="F552" s="8">
        <v>1.03</v>
      </c>
      <c r="G552" s="4">
        <v>24</v>
      </c>
      <c r="H552" s="8">
        <v>2.52</v>
      </c>
      <c r="I552" s="4">
        <v>0</v>
      </c>
    </row>
    <row r="553" spans="1:9" x14ac:dyDescent="0.2">
      <c r="A553" s="2">
        <v>15</v>
      </c>
      <c r="B553" s="1" t="s">
        <v>125</v>
      </c>
      <c r="C553" s="4">
        <v>32</v>
      </c>
      <c r="D553" s="8">
        <v>1.75</v>
      </c>
      <c r="E553" s="4">
        <v>4</v>
      </c>
      <c r="F553" s="8">
        <v>0.46</v>
      </c>
      <c r="G553" s="4">
        <v>28</v>
      </c>
      <c r="H553" s="8">
        <v>2.94</v>
      </c>
      <c r="I553" s="4">
        <v>0</v>
      </c>
    </row>
    <row r="554" spans="1:9" x14ac:dyDescent="0.2">
      <c r="A554" s="2">
        <v>16</v>
      </c>
      <c r="B554" s="1" t="s">
        <v>121</v>
      </c>
      <c r="C554" s="4">
        <v>29</v>
      </c>
      <c r="D554" s="8">
        <v>1.58</v>
      </c>
      <c r="E554" s="4">
        <v>16</v>
      </c>
      <c r="F554" s="8">
        <v>1.83</v>
      </c>
      <c r="G554" s="4">
        <v>13</v>
      </c>
      <c r="H554" s="8">
        <v>1.37</v>
      </c>
      <c r="I554" s="4">
        <v>0</v>
      </c>
    </row>
    <row r="555" spans="1:9" x14ac:dyDescent="0.2">
      <c r="A555" s="2">
        <v>17</v>
      </c>
      <c r="B555" s="1" t="s">
        <v>123</v>
      </c>
      <c r="C555" s="4">
        <v>28</v>
      </c>
      <c r="D555" s="8">
        <v>1.53</v>
      </c>
      <c r="E555" s="4">
        <v>9</v>
      </c>
      <c r="F555" s="8">
        <v>1.03</v>
      </c>
      <c r="G555" s="4">
        <v>19</v>
      </c>
      <c r="H555" s="8">
        <v>2</v>
      </c>
      <c r="I555" s="4">
        <v>0</v>
      </c>
    </row>
    <row r="556" spans="1:9" x14ac:dyDescent="0.2">
      <c r="A556" s="2">
        <v>18</v>
      </c>
      <c r="B556" s="1" t="s">
        <v>120</v>
      </c>
      <c r="C556" s="4">
        <v>27</v>
      </c>
      <c r="D556" s="8">
        <v>1.47</v>
      </c>
      <c r="E556" s="4">
        <v>11</v>
      </c>
      <c r="F556" s="8">
        <v>1.26</v>
      </c>
      <c r="G556" s="4">
        <v>16</v>
      </c>
      <c r="H556" s="8">
        <v>1.68</v>
      </c>
      <c r="I556" s="4">
        <v>0</v>
      </c>
    </row>
    <row r="557" spans="1:9" x14ac:dyDescent="0.2">
      <c r="A557" s="2">
        <v>18</v>
      </c>
      <c r="B557" s="1" t="s">
        <v>161</v>
      </c>
      <c r="C557" s="4">
        <v>27</v>
      </c>
      <c r="D557" s="8">
        <v>1.47</v>
      </c>
      <c r="E557" s="4">
        <v>16</v>
      </c>
      <c r="F557" s="8">
        <v>1.83</v>
      </c>
      <c r="G557" s="4">
        <v>11</v>
      </c>
      <c r="H557" s="8">
        <v>1.1599999999999999</v>
      </c>
      <c r="I557" s="4">
        <v>0</v>
      </c>
    </row>
    <row r="558" spans="1:9" x14ac:dyDescent="0.2">
      <c r="A558" s="2">
        <v>18</v>
      </c>
      <c r="B558" s="1" t="s">
        <v>140</v>
      </c>
      <c r="C558" s="4">
        <v>27</v>
      </c>
      <c r="D558" s="8">
        <v>1.47</v>
      </c>
      <c r="E558" s="4">
        <v>21</v>
      </c>
      <c r="F558" s="8">
        <v>2.4</v>
      </c>
      <c r="G558" s="4">
        <v>6</v>
      </c>
      <c r="H558" s="8">
        <v>0.63</v>
      </c>
      <c r="I558" s="4">
        <v>0</v>
      </c>
    </row>
    <row r="559" spans="1:9" x14ac:dyDescent="0.2">
      <c r="A559" s="1"/>
      <c r="C559" s="4"/>
      <c r="D559" s="8"/>
      <c r="E559" s="4"/>
      <c r="F559" s="8"/>
      <c r="G559" s="4"/>
      <c r="H559" s="8"/>
      <c r="I559" s="4"/>
    </row>
    <row r="560" spans="1:9" x14ac:dyDescent="0.2">
      <c r="A560" s="1" t="s">
        <v>25</v>
      </c>
      <c r="C560" s="4"/>
      <c r="D560" s="8"/>
      <c r="E560" s="4"/>
      <c r="F560" s="8"/>
      <c r="G560" s="4"/>
      <c r="H560" s="8"/>
      <c r="I560" s="4"/>
    </row>
    <row r="561" spans="1:9" x14ac:dyDescent="0.2">
      <c r="A561" s="2">
        <v>1</v>
      </c>
      <c r="B561" s="1" t="s">
        <v>126</v>
      </c>
      <c r="C561" s="4">
        <v>153</v>
      </c>
      <c r="D561" s="8">
        <v>8.19</v>
      </c>
      <c r="E561" s="4">
        <v>129</v>
      </c>
      <c r="F561" s="8">
        <v>11.85</v>
      </c>
      <c r="G561" s="4">
        <v>24</v>
      </c>
      <c r="H561" s="8">
        <v>3.17</v>
      </c>
      <c r="I561" s="4">
        <v>0</v>
      </c>
    </row>
    <row r="562" spans="1:9" x14ac:dyDescent="0.2">
      <c r="A562" s="2">
        <v>2</v>
      </c>
      <c r="B562" s="1" t="s">
        <v>132</v>
      </c>
      <c r="C562" s="4">
        <v>110</v>
      </c>
      <c r="D562" s="8">
        <v>5.89</v>
      </c>
      <c r="E562" s="4">
        <v>100</v>
      </c>
      <c r="F562" s="8">
        <v>9.18</v>
      </c>
      <c r="G562" s="4">
        <v>9</v>
      </c>
      <c r="H562" s="8">
        <v>1.19</v>
      </c>
      <c r="I562" s="4">
        <v>1</v>
      </c>
    </row>
    <row r="563" spans="1:9" x14ac:dyDescent="0.2">
      <c r="A563" s="2">
        <v>3</v>
      </c>
      <c r="B563" s="1" t="s">
        <v>129</v>
      </c>
      <c r="C563" s="4">
        <v>63</v>
      </c>
      <c r="D563" s="8">
        <v>3.37</v>
      </c>
      <c r="E563" s="4">
        <v>57</v>
      </c>
      <c r="F563" s="8">
        <v>5.23</v>
      </c>
      <c r="G563" s="4">
        <v>6</v>
      </c>
      <c r="H563" s="8">
        <v>0.79</v>
      </c>
      <c r="I563" s="4">
        <v>0</v>
      </c>
    </row>
    <row r="564" spans="1:9" x14ac:dyDescent="0.2">
      <c r="A564" s="2">
        <v>4</v>
      </c>
      <c r="B564" s="1" t="s">
        <v>118</v>
      </c>
      <c r="C564" s="4">
        <v>55</v>
      </c>
      <c r="D564" s="8">
        <v>2.95</v>
      </c>
      <c r="E564" s="4">
        <v>36</v>
      </c>
      <c r="F564" s="8">
        <v>3.31</v>
      </c>
      <c r="G564" s="4">
        <v>19</v>
      </c>
      <c r="H564" s="8">
        <v>2.5099999999999998</v>
      </c>
      <c r="I564" s="4">
        <v>0</v>
      </c>
    </row>
    <row r="565" spans="1:9" x14ac:dyDescent="0.2">
      <c r="A565" s="2">
        <v>5</v>
      </c>
      <c r="B565" s="1" t="s">
        <v>131</v>
      </c>
      <c r="C565" s="4">
        <v>49</v>
      </c>
      <c r="D565" s="8">
        <v>2.62</v>
      </c>
      <c r="E565" s="4">
        <v>46</v>
      </c>
      <c r="F565" s="8">
        <v>4.22</v>
      </c>
      <c r="G565" s="4">
        <v>3</v>
      </c>
      <c r="H565" s="8">
        <v>0.4</v>
      </c>
      <c r="I565" s="4">
        <v>0</v>
      </c>
    </row>
    <row r="566" spans="1:9" x14ac:dyDescent="0.2">
      <c r="A566" s="2">
        <v>6</v>
      </c>
      <c r="B566" s="1" t="s">
        <v>122</v>
      </c>
      <c r="C566" s="4">
        <v>43</v>
      </c>
      <c r="D566" s="8">
        <v>2.2999999999999998</v>
      </c>
      <c r="E566" s="4">
        <v>28</v>
      </c>
      <c r="F566" s="8">
        <v>2.57</v>
      </c>
      <c r="G566" s="4">
        <v>15</v>
      </c>
      <c r="H566" s="8">
        <v>1.98</v>
      </c>
      <c r="I566" s="4">
        <v>0</v>
      </c>
    </row>
    <row r="567" spans="1:9" x14ac:dyDescent="0.2">
      <c r="A567" s="2">
        <v>7</v>
      </c>
      <c r="B567" s="1" t="s">
        <v>116</v>
      </c>
      <c r="C567" s="4">
        <v>39</v>
      </c>
      <c r="D567" s="8">
        <v>2.09</v>
      </c>
      <c r="E567" s="4">
        <v>13</v>
      </c>
      <c r="F567" s="8">
        <v>1.19</v>
      </c>
      <c r="G567" s="4">
        <v>26</v>
      </c>
      <c r="H567" s="8">
        <v>3.43</v>
      </c>
      <c r="I567" s="4">
        <v>0</v>
      </c>
    </row>
    <row r="568" spans="1:9" x14ac:dyDescent="0.2">
      <c r="A568" s="2">
        <v>8</v>
      </c>
      <c r="B568" s="1" t="s">
        <v>133</v>
      </c>
      <c r="C568" s="4">
        <v>36</v>
      </c>
      <c r="D568" s="8">
        <v>1.93</v>
      </c>
      <c r="E568" s="4">
        <v>28</v>
      </c>
      <c r="F568" s="8">
        <v>2.57</v>
      </c>
      <c r="G568" s="4">
        <v>8</v>
      </c>
      <c r="H568" s="8">
        <v>1.06</v>
      </c>
      <c r="I568" s="4">
        <v>0</v>
      </c>
    </row>
    <row r="569" spans="1:9" x14ac:dyDescent="0.2">
      <c r="A569" s="2">
        <v>8</v>
      </c>
      <c r="B569" s="1" t="s">
        <v>134</v>
      </c>
      <c r="C569" s="4">
        <v>36</v>
      </c>
      <c r="D569" s="8">
        <v>1.93</v>
      </c>
      <c r="E569" s="4">
        <v>30</v>
      </c>
      <c r="F569" s="8">
        <v>2.75</v>
      </c>
      <c r="G569" s="4">
        <v>6</v>
      </c>
      <c r="H569" s="8">
        <v>0.79</v>
      </c>
      <c r="I569" s="4">
        <v>0</v>
      </c>
    </row>
    <row r="570" spans="1:9" x14ac:dyDescent="0.2">
      <c r="A570" s="2">
        <v>10</v>
      </c>
      <c r="B570" s="1" t="s">
        <v>135</v>
      </c>
      <c r="C570" s="4">
        <v>35</v>
      </c>
      <c r="D570" s="8">
        <v>1.87</v>
      </c>
      <c r="E570" s="4">
        <v>27</v>
      </c>
      <c r="F570" s="8">
        <v>2.48</v>
      </c>
      <c r="G570" s="4">
        <v>8</v>
      </c>
      <c r="H570" s="8">
        <v>1.06</v>
      </c>
      <c r="I570" s="4">
        <v>0</v>
      </c>
    </row>
    <row r="571" spans="1:9" x14ac:dyDescent="0.2">
      <c r="A571" s="2">
        <v>11</v>
      </c>
      <c r="B571" s="1" t="s">
        <v>130</v>
      </c>
      <c r="C571" s="4">
        <v>34</v>
      </c>
      <c r="D571" s="8">
        <v>1.82</v>
      </c>
      <c r="E571" s="4">
        <v>32</v>
      </c>
      <c r="F571" s="8">
        <v>2.94</v>
      </c>
      <c r="G571" s="4">
        <v>2</v>
      </c>
      <c r="H571" s="8">
        <v>0.26</v>
      </c>
      <c r="I571" s="4">
        <v>0</v>
      </c>
    </row>
    <row r="572" spans="1:9" x14ac:dyDescent="0.2">
      <c r="A572" s="2">
        <v>12</v>
      </c>
      <c r="B572" s="1" t="s">
        <v>119</v>
      </c>
      <c r="C572" s="4">
        <v>32</v>
      </c>
      <c r="D572" s="8">
        <v>1.71</v>
      </c>
      <c r="E572" s="4">
        <v>11</v>
      </c>
      <c r="F572" s="8">
        <v>1.01</v>
      </c>
      <c r="G572" s="4">
        <v>21</v>
      </c>
      <c r="H572" s="8">
        <v>2.77</v>
      </c>
      <c r="I572" s="4">
        <v>0</v>
      </c>
    </row>
    <row r="573" spans="1:9" x14ac:dyDescent="0.2">
      <c r="A573" s="2">
        <v>13</v>
      </c>
      <c r="B573" s="1" t="s">
        <v>123</v>
      </c>
      <c r="C573" s="4">
        <v>31</v>
      </c>
      <c r="D573" s="8">
        <v>1.66</v>
      </c>
      <c r="E573" s="4">
        <v>11</v>
      </c>
      <c r="F573" s="8">
        <v>1.01</v>
      </c>
      <c r="G573" s="4">
        <v>20</v>
      </c>
      <c r="H573" s="8">
        <v>2.64</v>
      </c>
      <c r="I573" s="4">
        <v>0</v>
      </c>
    </row>
    <row r="574" spans="1:9" x14ac:dyDescent="0.2">
      <c r="A574" s="2">
        <v>13</v>
      </c>
      <c r="B574" s="1" t="s">
        <v>124</v>
      </c>
      <c r="C574" s="4">
        <v>31</v>
      </c>
      <c r="D574" s="8">
        <v>1.66</v>
      </c>
      <c r="E574" s="4">
        <v>17</v>
      </c>
      <c r="F574" s="8">
        <v>1.56</v>
      </c>
      <c r="G574" s="4">
        <v>13</v>
      </c>
      <c r="H574" s="8">
        <v>1.72</v>
      </c>
      <c r="I574" s="4">
        <v>1</v>
      </c>
    </row>
    <row r="575" spans="1:9" x14ac:dyDescent="0.2">
      <c r="A575" s="2">
        <v>15</v>
      </c>
      <c r="B575" s="1" t="s">
        <v>128</v>
      </c>
      <c r="C575" s="4">
        <v>29</v>
      </c>
      <c r="D575" s="8">
        <v>1.55</v>
      </c>
      <c r="E575" s="4">
        <v>21</v>
      </c>
      <c r="F575" s="8">
        <v>1.93</v>
      </c>
      <c r="G575" s="4">
        <v>8</v>
      </c>
      <c r="H575" s="8">
        <v>1.06</v>
      </c>
      <c r="I575" s="4">
        <v>0</v>
      </c>
    </row>
    <row r="576" spans="1:9" x14ac:dyDescent="0.2">
      <c r="A576" s="2">
        <v>15</v>
      </c>
      <c r="B576" s="1" t="s">
        <v>153</v>
      </c>
      <c r="C576" s="4">
        <v>29</v>
      </c>
      <c r="D576" s="8">
        <v>1.55</v>
      </c>
      <c r="E576" s="4">
        <v>23</v>
      </c>
      <c r="F576" s="8">
        <v>2.11</v>
      </c>
      <c r="G576" s="4">
        <v>6</v>
      </c>
      <c r="H576" s="8">
        <v>0.79</v>
      </c>
      <c r="I576" s="4">
        <v>0</v>
      </c>
    </row>
    <row r="577" spans="1:9" x14ac:dyDescent="0.2">
      <c r="A577" s="2">
        <v>17</v>
      </c>
      <c r="B577" s="1" t="s">
        <v>117</v>
      </c>
      <c r="C577" s="4">
        <v>28</v>
      </c>
      <c r="D577" s="8">
        <v>1.5</v>
      </c>
      <c r="E577" s="4">
        <v>8</v>
      </c>
      <c r="F577" s="8">
        <v>0.73</v>
      </c>
      <c r="G577" s="4">
        <v>20</v>
      </c>
      <c r="H577" s="8">
        <v>2.64</v>
      </c>
      <c r="I577" s="4">
        <v>0</v>
      </c>
    </row>
    <row r="578" spans="1:9" x14ac:dyDescent="0.2">
      <c r="A578" s="2">
        <v>18</v>
      </c>
      <c r="B578" s="1" t="s">
        <v>127</v>
      </c>
      <c r="C578" s="4">
        <v>27</v>
      </c>
      <c r="D578" s="8">
        <v>1.45</v>
      </c>
      <c r="E578" s="4">
        <v>13</v>
      </c>
      <c r="F578" s="8">
        <v>1.19</v>
      </c>
      <c r="G578" s="4">
        <v>14</v>
      </c>
      <c r="H578" s="8">
        <v>1.85</v>
      </c>
      <c r="I578" s="4">
        <v>0</v>
      </c>
    </row>
    <row r="579" spans="1:9" x14ac:dyDescent="0.2">
      <c r="A579" s="2">
        <v>19</v>
      </c>
      <c r="B579" s="1" t="s">
        <v>121</v>
      </c>
      <c r="C579" s="4">
        <v>23</v>
      </c>
      <c r="D579" s="8">
        <v>1.23</v>
      </c>
      <c r="E579" s="4">
        <v>14</v>
      </c>
      <c r="F579" s="8">
        <v>1.29</v>
      </c>
      <c r="G579" s="4">
        <v>9</v>
      </c>
      <c r="H579" s="8">
        <v>1.19</v>
      </c>
      <c r="I579" s="4">
        <v>0</v>
      </c>
    </row>
    <row r="580" spans="1:9" x14ac:dyDescent="0.2">
      <c r="A580" s="2">
        <v>20</v>
      </c>
      <c r="B580" s="1" t="s">
        <v>156</v>
      </c>
      <c r="C580" s="4">
        <v>21</v>
      </c>
      <c r="D580" s="8">
        <v>1.1200000000000001</v>
      </c>
      <c r="E580" s="4">
        <v>15</v>
      </c>
      <c r="F580" s="8">
        <v>1.38</v>
      </c>
      <c r="G580" s="4">
        <v>6</v>
      </c>
      <c r="H580" s="8">
        <v>0.79</v>
      </c>
      <c r="I580" s="4">
        <v>0</v>
      </c>
    </row>
    <row r="581" spans="1:9" x14ac:dyDescent="0.2">
      <c r="A581" s="2">
        <v>20</v>
      </c>
      <c r="B581" s="1" t="s">
        <v>140</v>
      </c>
      <c r="C581" s="4">
        <v>21</v>
      </c>
      <c r="D581" s="8">
        <v>1.1200000000000001</v>
      </c>
      <c r="E581" s="4">
        <v>17</v>
      </c>
      <c r="F581" s="8">
        <v>1.56</v>
      </c>
      <c r="G581" s="4">
        <v>4</v>
      </c>
      <c r="H581" s="8">
        <v>0.53</v>
      </c>
      <c r="I581" s="4">
        <v>0</v>
      </c>
    </row>
    <row r="582" spans="1:9" x14ac:dyDescent="0.2">
      <c r="A582" s="2">
        <v>20</v>
      </c>
      <c r="B582" s="1" t="s">
        <v>167</v>
      </c>
      <c r="C582" s="4">
        <v>21</v>
      </c>
      <c r="D582" s="8">
        <v>1.1200000000000001</v>
      </c>
      <c r="E582" s="4">
        <v>13</v>
      </c>
      <c r="F582" s="8">
        <v>1.19</v>
      </c>
      <c r="G582" s="4">
        <v>8</v>
      </c>
      <c r="H582" s="8">
        <v>1.06</v>
      </c>
      <c r="I582" s="4">
        <v>0</v>
      </c>
    </row>
    <row r="583" spans="1:9" x14ac:dyDescent="0.2">
      <c r="A583" s="1"/>
      <c r="C583" s="4"/>
      <c r="D583" s="8"/>
      <c r="E583" s="4"/>
      <c r="F583" s="8"/>
      <c r="G583" s="4"/>
      <c r="H583" s="8"/>
      <c r="I583" s="4"/>
    </row>
    <row r="584" spans="1:9" x14ac:dyDescent="0.2">
      <c r="A584" s="1" t="s">
        <v>26</v>
      </c>
      <c r="C584" s="4"/>
      <c r="D584" s="8"/>
      <c r="E584" s="4"/>
      <c r="F584" s="8"/>
      <c r="G584" s="4"/>
      <c r="H584" s="8"/>
      <c r="I584" s="4"/>
    </row>
    <row r="585" spans="1:9" x14ac:dyDescent="0.2">
      <c r="A585" s="2">
        <v>1</v>
      </c>
      <c r="B585" s="1" t="s">
        <v>160</v>
      </c>
      <c r="C585" s="4">
        <v>125</v>
      </c>
      <c r="D585" s="8">
        <v>11</v>
      </c>
      <c r="E585" s="4">
        <v>104</v>
      </c>
      <c r="F585" s="8">
        <v>13.1</v>
      </c>
      <c r="G585" s="4">
        <v>21</v>
      </c>
      <c r="H585" s="8">
        <v>6.44</v>
      </c>
      <c r="I585" s="4">
        <v>0</v>
      </c>
    </row>
    <row r="586" spans="1:9" x14ac:dyDescent="0.2">
      <c r="A586" s="2">
        <v>2</v>
      </c>
      <c r="B586" s="1" t="s">
        <v>126</v>
      </c>
      <c r="C586" s="4">
        <v>54</v>
      </c>
      <c r="D586" s="8">
        <v>4.75</v>
      </c>
      <c r="E586" s="4">
        <v>45</v>
      </c>
      <c r="F586" s="8">
        <v>5.67</v>
      </c>
      <c r="G586" s="4">
        <v>9</v>
      </c>
      <c r="H586" s="8">
        <v>2.76</v>
      </c>
      <c r="I586" s="4">
        <v>0</v>
      </c>
    </row>
    <row r="587" spans="1:9" x14ac:dyDescent="0.2">
      <c r="A587" s="2">
        <v>3</v>
      </c>
      <c r="B587" s="1" t="s">
        <v>128</v>
      </c>
      <c r="C587" s="4">
        <v>46</v>
      </c>
      <c r="D587" s="8">
        <v>4.05</v>
      </c>
      <c r="E587" s="4">
        <v>42</v>
      </c>
      <c r="F587" s="8">
        <v>5.29</v>
      </c>
      <c r="G587" s="4">
        <v>4</v>
      </c>
      <c r="H587" s="8">
        <v>1.23</v>
      </c>
      <c r="I587" s="4">
        <v>0</v>
      </c>
    </row>
    <row r="588" spans="1:9" x14ac:dyDescent="0.2">
      <c r="A588" s="2">
        <v>3</v>
      </c>
      <c r="B588" s="1" t="s">
        <v>132</v>
      </c>
      <c r="C588" s="4">
        <v>46</v>
      </c>
      <c r="D588" s="8">
        <v>4.05</v>
      </c>
      <c r="E588" s="4">
        <v>44</v>
      </c>
      <c r="F588" s="8">
        <v>5.54</v>
      </c>
      <c r="G588" s="4">
        <v>2</v>
      </c>
      <c r="H588" s="8">
        <v>0.61</v>
      </c>
      <c r="I588" s="4">
        <v>0</v>
      </c>
    </row>
    <row r="589" spans="1:9" x14ac:dyDescent="0.2">
      <c r="A589" s="2">
        <v>5</v>
      </c>
      <c r="B589" s="1" t="s">
        <v>139</v>
      </c>
      <c r="C589" s="4">
        <v>33</v>
      </c>
      <c r="D589" s="8">
        <v>2.9</v>
      </c>
      <c r="E589" s="4">
        <v>31</v>
      </c>
      <c r="F589" s="8">
        <v>3.9</v>
      </c>
      <c r="G589" s="4">
        <v>2</v>
      </c>
      <c r="H589" s="8">
        <v>0.61</v>
      </c>
      <c r="I589" s="4">
        <v>0</v>
      </c>
    </row>
    <row r="590" spans="1:9" x14ac:dyDescent="0.2">
      <c r="A590" s="2">
        <v>6</v>
      </c>
      <c r="B590" s="1" t="s">
        <v>130</v>
      </c>
      <c r="C590" s="4">
        <v>30</v>
      </c>
      <c r="D590" s="8">
        <v>2.64</v>
      </c>
      <c r="E590" s="4">
        <v>30</v>
      </c>
      <c r="F590" s="8">
        <v>3.78</v>
      </c>
      <c r="G590" s="4">
        <v>0</v>
      </c>
      <c r="H590" s="8">
        <v>0</v>
      </c>
      <c r="I590" s="4">
        <v>0</v>
      </c>
    </row>
    <row r="591" spans="1:9" x14ac:dyDescent="0.2">
      <c r="A591" s="2">
        <v>7</v>
      </c>
      <c r="B591" s="1" t="s">
        <v>121</v>
      </c>
      <c r="C591" s="4">
        <v>29</v>
      </c>
      <c r="D591" s="8">
        <v>2.5499999999999998</v>
      </c>
      <c r="E591" s="4">
        <v>17</v>
      </c>
      <c r="F591" s="8">
        <v>2.14</v>
      </c>
      <c r="G591" s="4">
        <v>12</v>
      </c>
      <c r="H591" s="8">
        <v>3.68</v>
      </c>
      <c r="I591" s="4">
        <v>0</v>
      </c>
    </row>
    <row r="592" spans="1:9" x14ac:dyDescent="0.2">
      <c r="A592" s="2">
        <v>8</v>
      </c>
      <c r="B592" s="1" t="s">
        <v>131</v>
      </c>
      <c r="C592" s="4">
        <v>28</v>
      </c>
      <c r="D592" s="8">
        <v>2.46</v>
      </c>
      <c r="E592" s="4">
        <v>28</v>
      </c>
      <c r="F592" s="8">
        <v>3.53</v>
      </c>
      <c r="G592" s="4">
        <v>0</v>
      </c>
      <c r="H592" s="8">
        <v>0</v>
      </c>
      <c r="I592" s="4">
        <v>0</v>
      </c>
    </row>
    <row r="593" spans="1:9" x14ac:dyDescent="0.2">
      <c r="A593" s="2">
        <v>9</v>
      </c>
      <c r="B593" s="1" t="s">
        <v>129</v>
      </c>
      <c r="C593" s="4">
        <v>27</v>
      </c>
      <c r="D593" s="8">
        <v>2.38</v>
      </c>
      <c r="E593" s="4">
        <v>23</v>
      </c>
      <c r="F593" s="8">
        <v>2.9</v>
      </c>
      <c r="G593" s="4">
        <v>4</v>
      </c>
      <c r="H593" s="8">
        <v>1.23</v>
      </c>
      <c r="I593" s="4">
        <v>0</v>
      </c>
    </row>
    <row r="594" spans="1:9" x14ac:dyDescent="0.2">
      <c r="A594" s="2">
        <v>10</v>
      </c>
      <c r="B594" s="1" t="s">
        <v>124</v>
      </c>
      <c r="C594" s="4">
        <v>22</v>
      </c>
      <c r="D594" s="8">
        <v>1.94</v>
      </c>
      <c r="E594" s="4">
        <v>13</v>
      </c>
      <c r="F594" s="8">
        <v>1.64</v>
      </c>
      <c r="G594" s="4">
        <v>9</v>
      </c>
      <c r="H594" s="8">
        <v>2.76</v>
      </c>
      <c r="I594" s="4">
        <v>0</v>
      </c>
    </row>
    <row r="595" spans="1:9" x14ac:dyDescent="0.2">
      <c r="A595" s="2">
        <v>11</v>
      </c>
      <c r="B595" s="1" t="s">
        <v>133</v>
      </c>
      <c r="C595" s="4">
        <v>21</v>
      </c>
      <c r="D595" s="8">
        <v>1.85</v>
      </c>
      <c r="E595" s="4">
        <v>18</v>
      </c>
      <c r="F595" s="8">
        <v>2.27</v>
      </c>
      <c r="G595" s="4">
        <v>3</v>
      </c>
      <c r="H595" s="8">
        <v>0.92</v>
      </c>
      <c r="I595" s="4">
        <v>0</v>
      </c>
    </row>
    <row r="596" spans="1:9" x14ac:dyDescent="0.2">
      <c r="A596" s="2">
        <v>12</v>
      </c>
      <c r="B596" s="1" t="s">
        <v>137</v>
      </c>
      <c r="C596" s="4">
        <v>20</v>
      </c>
      <c r="D596" s="8">
        <v>1.76</v>
      </c>
      <c r="E596" s="4">
        <v>15</v>
      </c>
      <c r="F596" s="8">
        <v>1.89</v>
      </c>
      <c r="G596" s="4">
        <v>5</v>
      </c>
      <c r="H596" s="8">
        <v>1.53</v>
      </c>
      <c r="I596" s="4">
        <v>0</v>
      </c>
    </row>
    <row r="597" spans="1:9" x14ac:dyDescent="0.2">
      <c r="A597" s="2">
        <v>12</v>
      </c>
      <c r="B597" s="1" t="s">
        <v>146</v>
      </c>
      <c r="C597" s="4">
        <v>20</v>
      </c>
      <c r="D597" s="8">
        <v>1.76</v>
      </c>
      <c r="E597" s="4">
        <v>19</v>
      </c>
      <c r="F597" s="8">
        <v>2.39</v>
      </c>
      <c r="G597" s="4">
        <v>0</v>
      </c>
      <c r="H597" s="8">
        <v>0</v>
      </c>
      <c r="I597" s="4">
        <v>1</v>
      </c>
    </row>
    <row r="598" spans="1:9" x14ac:dyDescent="0.2">
      <c r="A598" s="2">
        <v>12</v>
      </c>
      <c r="B598" s="1" t="s">
        <v>170</v>
      </c>
      <c r="C598" s="4">
        <v>20</v>
      </c>
      <c r="D598" s="8">
        <v>1.76</v>
      </c>
      <c r="E598" s="4">
        <v>19</v>
      </c>
      <c r="F598" s="8">
        <v>2.39</v>
      </c>
      <c r="G598" s="4">
        <v>1</v>
      </c>
      <c r="H598" s="8">
        <v>0.31</v>
      </c>
      <c r="I598" s="4">
        <v>0</v>
      </c>
    </row>
    <row r="599" spans="1:9" x14ac:dyDescent="0.2">
      <c r="A599" s="2">
        <v>15</v>
      </c>
      <c r="B599" s="1" t="s">
        <v>122</v>
      </c>
      <c r="C599" s="4">
        <v>17</v>
      </c>
      <c r="D599" s="8">
        <v>1.5</v>
      </c>
      <c r="E599" s="4">
        <v>9</v>
      </c>
      <c r="F599" s="8">
        <v>1.1299999999999999</v>
      </c>
      <c r="G599" s="4">
        <v>8</v>
      </c>
      <c r="H599" s="8">
        <v>2.4500000000000002</v>
      </c>
      <c r="I599" s="4">
        <v>0</v>
      </c>
    </row>
    <row r="600" spans="1:9" x14ac:dyDescent="0.2">
      <c r="A600" s="2">
        <v>16</v>
      </c>
      <c r="B600" s="1" t="s">
        <v>136</v>
      </c>
      <c r="C600" s="4">
        <v>16</v>
      </c>
      <c r="D600" s="8">
        <v>1.41</v>
      </c>
      <c r="E600" s="4">
        <v>15</v>
      </c>
      <c r="F600" s="8">
        <v>1.89</v>
      </c>
      <c r="G600" s="4">
        <v>1</v>
      </c>
      <c r="H600" s="8">
        <v>0.31</v>
      </c>
      <c r="I600" s="4">
        <v>0</v>
      </c>
    </row>
    <row r="601" spans="1:9" x14ac:dyDescent="0.2">
      <c r="A601" s="2">
        <v>17</v>
      </c>
      <c r="B601" s="1" t="s">
        <v>168</v>
      </c>
      <c r="C601" s="4">
        <v>15</v>
      </c>
      <c r="D601" s="8">
        <v>1.32</v>
      </c>
      <c r="E601" s="4">
        <v>11</v>
      </c>
      <c r="F601" s="8">
        <v>1.39</v>
      </c>
      <c r="G601" s="4">
        <v>4</v>
      </c>
      <c r="H601" s="8">
        <v>1.23</v>
      </c>
      <c r="I601" s="4">
        <v>0</v>
      </c>
    </row>
    <row r="602" spans="1:9" x14ac:dyDescent="0.2">
      <c r="A602" s="2">
        <v>17</v>
      </c>
      <c r="B602" s="1" t="s">
        <v>161</v>
      </c>
      <c r="C602" s="4">
        <v>15</v>
      </c>
      <c r="D602" s="8">
        <v>1.32</v>
      </c>
      <c r="E602" s="4">
        <v>14</v>
      </c>
      <c r="F602" s="8">
        <v>1.76</v>
      </c>
      <c r="G602" s="4">
        <v>1</v>
      </c>
      <c r="H602" s="8">
        <v>0.31</v>
      </c>
      <c r="I602" s="4">
        <v>0</v>
      </c>
    </row>
    <row r="603" spans="1:9" x14ac:dyDescent="0.2">
      <c r="A603" s="2">
        <v>17</v>
      </c>
      <c r="B603" s="1" t="s">
        <v>134</v>
      </c>
      <c r="C603" s="4">
        <v>15</v>
      </c>
      <c r="D603" s="8">
        <v>1.32</v>
      </c>
      <c r="E603" s="4">
        <v>14</v>
      </c>
      <c r="F603" s="8">
        <v>1.76</v>
      </c>
      <c r="G603" s="4">
        <v>1</v>
      </c>
      <c r="H603" s="8">
        <v>0.31</v>
      </c>
      <c r="I603" s="4">
        <v>0</v>
      </c>
    </row>
    <row r="604" spans="1:9" x14ac:dyDescent="0.2">
      <c r="A604" s="2">
        <v>20</v>
      </c>
      <c r="B604" s="1" t="s">
        <v>118</v>
      </c>
      <c r="C604" s="4">
        <v>13</v>
      </c>
      <c r="D604" s="8">
        <v>1.1399999999999999</v>
      </c>
      <c r="E604" s="4">
        <v>8</v>
      </c>
      <c r="F604" s="8">
        <v>1.01</v>
      </c>
      <c r="G604" s="4">
        <v>5</v>
      </c>
      <c r="H604" s="8">
        <v>1.53</v>
      </c>
      <c r="I604" s="4">
        <v>0</v>
      </c>
    </row>
    <row r="605" spans="1:9" x14ac:dyDescent="0.2">
      <c r="A605" s="2">
        <v>20</v>
      </c>
      <c r="B605" s="1" t="s">
        <v>155</v>
      </c>
      <c r="C605" s="4">
        <v>13</v>
      </c>
      <c r="D605" s="8">
        <v>1.1399999999999999</v>
      </c>
      <c r="E605" s="4">
        <v>7</v>
      </c>
      <c r="F605" s="8">
        <v>0.88</v>
      </c>
      <c r="G605" s="4">
        <v>6</v>
      </c>
      <c r="H605" s="8">
        <v>1.84</v>
      </c>
      <c r="I605" s="4">
        <v>0</v>
      </c>
    </row>
    <row r="606" spans="1:9" x14ac:dyDescent="0.2">
      <c r="A606" s="2">
        <v>20</v>
      </c>
      <c r="B606" s="1" t="s">
        <v>169</v>
      </c>
      <c r="C606" s="4">
        <v>13</v>
      </c>
      <c r="D606" s="8">
        <v>1.1399999999999999</v>
      </c>
      <c r="E606" s="4">
        <v>10</v>
      </c>
      <c r="F606" s="8">
        <v>1.26</v>
      </c>
      <c r="G606" s="4">
        <v>3</v>
      </c>
      <c r="H606" s="8">
        <v>0.92</v>
      </c>
      <c r="I606" s="4">
        <v>0</v>
      </c>
    </row>
    <row r="607" spans="1:9" x14ac:dyDescent="0.2">
      <c r="A607" s="1"/>
      <c r="C607" s="4"/>
      <c r="D607" s="8"/>
      <c r="E607" s="4"/>
      <c r="F607" s="8"/>
      <c r="G607" s="4"/>
      <c r="H607" s="8"/>
      <c r="I607" s="4"/>
    </row>
    <row r="608" spans="1:9" x14ac:dyDescent="0.2">
      <c r="A608" s="1" t="s">
        <v>27</v>
      </c>
      <c r="C608" s="4"/>
      <c r="D608" s="8"/>
      <c r="E608" s="4"/>
      <c r="F608" s="8"/>
      <c r="G608" s="4"/>
      <c r="H608" s="8"/>
      <c r="I608" s="4"/>
    </row>
    <row r="609" spans="1:9" x14ac:dyDescent="0.2">
      <c r="A609" s="2">
        <v>1</v>
      </c>
      <c r="B609" s="1" t="s">
        <v>126</v>
      </c>
      <c r="C609" s="4">
        <v>84</v>
      </c>
      <c r="D609" s="8">
        <v>7.96</v>
      </c>
      <c r="E609" s="4">
        <v>63</v>
      </c>
      <c r="F609" s="8">
        <v>11.5</v>
      </c>
      <c r="G609" s="4">
        <v>21</v>
      </c>
      <c r="H609" s="8">
        <v>4.2300000000000004</v>
      </c>
      <c r="I609" s="4">
        <v>0</v>
      </c>
    </row>
    <row r="610" spans="1:9" x14ac:dyDescent="0.2">
      <c r="A610" s="2">
        <v>2</v>
      </c>
      <c r="B610" s="1" t="s">
        <v>132</v>
      </c>
      <c r="C610" s="4">
        <v>58</v>
      </c>
      <c r="D610" s="8">
        <v>5.5</v>
      </c>
      <c r="E610" s="4">
        <v>52</v>
      </c>
      <c r="F610" s="8">
        <v>9.49</v>
      </c>
      <c r="G610" s="4">
        <v>6</v>
      </c>
      <c r="H610" s="8">
        <v>1.21</v>
      </c>
      <c r="I610" s="4">
        <v>0</v>
      </c>
    </row>
    <row r="611" spans="1:9" x14ac:dyDescent="0.2">
      <c r="A611" s="2">
        <v>3</v>
      </c>
      <c r="B611" s="1" t="s">
        <v>116</v>
      </c>
      <c r="C611" s="4">
        <v>39</v>
      </c>
      <c r="D611" s="8">
        <v>3.7</v>
      </c>
      <c r="E611" s="4">
        <v>9</v>
      </c>
      <c r="F611" s="8">
        <v>1.64</v>
      </c>
      <c r="G611" s="4">
        <v>30</v>
      </c>
      <c r="H611" s="8">
        <v>6.04</v>
      </c>
      <c r="I611" s="4">
        <v>0</v>
      </c>
    </row>
    <row r="612" spans="1:9" x14ac:dyDescent="0.2">
      <c r="A612" s="2">
        <v>4</v>
      </c>
      <c r="B612" s="1" t="s">
        <v>133</v>
      </c>
      <c r="C612" s="4">
        <v>31</v>
      </c>
      <c r="D612" s="8">
        <v>2.94</v>
      </c>
      <c r="E612" s="4">
        <v>20</v>
      </c>
      <c r="F612" s="8">
        <v>3.65</v>
      </c>
      <c r="G612" s="4">
        <v>11</v>
      </c>
      <c r="H612" s="8">
        <v>2.21</v>
      </c>
      <c r="I612" s="4">
        <v>0</v>
      </c>
    </row>
    <row r="613" spans="1:9" x14ac:dyDescent="0.2">
      <c r="A613" s="2">
        <v>5</v>
      </c>
      <c r="B613" s="1" t="s">
        <v>120</v>
      </c>
      <c r="C613" s="4">
        <v>28</v>
      </c>
      <c r="D613" s="8">
        <v>2.65</v>
      </c>
      <c r="E613" s="4">
        <v>13</v>
      </c>
      <c r="F613" s="8">
        <v>2.37</v>
      </c>
      <c r="G613" s="4">
        <v>15</v>
      </c>
      <c r="H613" s="8">
        <v>3.02</v>
      </c>
      <c r="I613" s="4">
        <v>0</v>
      </c>
    </row>
    <row r="614" spans="1:9" x14ac:dyDescent="0.2">
      <c r="A614" s="2">
        <v>6</v>
      </c>
      <c r="B614" s="1" t="s">
        <v>131</v>
      </c>
      <c r="C614" s="4">
        <v>27</v>
      </c>
      <c r="D614" s="8">
        <v>2.56</v>
      </c>
      <c r="E614" s="4">
        <v>26</v>
      </c>
      <c r="F614" s="8">
        <v>4.74</v>
      </c>
      <c r="G614" s="4">
        <v>1</v>
      </c>
      <c r="H614" s="8">
        <v>0.2</v>
      </c>
      <c r="I614" s="4">
        <v>0</v>
      </c>
    </row>
    <row r="615" spans="1:9" x14ac:dyDescent="0.2">
      <c r="A615" s="2">
        <v>7</v>
      </c>
      <c r="B615" s="1" t="s">
        <v>118</v>
      </c>
      <c r="C615" s="4">
        <v>22</v>
      </c>
      <c r="D615" s="8">
        <v>2.09</v>
      </c>
      <c r="E615" s="4">
        <v>16</v>
      </c>
      <c r="F615" s="8">
        <v>2.92</v>
      </c>
      <c r="G615" s="4">
        <v>6</v>
      </c>
      <c r="H615" s="8">
        <v>1.21</v>
      </c>
      <c r="I615" s="4">
        <v>0</v>
      </c>
    </row>
    <row r="616" spans="1:9" x14ac:dyDescent="0.2">
      <c r="A616" s="2">
        <v>8</v>
      </c>
      <c r="B616" s="1" t="s">
        <v>122</v>
      </c>
      <c r="C616" s="4">
        <v>21</v>
      </c>
      <c r="D616" s="8">
        <v>1.99</v>
      </c>
      <c r="E616" s="4">
        <v>12</v>
      </c>
      <c r="F616" s="8">
        <v>2.19</v>
      </c>
      <c r="G616" s="4">
        <v>9</v>
      </c>
      <c r="H616" s="8">
        <v>1.81</v>
      </c>
      <c r="I616" s="4">
        <v>0</v>
      </c>
    </row>
    <row r="617" spans="1:9" x14ac:dyDescent="0.2">
      <c r="A617" s="2">
        <v>8</v>
      </c>
      <c r="B617" s="1" t="s">
        <v>161</v>
      </c>
      <c r="C617" s="4">
        <v>21</v>
      </c>
      <c r="D617" s="8">
        <v>1.99</v>
      </c>
      <c r="E617" s="4">
        <v>15</v>
      </c>
      <c r="F617" s="8">
        <v>2.74</v>
      </c>
      <c r="G617" s="4">
        <v>6</v>
      </c>
      <c r="H617" s="8">
        <v>1.21</v>
      </c>
      <c r="I617" s="4">
        <v>0</v>
      </c>
    </row>
    <row r="618" spans="1:9" x14ac:dyDescent="0.2">
      <c r="A618" s="2">
        <v>10</v>
      </c>
      <c r="B618" s="1" t="s">
        <v>128</v>
      </c>
      <c r="C618" s="4">
        <v>20</v>
      </c>
      <c r="D618" s="8">
        <v>1.9</v>
      </c>
      <c r="E618" s="4">
        <v>14</v>
      </c>
      <c r="F618" s="8">
        <v>2.5499999999999998</v>
      </c>
      <c r="G618" s="4">
        <v>6</v>
      </c>
      <c r="H618" s="8">
        <v>1.21</v>
      </c>
      <c r="I618" s="4">
        <v>0</v>
      </c>
    </row>
    <row r="619" spans="1:9" x14ac:dyDescent="0.2">
      <c r="A619" s="2">
        <v>10</v>
      </c>
      <c r="B619" s="1" t="s">
        <v>129</v>
      </c>
      <c r="C619" s="4">
        <v>20</v>
      </c>
      <c r="D619" s="8">
        <v>1.9</v>
      </c>
      <c r="E619" s="4">
        <v>20</v>
      </c>
      <c r="F619" s="8">
        <v>3.65</v>
      </c>
      <c r="G619" s="4">
        <v>0</v>
      </c>
      <c r="H619" s="8">
        <v>0</v>
      </c>
      <c r="I619" s="4">
        <v>0</v>
      </c>
    </row>
    <row r="620" spans="1:9" x14ac:dyDescent="0.2">
      <c r="A620" s="2">
        <v>10</v>
      </c>
      <c r="B620" s="1" t="s">
        <v>134</v>
      </c>
      <c r="C620" s="4">
        <v>20</v>
      </c>
      <c r="D620" s="8">
        <v>1.9</v>
      </c>
      <c r="E620" s="4">
        <v>14</v>
      </c>
      <c r="F620" s="8">
        <v>2.5499999999999998</v>
      </c>
      <c r="G620" s="4">
        <v>6</v>
      </c>
      <c r="H620" s="8">
        <v>1.21</v>
      </c>
      <c r="I620" s="4">
        <v>0</v>
      </c>
    </row>
    <row r="621" spans="1:9" x14ac:dyDescent="0.2">
      <c r="A621" s="2">
        <v>13</v>
      </c>
      <c r="B621" s="1" t="s">
        <v>119</v>
      </c>
      <c r="C621" s="4">
        <v>19</v>
      </c>
      <c r="D621" s="8">
        <v>1.8</v>
      </c>
      <c r="E621" s="4">
        <v>8</v>
      </c>
      <c r="F621" s="8">
        <v>1.46</v>
      </c>
      <c r="G621" s="4">
        <v>11</v>
      </c>
      <c r="H621" s="8">
        <v>2.21</v>
      </c>
      <c r="I621" s="4">
        <v>0</v>
      </c>
    </row>
    <row r="622" spans="1:9" x14ac:dyDescent="0.2">
      <c r="A622" s="2">
        <v>14</v>
      </c>
      <c r="B622" s="1" t="s">
        <v>147</v>
      </c>
      <c r="C622" s="4">
        <v>17</v>
      </c>
      <c r="D622" s="8">
        <v>1.61</v>
      </c>
      <c r="E622" s="4">
        <v>1</v>
      </c>
      <c r="F622" s="8">
        <v>0.18</v>
      </c>
      <c r="G622" s="4">
        <v>16</v>
      </c>
      <c r="H622" s="8">
        <v>3.22</v>
      </c>
      <c r="I622" s="4">
        <v>0</v>
      </c>
    </row>
    <row r="623" spans="1:9" x14ac:dyDescent="0.2">
      <c r="A623" s="2">
        <v>15</v>
      </c>
      <c r="B623" s="1" t="s">
        <v>117</v>
      </c>
      <c r="C623" s="4">
        <v>16</v>
      </c>
      <c r="D623" s="8">
        <v>1.52</v>
      </c>
      <c r="E623" s="4">
        <v>2</v>
      </c>
      <c r="F623" s="8">
        <v>0.36</v>
      </c>
      <c r="G623" s="4">
        <v>14</v>
      </c>
      <c r="H623" s="8">
        <v>2.82</v>
      </c>
      <c r="I623" s="4">
        <v>0</v>
      </c>
    </row>
    <row r="624" spans="1:9" x14ac:dyDescent="0.2">
      <c r="A624" s="2">
        <v>15</v>
      </c>
      <c r="B624" s="1" t="s">
        <v>127</v>
      </c>
      <c r="C624" s="4">
        <v>16</v>
      </c>
      <c r="D624" s="8">
        <v>1.52</v>
      </c>
      <c r="E624" s="4">
        <v>7</v>
      </c>
      <c r="F624" s="8">
        <v>1.28</v>
      </c>
      <c r="G624" s="4">
        <v>9</v>
      </c>
      <c r="H624" s="8">
        <v>1.81</v>
      </c>
      <c r="I624" s="4">
        <v>0</v>
      </c>
    </row>
    <row r="625" spans="1:9" x14ac:dyDescent="0.2">
      <c r="A625" s="2">
        <v>17</v>
      </c>
      <c r="B625" s="1" t="s">
        <v>125</v>
      </c>
      <c r="C625" s="4">
        <v>15</v>
      </c>
      <c r="D625" s="8">
        <v>1.42</v>
      </c>
      <c r="E625" s="4">
        <v>5</v>
      </c>
      <c r="F625" s="8">
        <v>0.91</v>
      </c>
      <c r="G625" s="4">
        <v>10</v>
      </c>
      <c r="H625" s="8">
        <v>2.0099999999999998</v>
      </c>
      <c r="I625" s="4">
        <v>0</v>
      </c>
    </row>
    <row r="626" spans="1:9" x14ac:dyDescent="0.2">
      <c r="A626" s="2">
        <v>17</v>
      </c>
      <c r="B626" s="1" t="s">
        <v>135</v>
      </c>
      <c r="C626" s="4">
        <v>15</v>
      </c>
      <c r="D626" s="8">
        <v>1.42</v>
      </c>
      <c r="E626" s="4">
        <v>12</v>
      </c>
      <c r="F626" s="8">
        <v>2.19</v>
      </c>
      <c r="G626" s="4">
        <v>3</v>
      </c>
      <c r="H626" s="8">
        <v>0.6</v>
      </c>
      <c r="I626" s="4">
        <v>0</v>
      </c>
    </row>
    <row r="627" spans="1:9" x14ac:dyDescent="0.2">
      <c r="A627" s="2">
        <v>19</v>
      </c>
      <c r="B627" s="1" t="s">
        <v>123</v>
      </c>
      <c r="C627" s="4">
        <v>13</v>
      </c>
      <c r="D627" s="8">
        <v>1.23</v>
      </c>
      <c r="E627" s="4">
        <v>3</v>
      </c>
      <c r="F627" s="8">
        <v>0.55000000000000004</v>
      </c>
      <c r="G627" s="4">
        <v>10</v>
      </c>
      <c r="H627" s="8">
        <v>2.0099999999999998</v>
      </c>
      <c r="I627" s="4">
        <v>0</v>
      </c>
    </row>
    <row r="628" spans="1:9" x14ac:dyDescent="0.2">
      <c r="A628" s="2">
        <v>19</v>
      </c>
      <c r="B628" s="1" t="s">
        <v>140</v>
      </c>
      <c r="C628" s="4">
        <v>13</v>
      </c>
      <c r="D628" s="8">
        <v>1.23</v>
      </c>
      <c r="E628" s="4">
        <v>6</v>
      </c>
      <c r="F628" s="8">
        <v>1.0900000000000001</v>
      </c>
      <c r="G628" s="4">
        <v>7</v>
      </c>
      <c r="H628" s="8">
        <v>1.41</v>
      </c>
      <c r="I628" s="4">
        <v>0</v>
      </c>
    </row>
    <row r="629" spans="1:9" x14ac:dyDescent="0.2">
      <c r="A629" s="2">
        <v>19</v>
      </c>
      <c r="B629" s="1" t="s">
        <v>153</v>
      </c>
      <c r="C629" s="4">
        <v>13</v>
      </c>
      <c r="D629" s="8">
        <v>1.23</v>
      </c>
      <c r="E629" s="4">
        <v>10</v>
      </c>
      <c r="F629" s="8">
        <v>1.82</v>
      </c>
      <c r="G629" s="4">
        <v>3</v>
      </c>
      <c r="H629" s="8">
        <v>0.6</v>
      </c>
      <c r="I629" s="4">
        <v>0</v>
      </c>
    </row>
    <row r="630" spans="1:9" x14ac:dyDescent="0.2">
      <c r="A630" s="1"/>
      <c r="C630" s="4"/>
      <c r="D630" s="8"/>
      <c r="E630" s="4"/>
      <c r="F630" s="8"/>
      <c r="G630" s="4"/>
      <c r="H630" s="8"/>
      <c r="I630" s="4"/>
    </row>
    <row r="631" spans="1:9" x14ac:dyDescent="0.2">
      <c r="A631" s="1" t="s">
        <v>28</v>
      </c>
      <c r="C631" s="4"/>
      <c r="D631" s="8"/>
      <c r="E631" s="4"/>
      <c r="F631" s="8"/>
      <c r="G631" s="4"/>
      <c r="H631" s="8"/>
      <c r="I631" s="4"/>
    </row>
    <row r="632" spans="1:9" x14ac:dyDescent="0.2">
      <c r="A632" s="2">
        <v>1</v>
      </c>
      <c r="B632" s="1" t="s">
        <v>126</v>
      </c>
      <c r="C632" s="4">
        <v>91</v>
      </c>
      <c r="D632" s="8">
        <v>6.95</v>
      </c>
      <c r="E632" s="4">
        <v>76</v>
      </c>
      <c r="F632" s="8">
        <v>10.51</v>
      </c>
      <c r="G632" s="4">
        <v>15</v>
      </c>
      <c r="H632" s="8">
        <v>2.59</v>
      </c>
      <c r="I632" s="4">
        <v>0</v>
      </c>
    </row>
    <row r="633" spans="1:9" x14ac:dyDescent="0.2">
      <c r="A633" s="2">
        <v>2</v>
      </c>
      <c r="B633" s="1" t="s">
        <v>132</v>
      </c>
      <c r="C633" s="4">
        <v>64</v>
      </c>
      <c r="D633" s="8">
        <v>4.8899999999999997</v>
      </c>
      <c r="E633" s="4">
        <v>60</v>
      </c>
      <c r="F633" s="8">
        <v>8.3000000000000007</v>
      </c>
      <c r="G633" s="4">
        <v>4</v>
      </c>
      <c r="H633" s="8">
        <v>0.69</v>
      </c>
      <c r="I633" s="4">
        <v>0</v>
      </c>
    </row>
    <row r="634" spans="1:9" x14ac:dyDescent="0.2">
      <c r="A634" s="2">
        <v>3</v>
      </c>
      <c r="B634" s="1" t="s">
        <v>145</v>
      </c>
      <c r="C634" s="4">
        <v>56</v>
      </c>
      <c r="D634" s="8">
        <v>4.28</v>
      </c>
      <c r="E634" s="4">
        <v>23</v>
      </c>
      <c r="F634" s="8">
        <v>3.18</v>
      </c>
      <c r="G634" s="4">
        <v>33</v>
      </c>
      <c r="H634" s="8">
        <v>5.7</v>
      </c>
      <c r="I634" s="4">
        <v>0</v>
      </c>
    </row>
    <row r="635" spans="1:9" x14ac:dyDescent="0.2">
      <c r="A635" s="2">
        <v>4</v>
      </c>
      <c r="B635" s="1" t="s">
        <v>133</v>
      </c>
      <c r="C635" s="4">
        <v>38</v>
      </c>
      <c r="D635" s="8">
        <v>2.9</v>
      </c>
      <c r="E635" s="4">
        <v>33</v>
      </c>
      <c r="F635" s="8">
        <v>4.5599999999999996</v>
      </c>
      <c r="G635" s="4">
        <v>5</v>
      </c>
      <c r="H635" s="8">
        <v>0.86</v>
      </c>
      <c r="I635" s="4">
        <v>0</v>
      </c>
    </row>
    <row r="636" spans="1:9" x14ac:dyDescent="0.2">
      <c r="A636" s="2">
        <v>5</v>
      </c>
      <c r="B636" s="1" t="s">
        <v>131</v>
      </c>
      <c r="C636" s="4">
        <v>34</v>
      </c>
      <c r="D636" s="8">
        <v>2.6</v>
      </c>
      <c r="E636" s="4">
        <v>32</v>
      </c>
      <c r="F636" s="8">
        <v>4.43</v>
      </c>
      <c r="G636" s="4">
        <v>2</v>
      </c>
      <c r="H636" s="8">
        <v>0.35</v>
      </c>
      <c r="I636" s="4">
        <v>0</v>
      </c>
    </row>
    <row r="637" spans="1:9" x14ac:dyDescent="0.2">
      <c r="A637" s="2">
        <v>6</v>
      </c>
      <c r="B637" s="1" t="s">
        <v>121</v>
      </c>
      <c r="C637" s="4">
        <v>32</v>
      </c>
      <c r="D637" s="8">
        <v>2.44</v>
      </c>
      <c r="E637" s="4">
        <v>22</v>
      </c>
      <c r="F637" s="8">
        <v>3.04</v>
      </c>
      <c r="G637" s="4">
        <v>10</v>
      </c>
      <c r="H637" s="8">
        <v>1.73</v>
      </c>
      <c r="I637" s="4">
        <v>0</v>
      </c>
    </row>
    <row r="638" spans="1:9" x14ac:dyDescent="0.2">
      <c r="A638" s="2">
        <v>7</v>
      </c>
      <c r="B638" s="1" t="s">
        <v>134</v>
      </c>
      <c r="C638" s="4">
        <v>29</v>
      </c>
      <c r="D638" s="8">
        <v>2.2200000000000002</v>
      </c>
      <c r="E638" s="4">
        <v>24</v>
      </c>
      <c r="F638" s="8">
        <v>3.32</v>
      </c>
      <c r="G638" s="4">
        <v>5</v>
      </c>
      <c r="H638" s="8">
        <v>0.86</v>
      </c>
      <c r="I638" s="4">
        <v>0</v>
      </c>
    </row>
    <row r="639" spans="1:9" x14ac:dyDescent="0.2">
      <c r="A639" s="2">
        <v>8</v>
      </c>
      <c r="B639" s="1" t="s">
        <v>128</v>
      </c>
      <c r="C639" s="4">
        <v>25</v>
      </c>
      <c r="D639" s="8">
        <v>1.91</v>
      </c>
      <c r="E639" s="4">
        <v>22</v>
      </c>
      <c r="F639" s="8">
        <v>3.04</v>
      </c>
      <c r="G639" s="4">
        <v>3</v>
      </c>
      <c r="H639" s="8">
        <v>0.52</v>
      </c>
      <c r="I639" s="4">
        <v>0</v>
      </c>
    </row>
    <row r="640" spans="1:9" x14ac:dyDescent="0.2">
      <c r="A640" s="2">
        <v>9</v>
      </c>
      <c r="B640" s="1" t="s">
        <v>122</v>
      </c>
      <c r="C640" s="4">
        <v>22</v>
      </c>
      <c r="D640" s="8">
        <v>1.68</v>
      </c>
      <c r="E640" s="4">
        <v>8</v>
      </c>
      <c r="F640" s="8">
        <v>1.1100000000000001</v>
      </c>
      <c r="G640" s="4">
        <v>14</v>
      </c>
      <c r="H640" s="8">
        <v>2.42</v>
      </c>
      <c r="I640" s="4">
        <v>0</v>
      </c>
    </row>
    <row r="641" spans="1:9" x14ac:dyDescent="0.2">
      <c r="A641" s="2">
        <v>10</v>
      </c>
      <c r="B641" s="1" t="s">
        <v>118</v>
      </c>
      <c r="C641" s="4">
        <v>21</v>
      </c>
      <c r="D641" s="8">
        <v>1.6</v>
      </c>
      <c r="E641" s="4">
        <v>12</v>
      </c>
      <c r="F641" s="8">
        <v>1.66</v>
      </c>
      <c r="G641" s="4">
        <v>9</v>
      </c>
      <c r="H641" s="8">
        <v>1.55</v>
      </c>
      <c r="I641" s="4">
        <v>0</v>
      </c>
    </row>
    <row r="642" spans="1:9" x14ac:dyDescent="0.2">
      <c r="A642" s="2">
        <v>10</v>
      </c>
      <c r="B642" s="1" t="s">
        <v>124</v>
      </c>
      <c r="C642" s="4">
        <v>21</v>
      </c>
      <c r="D642" s="8">
        <v>1.6</v>
      </c>
      <c r="E642" s="4">
        <v>16</v>
      </c>
      <c r="F642" s="8">
        <v>2.21</v>
      </c>
      <c r="G642" s="4">
        <v>5</v>
      </c>
      <c r="H642" s="8">
        <v>0.86</v>
      </c>
      <c r="I642" s="4">
        <v>0</v>
      </c>
    </row>
    <row r="643" spans="1:9" x14ac:dyDescent="0.2">
      <c r="A643" s="2">
        <v>10</v>
      </c>
      <c r="B643" s="1" t="s">
        <v>125</v>
      </c>
      <c r="C643" s="4">
        <v>21</v>
      </c>
      <c r="D643" s="8">
        <v>1.6</v>
      </c>
      <c r="E643" s="4">
        <v>11</v>
      </c>
      <c r="F643" s="8">
        <v>1.52</v>
      </c>
      <c r="G643" s="4">
        <v>10</v>
      </c>
      <c r="H643" s="8">
        <v>1.73</v>
      </c>
      <c r="I643" s="4">
        <v>0</v>
      </c>
    </row>
    <row r="644" spans="1:9" x14ac:dyDescent="0.2">
      <c r="A644" s="2">
        <v>10</v>
      </c>
      <c r="B644" s="1" t="s">
        <v>139</v>
      </c>
      <c r="C644" s="4">
        <v>21</v>
      </c>
      <c r="D644" s="8">
        <v>1.6</v>
      </c>
      <c r="E644" s="4">
        <v>20</v>
      </c>
      <c r="F644" s="8">
        <v>2.77</v>
      </c>
      <c r="G644" s="4">
        <v>1</v>
      </c>
      <c r="H644" s="8">
        <v>0.17</v>
      </c>
      <c r="I644" s="4">
        <v>0</v>
      </c>
    </row>
    <row r="645" spans="1:9" x14ac:dyDescent="0.2">
      <c r="A645" s="2">
        <v>14</v>
      </c>
      <c r="B645" s="1" t="s">
        <v>120</v>
      </c>
      <c r="C645" s="4">
        <v>20</v>
      </c>
      <c r="D645" s="8">
        <v>1.53</v>
      </c>
      <c r="E645" s="4">
        <v>3</v>
      </c>
      <c r="F645" s="8">
        <v>0.41</v>
      </c>
      <c r="G645" s="4">
        <v>17</v>
      </c>
      <c r="H645" s="8">
        <v>2.94</v>
      </c>
      <c r="I645" s="4">
        <v>0</v>
      </c>
    </row>
    <row r="646" spans="1:9" x14ac:dyDescent="0.2">
      <c r="A646" s="2">
        <v>14</v>
      </c>
      <c r="B646" s="1" t="s">
        <v>140</v>
      </c>
      <c r="C646" s="4">
        <v>20</v>
      </c>
      <c r="D646" s="8">
        <v>1.53</v>
      </c>
      <c r="E646" s="4">
        <v>17</v>
      </c>
      <c r="F646" s="8">
        <v>2.35</v>
      </c>
      <c r="G646" s="4">
        <v>3</v>
      </c>
      <c r="H646" s="8">
        <v>0.52</v>
      </c>
      <c r="I646" s="4">
        <v>0</v>
      </c>
    </row>
    <row r="647" spans="1:9" x14ac:dyDescent="0.2">
      <c r="A647" s="2">
        <v>16</v>
      </c>
      <c r="B647" s="1" t="s">
        <v>129</v>
      </c>
      <c r="C647" s="4">
        <v>19</v>
      </c>
      <c r="D647" s="8">
        <v>1.45</v>
      </c>
      <c r="E647" s="4">
        <v>16</v>
      </c>
      <c r="F647" s="8">
        <v>2.21</v>
      </c>
      <c r="G647" s="4">
        <v>3</v>
      </c>
      <c r="H647" s="8">
        <v>0.52</v>
      </c>
      <c r="I647" s="4">
        <v>0</v>
      </c>
    </row>
    <row r="648" spans="1:9" x14ac:dyDescent="0.2">
      <c r="A648" s="2">
        <v>16</v>
      </c>
      <c r="B648" s="1" t="s">
        <v>153</v>
      </c>
      <c r="C648" s="4">
        <v>19</v>
      </c>
      <c r="D648" s="8">
        <v>1.45</v>
      </c>
      <c r="E648" s="4">
        <v>15</v>
      </c>
      <c r="F648" s="8">
        <v>2.0699999999999998</v>
      </c>
      <c r="G648" s="4">
        <v>4</v>
      </c>
      <c r="H648" s="8">
        <v>0.69</v>
      </c>
      <c r="I648" s="4">
        <v>0</v>
      </c>
    </row>
    <row r="649" spans="1:9" x14ac:dyDescent="0.2">
      <c r="A649" s="2">
        <v>18</v>
      </c>
      <c r="B649" s="1" t="s">
        <v>136</v>
      </c>
      <c r="C649" s="4">
        <v>18</v>
      </c>
      <c r="D649" s="8">
        <v>1.38</v>
      </c>
      <c r="E649" s="4">
        <v>11</v>
      </c>
      <c r="F649" s="8">
        <v>1.52</v>
      </c>
      <c r="G649" s="4">
        <v>7</v>
      </c>
      <c r="H649" s="8">
        <v>1.21</v>
      </c>
      <c r="I649" s="4">
        <v>0</v>
      </c>
    </row>
    <row r="650" spans="1:9" x14ac:dyDescent="0.2">
      <c r="A650" s="2">
        <v>18</v>
      </c>
      <c r="B650" s="1" t="s">
        <v>127</v>
      </c>
      <c r="C650" s="4">
        <v>18</v>
      </c>
      <c r="D650" s="8">
        <v>1.38</v>
      </c>
      <c r="E650" s="4">
        <v>10</v>
      </c>
      <c r="F650" s="8">
        <v>1.38</v>
      </c>
      <c r="G650" s="4">
        <v>8</v>
      </c>
      <c r="H650" s="8">
        <v>1.38</v>
      </c>
      <c r="I650" s="4">
        <v>0</v>
      </c>
    </row>
    <row r="651" spans="1:9" x14ac:dyDescent="0.2">
      <c r="A651" s="2">
        <v>20</v>
      </c>
      <c r="B651" s="1" t="s">
        <v>171</v>
      </c>
      <c r="C651" s="4">
        <v>17</v>
      </c>
      <c r="D651" s="8">
        <v>1.3</v>
      </c>
      <c r="E651" s="4">
        <v>2</v>
      </c>
      <c r="F651" s="8">
        <v>0.28000000000000003</v>
      </c>
      <c r="G651" s="4">
        <v>15</v>
      </c>
      <c r="H651" s="8">
        <v>2.59</v>
      </c>
      <c r="I651" s="4">
        <v>0</v>
      </c>
    </row>
    <row r="652" spans="1:9" x14ac:dyDescent="0.2">
      <c r="A652" s="1"/>
      <c r="C652" s="4"/>
      <c r="D652" s="8"/>
      <c r="E652" s="4"/>
      <c r="F652" s="8"/>
      <c r="G652" s="4"/>
      <c r="H652" s="8"/>
      <c r="I652" s="4"/>
    </row>
    <row r="653" spans="1:9" x14ac:dyDescent="0.2">
      <c r="A653" s="1" t="s">
        <v>29</v>
      </c>
      <c r="C653" s="4"/>
      <c r="D653" s="8"/>
      <c r="E653" s="4"/>
      <c r="F653" s="8"/>
      <c r="G653" s="4"/>
      <c r="H653" s="8"/>
      <c r="I653" s="4"/>
    </row>
    <row r="654" spans="1:9" x14ac:dyDescent="0.2">
      <c r="A654" s="2">
        <v>1</v>
      </c>
      <c r="B654" s="1" t="s">
        <v>126</v>
      </c>
      <c r="C654" s="4">
        <v>77</v>
      </c>
      <c r="D654" s="8">
        <v>8.36</v>
      </c>
      <c r="E654" s="4">
        <v>73</v>
      </c>
      <c r="F654" s="8">
        <v>12.92</v>
      </c>
      <c r="G654" s="4">
        <v>4</v>
      </c>
      <c r="H654" s="8">
        <v>1.17</v>
      </c>
      <c r="I654" s="4">
        <v>0</v>
      </c>
    </row>
    <row r="655" spans="1:9" x14ac:dyDescent="0.2">
      <c r="A655" s="2">
        <v>2</v>
      </c>
      <c r="B655" s="1" t="s">
        <v>116</v>
      </c>
      <c r="C655" s="4">
        <v>38</v>
      </c>
      <c r="D655" s="8">
        <v>4.13</v>
      </c>
      <c r="E655" s="4">
        <v>9</v>
      </c>
      <c r="F655" s="8">
        <v>1.59</v>
      </c>
      <c r="G655" s="4">
        <v>29</v>
      </c>
      <c r="H655" s="8">
        <v>8.4499999999999993</v>
      </c>
      <c r="I655" s="4">
        <v>0</v>
      </c>
    </row>
    <row r="656" spans="1:9" x14ac:dyDescent="0.2">
      <c r="A656" s="2">
        <v>3</v>
      </c>
      <c r="B656" s="1" t="s">
        <v>160</v>
      </c>
      <c r="C656" s="4">
        <v>35</v>
      </c>
      <c r="D656" s="8">
        <v>3.8</v>
      </c>
      <c r="E656" s="4">
        <v>29</v>
      </c>
      <c r="F656" s="8">
        <v>5.13</v>
      </c>
      <c r="G656" s="4">
        <v>6</v>
      </c>
      <c r="H656" s="8">
        <v>1.75</v>
      </c>
      <c r="I656" s="4">
        <v>0</v>
      </c>
    </row>
    <row r="657" spans="1:9" x14ac:dyDescent="0.2">
      <c r="A657" s="2">
        <v>4</v>
      </c>
      <c r="B657" s="1" t="s">
        <v>132</v>
      </c>
      <c r="C657" s="4">
        <v>32</v>
      </c>
      <c r="D657" s="8">
        <v>3.47</v>
      </c>
      <c r="E657" s="4">
        <v>30</v>
      </c>
      <c r="F657" s="8">
        <v>5.31</v>
      </c>
      <c r="G657" s="4">
        <v>2</v>
      </c>
      <c r="H657" s="8">
        <v>0.57999999999999996</v>
      </c>
      <c r="I657" s="4">
        <v>0</v>
      </c>
    </row>
    <row r="658" spans="1:9" x14ac:dyDescent="0.2">
      <c r="A658" s="2">
        <v>5</v>
      </c>
      <c r="B658" s="1" t="s">
        <v>131</v>
      </c>
      <c r="C658" s="4">
        <v>29</v>
      </c>
      <c r="D658" s="8">
        <v>3.15</v>
      </c>
      <c r="E658" s="4">
        <v>28</v>
      </c>
      <c r="F658" s="8">
        <v>4.96</v>
      </c>
      <c r="G658" s="4">
        <v>1</v>
      </c>
      <c r="H658" s="8">
        <v>0.28999999999999998</v>
      </c>
      <c r="I658" s="4">
        <v>0</v>
      </c>
    </row>
    <row r="659" spans="1:9" x14ac:dyDescent="0.2">
      <c r="A659" s="2">
        <v>6</v>
      </c>
      <c r="B659" s="1" t="s">
        <v>128</v>
      </c>
      <c r="C659" s="4">
        <v>27</v>
      </c>
      <c r="D659" s="8">
        <v>2.93</v>
      </c>
      <c r="E659" s="4">
        <v>24</v>
      </c>
      <c r="F659" s="8">
        <v>4.25</v>
      </c>
      <c r="G659" s="4">
        <v>3</v>
      </c>
      <c r="H659" s="8">
        <v>0.87</v>
      </c>
      <c r="I659" s="4">
        <v>0</v>
      </c>
    </row>
    <row r="660" spans="1:9" x14ac:dyDescent="0.2">
      <c r="A660" s="2">
        <v>7</v>
      </c>
      <c r="B660" s="1" t="s">
        <v>124</v>
      </c>
      <c r="C660" s="4">
        <v>22</v>
      </c>
      <c r="D660" s="8">
        <v>2.39</v>
      </c>
      <c r="E660" s="4">
        <v>12</v>
      </c>
      <c r="F660" s="8">
        <v>2.12</v>
      </c>
      <c r="G660" s="4">
        <v>10</v>
      </c>
      <c r="H660" s="8">
        <v>2.92</v>
      </c>
      <c r="I660" s="4">
        <v>0</v>
      </c>
    </row>
    <row r="661" spans="1:9" x14ac:dyDescent="0.2">
      <c r="A661" s="2">
        <v>8</v>
      </c>
      <c r="B661" s="1" t="s">
        <v>119</v>
      </c>
      <c r="C661" s="4">
        <v>20</v>
      </c>
      <c r="D661" s="8">
        <v>2.17</v>
      </c>
      <c r="E661" s="4">
        <v>8</v>
      </c>
      <c r="F661" s="8">
        <v>1.42</v>
      </c>
      <c r="G661" s="4">
        <v>12</v>
      </c>
      <c r="H661" s="8">
        <v>3.5</v>
      </c>
      <c r="I661" s="4">
        <v>0</v>
      </c>
    </row>
    <row r="662" spans="1:9" x14ac:dyDescent="0.2">
      <c r="A662" s="2">
        <v>9</v>
      </c>
      <c r="B662" s="1" t="s">
        <v>121</v>
      </c>
      <c r="C662" s="4">
        <v>18</v>
      </c>
      <c r="D662" s="8">
        <v>1.95</v>
      </c>
      <c r="E662" s="4">
        <v>10</v>
      </c>
      <c r="F662" s="8">
        <v>1.77</v>
      </c>
      <c r="G662" s="4">
        <v>8</v>
      </c>
      <c r="H662" s="8">
        <v>2.33</v>
      </c>
      <c r="I662" s="4">
        <v>0</v>
      </c>
    </row>
    <row r="663" spans="1:9" x14ac:dyDescent="0.2">
      <c r="A663" s="2">
        <v>9</v>
      </c>
      <c r="B663" s="1" t="s">
        <v>161</v>
      </c>
      <c r="C663" s="4">
        <v>18</v>
      </c>
      <c r="D663" s="8">
        <v>1.95</v>
      </c>
      <c r="E663" s="4">
        <v>14</v>
      </c>
      <c r="F663" s="8">
        <v>2.48</v>
      </c>
      <c r="G663" s="4">
        <v>4</v>
      </c>
      <c r="H663" s="8">
        <v>1.17</v>
      </c>
      <c r="I663" s="4">
        <v>0</v>
      </c>
    </row>
    <row r="664" spans="1:9" x14ac:dyDescent="0.2">
      <c r="A664" s="2">
        <v>11</v>
      </c>
      <c r="B664" s="1" t="s">
        <v>129</v>
      </c>
      <c r="C664" s="4">
        <v>16</v>
      </c>
      <c r="D664" s="8">
        <v>1.74</v>
      </c>
      <c r="E664" s="4">
        <v>16</v>
      </c>
      <c r="F664" s="8">
        <v>2.83</v>
      </c>
      <c r="G664" s="4">
        <v>0</v>
      </c>
      <c r="H664" s="8">
        <v>0</v>
      </c>
      <c r="I664" s="4">
        <v>0</v>
      </c>
    </row>
    <row r="665" spans="1:9" x14ac:dyDescent="0.2">
      <c r="A665" s="2">
        <v>12</v>
      </c>
      <c r="B665" s="1" t="s">
        <v>118</v>
      </c>
      <c r="C665" s="4">
        <v>15</v>
      </c>
      <c r="D665" s="8">
        <v>1.63</v>
      </c>
      <c r="E665" s="4">
        <v>9</v>
      </c>
      <c r="F665" s="8">
        <v>1.59</v>
      </c>
      <c r="G665" s="4">
        <v>6</v>
      </c>
      <c r="H665" s="8">
        <v>1.75</v>
      </c>
      <c r="I665" s="4">
        <v>0</v>
      </c>
    </row>
    <row r="666" spans="1:9" x14ac:dyDescent="0.2">
      <c r="A666" s="2">
        <v>13</v>
      </c>
      <c r="B666" s="1" t="s">
        <v>117</v>
      </c>
      <c r="C666" s="4">
        <v>14</v>
      </c>
      <c r="D666" s="8">
        <v>1.52</v>
      </c>
      <c r="E666" s="4">
        <v>3</v>
      </c>
      <c r="F666" s="8">
        <v>0.53</v>
      </c>
      <c r="G666" s="4">
        <v>11</v>
      </c>
      <c r="H666" s="8">
        <v>3.21</v>
      </c>
      <c r="I666" s="4">
        <v>0</v>
      </c>
    </row>
    <row r="667" spans="1:9" x14ac:dyDescent="0.2">
      <c r="A667" s="2">
        <v>13</v>
      </c>
      <c r="B667" s="1" t="s">
        <v>122</v>
      </c>
      <c r="C667" s="4">
        <v>14</v>
      </c>
      <c r="D667" s="8">
        <v>1.52</v>
      </c>
      <c r="E667" s="4">
        <v>10</v>
      </c>
      <c r="F667" s="8">
        <v>1.77</v>
      </c>
      <c r="G667" s="4">
        <v>4</v>
      </c>
      <c r="H667" s="8">
        <v>1.17</v>
      </c>
      <c r="I667" s="4">
        <v>0</v>
      </c>
    </row>
    <row r="668" spans="1:9" x14ac:dyDescent="0.2">
      <c r="A668" s="2">
        <v>13</v>
      </c>
      <c r="B668" s="1" t="s">
        <v>134</v>
      </c>
      <c r="C668" s="4">
        <v>14</v>
      </c>
      <c r="D668" s="8">
        <v>1.52</v>
      </c>
      <c r="E668" s="4">
        <v>12</v>
      </c>
      <c r="F668" s="8">
        <v>2.12</v>
      </c>
      <c r="G668" s="4">
        <v>2</v>
      </c>
      <c r="H668" s="8">
        <v>0.57999999999999996</v>
      </c>
      <c r="I668" s="4">
        <v>0</v>
      </c>
    </row>
    <row r="669" spans="1:9" x14ac:dyDescent="0.2">
      <c r="A669" s="2">
        <v>16</v>
      </c>
      <c r="B669" s="1" t="s">
        <v>156</v>
      </c>
      <c r="C669" s="4">
        <v>13</v>
      </c>
      <c r="D669" s="8">
        <v>1.41</v>
      </c>
      <c r="E669" s="4">
        <v>8</v>
      </c>
      <c r="F669" s="8">
        <v>1.42</v>
      </c>
      <c r="G669" s="4">
        <v>5</v>
      </c>
      <c r="H669" s="8">
        <v>1.46</v>
      </c>
      <c r="I669" s="4">
        <v>0</v>
      </c>
    </row>
    <row r="670" spans="1:9" x14ac:dyDescent="0.2">
      <c r="A670" s="2">
        <v>16</v>
      </c>
      <c r="B670" s="1" t="s">
        <v>172</v>
      </c>
      <c r="C670" s="4">
        <v>13</v>
      </c>
      <c r="D670" s="8">
        <v>1.41</v>
      </c>
      <c r="E670" s="4">
        <v>8</v>
      </c>
      <c r="F670" s="8">
        <v>1.42</v>
      </c>
      <c r="G670" s="4">
        <v>5</v>
      </c>
      <c r="H670" s="8">
        <v>1.46</v>
      </c>
      <c r="I670" s="4">
        <v>0</v>
      </c>
    </row>
    <row r="671" spans="1:9" x14ac:dyDescent="0.2">
      <c r="A671" s="2">
        <v>16</v>
      </c>
      <c r="B671" s="1" t="s">
        <v>136</v>
      </c>
      <c r="C671" s="4">
        <v>13</v>
      </c>
      <c r="D671" s="8">
        <v>1.41</v>
      </c>
      <c r="E671" s="4">
        <v>8</v>
      </c>
      <c r="F671" s="8">
        <v>1.42</v>
      </c>
      <c r="G671" s="4">
        <v>5</v>
      </c>
      <c r="H671" s="8">
        <v>1.46</v>
      </c>
      <c r="I671" s="4">
        <v>0</v>
      </c>
    </row>
    <row r="672" spans="1:9" x14ac:dyDescent="0.2">
      <c r="A672" s="2">
        <v>16</v>
      </c>
      <c r="B672" s="1" t="s">
        <v>130</v>
      </c>
      <c r="C672" s="4">
        <v>13</v>
      </c>
      <c r="D672" s="8">
        <v>1.41</v>
      </c>
      <c r="E672" s="4">
        <v>13</v>
      </c>
      <c r="F672" s="8">
        <v>2.2999999999999998</v>
      </c>
      <c r="G672" s="4">
        <v>0</v>
      </c>
      <c r="H672" s="8">
        <v>0</v>
      </c>
      <c r="I672" s="4">
        <v>0</v>
      </c>
    </row>
    <row r="673" spans="1:9" x14ac:dyDescent="0.2">
      <c r="A673" s="2">
        <v>20</v>
      </c>
      <c r="B673" s="1" t="s">
        <v>159</v>
      </c>
      <c r="C673" s="4">
        <v>12</v>
      </c>
      <c r="D673" s="8">
        <v>1.3</v>
      </c>
      <c r="E673" s="4">
        <v>2</v>
      </c>
      <c r="F673" s="8">
        <v>0.35</v>
      </c>
      <c r="G673" s="4">
        <v>10</v>
      </c>
      <c r="H673" s="8">
        <v>2.92</v>
      </c>
      <c r="I673" s="4">
        <v>0</v>
      </c>
    </row>
    <row r="674" spans="1:9" x14ac:dyDescent="0.2">
      <c r="A674" s="2">
        <v>20</v>
      </c>
      <c r="B674" s="1" t="s">
        <v>127</v>
      </c>
      <c r="C674" s="4">
        <v>12</v>
      </c>
      <c r="D674" s="8">
        <v>1.3</v>
      </c>
      <c r="E674" s="4">
        <v>4</v>
      </c>
      <c r="F674" s="8">
        <v>0.71</v>
      </c>
      <c r="G674" s="4">
        <v>7</v>
      </c>
      <c r="H674" s="8">
        <v>2.04</v>
      </c>
      <c r="I674" s="4">
        <v>0</v>
      </c>
    </row>
    <row r="675" spans="1:9" x14ac:dyDescent="0.2">
      <c r="A675" s="2">
        <v>20</v>
      </c>
      <c r="B675" s="1" t="s">
        <v>135</v>
      </c>
      <c r="C675" s="4">
        <v>12</v>
      </c>
      <c r="D675" s="8">
        <v>1.3</v>
      </c>
      <c r="E675" s="4">
        <v>10</v>
      </c>
      <c r="F675" s="8">
        <v>1.77</v>
      </c>
      <c r="G675" s="4">
        <v>2</v>
      </c>
      <c r="H675" s="8">
        <v>0.57999999999999996</v>
      </c>
      <c r="I675" s="4">
        <v>0</v>
      </c>
    </row>
    <row r="676" spans="1:9" x14ac:dyDescent="0.2">
      <c r="A676" s="1"/>
      <c r="C676" s="4"/>
      <c r="D676" s="8"/>
      <c r="E676" s="4"/>
      <c r="F676" s="8"/>
      <c r="G676" s="4"/>
      <c r="H676" s="8"/>
      <c r="I676" s="4"/>
    </row>
    <row r="677" spans="1:9" x14ac:dyDescent="0.2">
      <c r="A677" s="1" t="s">
        <v>30</v>
      </c>
      <c r="C677" s="4"/>
      <c r="D677" s="8"/>
      <c r="E677" s="4"/>
      <c r="F677" s="8"/>
      <c r="G677" s="4"/>
      <c r="H677" s="8"/>
      <c r="I677" s="4"/>
    </row>
    <row r="678" spans="1:9" x14ac:dyDescent="0.2">
      <c r="A678" s="2">
        <v>1</v>
      </c>
      <c r="B678" s="1" t="s">
        <v>132</v>
      </c>
      <c r="C678" s="4">
        <v>51</v>
      </c>
      <c r="D678" s="8">
        <v>5.58</v>
      </c>
      <c r="E678" s="4">
        <v>48</v>
      </c>
      <c r="F678" s="8">
        <v>9.6999999999999993</v>
      </c>
      <c r="G678" s="4">
        <v>3</v>
      </c>
      <c r="H678" s="8">
        <v>0.74</v>
      </c>
      <c r="I678" s="4">
        <v>0</v>
      </c>
    </row>
    <row r="679" spans="1:9" x14ac:dyDescent="0.2">
      <c r="A679" s="2">
        <v>2</v>
      </c>
      <c r="B679" s="1" t="s">
        <v>118</v>
      </c>
      <c r="C679" s="4">
        <v>37</v>
      </c>
      <c r="D679" s="8">
        <v>4.05</v>
      </c>
      <c r="E679" s="4">
        <v>27</v>
      </c>
      <c r="F679" s="8">
        <v>5.45</v>
      </c>
      <c r="G679" s="4">
        <v>10</v>
      </c>
      <c r="H679" s="8">
        <v>2.46</v>
      </c>
      <c r="I679" s="4">
        <v>0</v>
      </c>
    </row>
    <row r="680" spans="1:9" x14ac:dyDescent="0.2">
      <c r="A680" s="2">
        <v>3</v>
      </c>
      <c r="B680" s="1" t="s">
        <v>129</v>
      </c>
      <c r="C680" s="4">
        <v>33</v>
      </c>
      <c r="D680" s="8">
        <v>3.61</v>
      </c>
      <c r="E680" s="4">
        <v>30</v>
      </c>
      <c r="F680" s="8">
        <v>6.06</v>
      </c>
      <c r="G680" s="4">
        <v>3</v>
      </c>
      <c r="H680" s="8">
        <v>0.74</v>
      </c>
      <c r="I680" s="4">
        <v>0</v>
      </c>
    </row>
    <row r="681" spans="1:9" x14ac:dyDescent="0.2">
      <c r="A681" s="2">
        <v>4</v>
      </c>
      <c r="B681" s="1" t="s">
        <v>131</v>
      </c>
      <c r="C681" s="4">
        <v>28</v>
      </c>
      <c r="D681" s="8">
        <v>3.06</v>
      </c>
      <c r="E681" s="4">
        <v>27</v>
      </c>
      <c r="F681" s="8">
        <v>5.45</v>
      </c>
      <c r="G681" s="4">
        <v>1</v>
      </c>
      <c r="H681" s="8">
        <v>0.25</v>
      </c>
      <c r="I681" s="4">
        <v>0</v>
      </c>
    </row>
    <row r="682" spans="1:9" x14ac:dyDescent="0.2">
      <c r="A682" s="2">
        <v>5</v>
      </c>
      <c r="B682" s="1" t="s">
        <v>122</v>
      </c>
      <c r="C682" s="4">
        <v>26</v>
      </c>
      <c r="D682" s="8">
        <v>2.84</v>
      </c>
      <c r="E682" s="4">
        <v>19</v>
      </c>
      <c r="F682" s="8">
        <v>3.84</v>
      </c>
      <c r="G682" s="4">
        <v>7</v>
      </c>
      <c r="H682" s="8">
        <v>1.72</v>
      </c>
      <c r="I682" s="4">
        <v>0</v>
      </c>
    </row>
    <row r="683" spans="1:9" x14ac:dyDescent="0.2">
      <c r="A683" s="2">
        <v>6</v>
      </c>
      <c r="B683" s="1" t="s">
        <v>116</v>
      </c>
      <c r="C683" s="4">
        <v>24</v>
      </c>
      <c r="D683" s="8">
        <v>2.63</v>
      </c>
      <c r="E683" s="4">
        <v>3</v>
      </c>
      <c r="F683" s="8">
        <v>0.61</v>
      </c>
      <c r="G683" s="4">
        <v>21</v>
      </c>
      <c r="H683" s="8">
        <v>5.16</v>
      </c>
      <c r="I683" s="4">
        <v>0</v>
      </c>
    </row>
    <row r="684" spans="1:9" x14ac:dyDescent="0.2">
      <c r="A684" s="2">
        <v>7</v>
      </c>
      <c r="B684" s="1" t="s">
        <v>128</v>
      </c>
      <c r="C684" s="4">
        <v>23</v>
      </c>
      <c r="D684" s="8">
        <v>2.52</v>
      </c>
      <c r="E684" s="4">
        <v>20</v>
      </c>
      <c r="F684" s="8">
        <v>4.04</v>
      </c>
      <c r="G684" s="4">
        <v>3</v>
      </c>
      <c r="H684" s="8">
        <v>0.74</v>
      </c>
      <c r="I684" s="4">
        <v>0</v>
      </c>
    </row>
    <row r="685" spans="1:9" x14ac:dyDescent="0.2">
      <c r="A685" s="2">
        <v>8</v>
      </c>
      <c r="B685" s="1" t="s">
        <v>120</v>
      </c>
      <c r="C685" s="4">
        <v>21</v>
      </c>
      <c r="D685" s="8">
        <v>2.2999999999999998</v>
      </c>
      <c r="E685" s="4">
        <v>8</v>
      </c>
      <c r="F685" s="8">
        <v>1.62</v>
      </c>
      <c r="G685" s="4">
        <v>13</v>
      </c>
      <c r="H685" s="8">
        <v>3.19</v>
      </c>
      <c r="I685" s="4">
        <v>0</v>
      </c>
    </row>
    <row r="686" spans="1:9" x14ac:dyDescent="0.2">
      <c r="A686" s="2">
        <v>9</v>
      </c>
      <c r="B686" s="1" t="s">
        <v>117</v>
      </c>
      <c r="C686" s="4">
        <v>20</v>
      </c>
      <c r="D686" s="8">
        <v>2.19</v>
      </c>
      <c r="E686" s="4">
        <v>8</v>
      </c>
      <c r="F686" s="8">
        <v>1.62</v>
      </c>
      <c r="G686" s="4">
        <v>12</v>
      </c>
      <c r="H686" s="8">
        <v>2.95</v>
      </c>
      <c r="I686" s="4">
        <v>0</v>
      </c>
    </row>
    <row r="687" spans="1:9" x14ac:dyDescent="0.2">
      <c r="A687" s="2">
        <v>10</v>
      </c>
      <c r="B687" s="1" t="s">
        <v>134</v>
      </c>
      <c r="C687" s="4">
        <v>19</v>
      </c>
      <c r="D687" s="8">
        <v>2.08</v>
      </c>
      <c r="E687" s="4">
        <v>16</v>
      </c>
      <c r="F687" s="8">
        <v>3.23</v>
      </c>
      <c r="G687" s="4">
        <v>3</v>
      </c>
      <c r="H687" s="8">
        <v>0.74</v>
      </c>
      <c r="I687" s="4">
        <v>0</v>
      </c>
    </row>
    <row r="688" spans="1:9" x14ac:dyDescent="0.2">
      <c r="A688" s="2">
        <v>11</v>
      </c>
      <c r="B688" s="1" t="s">
        <v>140</v>
      </c>
      <c r="C688" s="4">
        <v>18</v>
      </c>
      <c r="D688" s="8">
        <v>1.97</v>
      </c>
      <c r="E688" s="4">
        <v>12</v>
      </c>
      <c r="F688" s="8">
        <v>2.42</v>
      </c>
      <c r="G688" s="4">
        <v>6</v>
      </c>
      <c r="H688" s="8">
        <v>1.47</v>
      </c>
      <c r="I688" s="4">
        <v>0</v>
      </c>
    </row>
    <row r="689" spans="1:9" x14ac:dyDescent="0.2">
      <c r="A689" s="2">
        <v>12</v>
      </c>
      <c r="B689" s="1" t="s">
        <v>119</v>
      </c>
      <c r="C689" s="4">
        <v>16</v>
      </c>
      <c r="D689" s="8">
        <v>1.75</v>
      </c>
      <c r="E689" s="4">
        <v>6</v>
      </c>
      <c r="F689" s="8">
        <v>1.21</v>
      </c>
      <c r="G689" s="4">
        <v>10</v>
      </c>
      <c r="H689" s="8">
        <v>2.46</v>
      </c>
      <c r="I689" s="4">
        <v>0</v>
      </c>
    </row>
    <row r="690" spans="1:9" x14ac:dyDescent="0.2">
      <c r="A690" s="2">
        <v>13</v>
      </c>
      <c r="B690" s="1" t="s">
        <v>159</v>
      </c>
      <c r="C690" s="4">
        <v>15</v>
      </c>
      <c r="D690" s="8">
        <v>1.64</v>
      </c>
      <c r="E690" s="4">
        <v>1</v>
      </c>
      <c r="F690" s="8">
        <v>0.2</v>
      </c>
      <c r="G690" s="4">
        <v>14</v>
      </c>
      <c r="H690" s="8">
        <v>3.44</v>
      </c>
      <c r="I690" s="4">
        <v>0</v>
      </c>
    </row>
    <row r="691" spans="1:9" x14ac:dyDescent="0.2">
      <c r="A691" s="2">
        <v>13</v>
      </c>
      <c r="B691" s="1" t="s">
        <v>130</v>
      </c>
      <c r="C691" s="4">
        <v>15</v>
      </c>
      <c r="D691" s="8">
        <v>1.64</v>
      </c>
      <c r="E691" s="4">
        <v>14</v>
      </c>
      <c r="F691" s="8">
        <v>2.83</v>
      </c>
      <c r="G691" s="4">
        <v>1</v>
      </c>
      <c r="H691" s="8">
        <v>0.25</v>
      </c>
      <c r="I691" s="4">
        <v>0</v>
      </c>
    </row>
    <row r="692" spans="1:9" x14ac:dyDescent="0.2">
      <c r="A692" s="2">
        <v>15</v>
      </c>
      <c r="B692" s="1" t="s">
        <v>133</v>
      </c>
      <c r="C692" s="4">
        <v>14</v>
      </c>
      <c r="D692" s="8">
        <v>1.53</v>
      </c>
      <c r="E692" s="4">
        <v>12</v>
      </c>
      <c r="F692" s="8">
        <v>2.42</v>
      </c>
      <c r="G692" s="4">
        <v>2</v>
      </c>
      <c r="H692" s="8">
        <v>0.49</v>
      </c>
      <c r="I692" s="4">
        <v>0</v>
      </c>
    </row>
    <row r="693" spans="1:9" x14ac:dyDescent="0.2">
      <c r="A693" s="2">
        <v>16</v>
      </c>
      <c r="B693" s="1" t="s">
        <v>160</v>
      </c>
      <c r="C693" s="4">
        <v>13</v>
      </c>
      <c r="D693" s="8">
        <v>1.42</v>
      </c>
      <c r="E693" s="4">
        <v>11</v>
      </c>
      <c r="F693" s="8">
        <v>2.2200000000000002</v>
      </c>
      <c r="G693" s="4">
        <v>2</v>
      </c>
      <c r="H693" s="8">
        <v>0.49</v>
      </c>
      <c r="I693" s="4">
        <v>0</v>
      </c>
    </row>
    <row r="694" spans="1:9" x14ac:dyDescent="0.2">
      <c r="A694" s="2">
        <v>17</v>
      </c>
      <c r="B694" s="1" t="s">
        <v>156</v>
      </c>
      <c r="C694" s="4">
        <v>12</v>
      </c>
      <c r="D694" s="8">
        <v>1.31</v>
      </c>
      <c r="E694" s="4">
        <v>7</v>
      </c>
      <c r="F694" s="8">
        <v>1.41</v>
      </c>
      <c r="G694" s="4">
        <v>5</v>
      </c>
      <c r="H694" s="8">
        <v>1.23</v>
      </c>
      <c r="I694" s="4">
        <v>0</v>
      </c>
    </row>
    <row r="695" spans="1:9" x14ac:dyDescent="0.2">
      <c r="A695" s="2">
        <v>17</v>
      </c>
      <c r="B695" s="1" t="s">
        <v>154</v>
      </c>
      <c r="C695" s="4">
        <v>12</v>
      </c>
      <c r="D695" s="8">
        <v>1.31</v>
      </c>
      <c r="E695" s="4">
        <v>4</v>
      </c>
      <c r="F695" s="8">
        <v>0.81</v>
      </c>
      <c r="G695" s="4">
        <v>8</v>
      </c>
      <c r="H695" s="8">
        <v>1.97</v>
      </c>
      <c r="I695" s="4">
        <v>0</v>
      </c>
    </row>
    <row r="696" spans="1:9" x14ac:dyDescent="0.2">
      <c r="A696" s="2">
        <v>17</v>
      </c>
      <c r="B696" s="1" t="s">
        <v>144</v>
      </c>
      <c r="C696" s="4">
        <v>12</v>
      </c>
      <c r="D696" s="8">
        <v>1.31</v>
      </c>
      <c r="E696" s="4">
        <v>9</v>
      </c>
      <c r="F696" s="8">
        <v>1.82</v>
      </c>
      <c r="G696" s="4">
        <v>3</v>
      </c>
      <c r="H696" s="8">
        <v>0.74</v>
      </c>
      <c r="I696" s="4">
        <v>0</v>
      </c>
    </row>
    <row r="697" spans="1:9" x14ac:dyDescent="0.2">
      <c r="A697" s="2">
        <v>17</v>
      </c>
      <c r="B697" s="1" t="s">
        <v>152</v>
      </c>
      <c r="C697" s="4">
        <v>12</v>
      </c>
      <c r="D697" s="8">
        <v>1.31</v>
      </c>
      <c r="E697" s="4">
        <v>4</v>
      </c>
      <c r="F697" s="8">
        <v>0.81</v>
      </c>
      <c r="G697" s="4">
        <v>8</v>
      </c>
      <c r="H697" s="8">
        <v>1.97</v>
      </c>
      <c r="I697" s="4">
        <v>0</v>
      </c>
    </row>
    <row r="698" spans="1:9" x14ac:dyDescent="0.2">
      <c r="A698" s="2">
        <v>17</v>
      </c>
      <c r="B698" s="1" t="s">
        <v>121</v>
      </c>
      <c r="C698" s="4">
        <v>12</v>
      </c>
      <c r="D698" s="8">
        <v>1.31</v>
      </c>
      <c r="E698" s="4">
        <v>7</v>
      </c>
      <c r="F698" s="8">
        <v>1.41</v>
      </c>
      <c r="G698" s="4">
        <v>5</v>
      </c>
      <c r="H698" s="8">
        <v>1.23</v>
      </c>
      <c r="I698" s="4">
        <v>0</v>
      </c>
    </row>
    <row r="699" spans="1:9" x14ac:dyDescent="0.2">
      <c r="A699" s="2">
        <v>17</v>
      </c>
      <c r="B699" s="1" t="s">
        <v>123</v>
      </c>
      <c r="C699" s="4">
        <v>12</v>
      </c>
      <c r="D699" s="8">
        <v>1.31</v>
      </c>
      <c r="E699" s="4">
        <v>8</v>
      </c>
      <c r="F699" s="8">
        <v>1.62</v>
      </c>
      <c r="G699" s="4">
        <v>4</v>
      </c>
      <c r="H699" s="8">
        <v>0.98</v>
      </c>
      <c r="I699" s="4">
        <v>0</v>
      </c>
    </row>
    <row r="700" spans="1:9" x14ac:dyDescent="0.2">
      <c r="A700" s="2">
        <v>17</v>
      </c>
      <c r="B700" s="1" t="s">
        <v>127</v>
      </c>
      <c r="C700" s="4">
        <v>12</v>
      </c>
      <c r="D700" s="8">
        <v>1.31</v>
      </c>
      <c r="E700" s="4">
        <v>7</v>
      </c>
      <c r="F700" s="8">
        <v>1.41</v>
      </c>
      <c r="G700" s="4">
        <v>4</v>
      </c>
      <c r="H700" s="8">
        <v>0.98</v>
      </c>
      <c r="I700" s="4">
        <v>0</v>
      </c>
    </row>
    <row r="701" spans="1:9" x14ac:dyDescent="0.2">
      <c r="A701" s="1"/>
      <c r="C701" s="4"/>
      <c r="D701" s="8"/>
      <c r="E701" s="4"/>
      <c r="F701" s="8"/>
      <c r="G701" s="4"/>
      <c r="H701" s="8"/>
      <c r="I701" s="4"/>
    </row>
    <row r="702" spans="1:9" x14ac:dyDescent="0.2">
      <c r="A702" s="1" t="s">
        <v>31</v>
      </c>
      <c r="C702" s="4"/>
      <c r="D702" s="8"/>
      <c r="E702" s="4"/>
      <c r="F702" s="8"/>
      <c r="G702" s="4"/>
      <c r="H702" s="8"/>
      <c r="I702" s="4"/>
    </row>
    <row r="703" spans="1:9" x14ac:dyDescent="0.2">
      <c r="A703" s="2">
        <v>1</v>
      </c>
      <c r="B703" s="1" t="s">
        <v>132</v>
      </c>
      <c r="C703" s="4">
        <v>54</v>
      </c>
      <c r="D703" s="8">
        <v>5.47</v>
      </c>
      <c r="E703" s="4">
        <v>49</v>
      </c>
      <c r="F703" s="8">
        <v>8.36</v>
      </c>
      <c r="G703" s="4">
        <v>5</v>
      </c>
      <c r="H703" s="8">
        <v>1.32</v>
      </c>
      <c r="I703" s="4">
        <v>0</v>
      </c>
    </row>
    <row r="704" spans="1:9" x14ac:dyDescent="0.2">
      <c r="A704" s="2">
        <v>2</v>
      </c>
      <c r="B704" s="1" t="s">
        <v>131</v>
      </c>
      <c r="C704" s="4">
        <v>37</v>
      </c>
      <c r="D704" s="8">
        <v>3.74</v>
      </c>
      <c r="E704" s="4">
        <v>35</v>
      </c>
      <c r="F704" s="8">
        <v>5.97</v>
      </c>
      <c r="G704" s="4">
        <v>2</v>
      </c>
      <c r="H704" s="8">
        <v>0.53</v>
      </c>
      <c r="I704" s="4">
        <v>0</v>
      </c>
    </row>
    <row r="705" spans="1:9" x14ac:dyDescent="0.2">
      <c r="A705" s="2">
        <v>3</v>
      </c>
      <c r="B705" s="1" t="s">
        <v>118</v>
      </c>
      <c r="C705" s="4">
        <v>32</v>
      </c>
      <c r="D705" s="8">
        <v>3.24</v>
      </c>
      <c r="E705" s="4">
        <v>21</v>
      </c>
      <c r="F705" s="8">
        <v>3.58</v>
      </c>
      <c r="G705" s="4">
        <v>11</v>
      </c>
      <c r="H705" s="8">
        <v>2.9</v>
      </c>
      <c r="I705" s="4">
        <v>0</v>
      </c>
    </row>
    <row r="706" spans="1:9" x14ac:dyDescent="0.2">
      <c r="A706" s="2">
        <v>3</v>
      </c>
      <c r="B706" s="1" t="s">
        <v>122</v>
      </c>
      <c r="C706" s="4">
        <v>32</v>
      </c>
      <c r="D706" s="8">
        <v>3.24</v>
      </c>
      <c r="E706" s="4">
        <v>19</v>
      </c>
      <c r="F706" s="8">
        <v>3.24</v>
      </c>
      <c r="G706" s="4">
        <v>13</v>
      </c>
      <c r="H706" s="8">
        <v>3.43</v>
      </c>
      <c r="I706" s="4">
        <v>0</v>
      </c>
    </row>
    <row r="707" spans="1:9" x14ac:dyDescent="0.2">
      <c r="A707" s="2">
        <v>3</v>
      </c>
      <c r="B707" s="1" t="s">
        <v>133</v>
      </c>
      <c r="C707" s="4">
        <v>32</v>
      </c>
      <c r="D707" s="8">
        <v>3.24</v>
      </c>
      <c r="E707" s="4">
        <v>28</v>
      </c>
      <c r="F707" s="8">
        <v>4.78</v>
      </c>
      <c r="G707" s="4">
        <v>4</v>
      </c>
      <c r="H707" s="8">
        <v>1.06</v>
      </c>
      <c r="I707" s="4">
        <v>0</v>
      </c>
    </row>
    <row r="708" spans="1:9" x14ac:dyDescent="0.2">
      <c r="A708" s="2">
        <v>6</v>
      </c>
      <c r="B708" s="1" t="s">
        <v>129</v>
      </c>
      <c r="C708" s="4">
        <v>31</v>
      </c>
      <c r="D708" s="8">
        <v>3.14</v>
      </c>
      <c r="E708" s="4">
        <v>30</v>
      </c>
      <c r="F708" s="8">
        <v>5.12</v>
      </c>
      <c r="G708" s="4">
        <v>1</v>
      </c>
      <c r="H708" s="8">
        <v>0.26</v>
      </c>
      <c r="I708" s="4">
        <v>0</v>
      </c>
    </row>
    <row r="709" spans="1:9" x14ac:dyDescent="0.2">
      <c r="A709" s="2">
        <v>7</v>
      </c>
      <c r="B709" s="1" t="s">
        <v>116</v>
      </c>
      <c r="C709" s="4">
        <v>30</v>
      </c>
      <c r="D709" s="8">
        <v>3.04</v>
      </c>
      <c r="E709" s="4">
        <v>6</v>
      </c>
      <c r="F709" s="8">
        <v>1.02</v>
      </c>
      <c r="G709" s="4">
        <v>24</v>
      </c>
      <c r="H709" s="8">
        <v>6.33</v>
      </c>
      <c r="I709" s="4">
        <v>0</v>
      </c>
    </row>
    <row r="710" spans="1:9" x14ac:dyDescent="0.2">
      <c r="A710" s="2">
        <v>8</v>
      </c>
      <c r="B710" s="1" t="s">
        <v>157</v>
      </c>
      <c r="C710" s="4">
        <v>29</v>
      </c>
      <c r="D710" s="8">
        <v>2.94</v>
      </c>
      <c r="E710" s="4">
        <v>14</v>
      </c>
      <c r="F710" s="8">
        <v>2.39</v>
      </c>
      <c r="G710" s="4">
        <v>15</v>
      </c>
      <c r="H710" s="8">
        <v>3.96</v>
      </c>
      <c r="I710" s="4">
        <v>0</v>
      </c>
    </row>
    <row r="711" spans="1:9" x14ac:dyDescent="0.2">
      <c r="A711" s="2">
        <v>9</v>
      </c>
      <c r="B711" s="1" t="s">
        <v>126</v>
      </c>
      <c r="C711" s="4">
        <v>26</v>
      </c>
      <c r="D711" s="8">
        <v>2.63</v>
      </c>
      <c r="E711" s="4">
        <v>12</v>
      </c>
      <c r="F711" s="8">
        <v>2.0499999999999998</v>
      </c>
      <c r="G711" s="4">
        <v>13</v>
      </c>
      <c r="H711" s="8">
        <v>3.43</v>
      </c>
      <c r="I711" s="4">
        <v>0</v>
      </c>
    </row>
    <row r="712" spans="1:9" x14ac:dyDescent="0.2">
      <c r="A712" s="2">
        <v>10</v>
      </c>
      <c r="B712" s="1" t="s">
        <v>128</v>
      </c>
      <c r="C712" s="4">
        <v>23</v>
      </c>
      <c r="D712" s="8">
        <v>2.33</v>
      </c>
      <c r="E712" s="4">
        <v>23</v>
      </c>
      <c r="F712" s="8">
        <v>3.92</v>
      </c>
      <c r="G712" s="4">
        <v>0</v>
      </c>
      <c r="H712" s="8">
        <v>0</v>
      </c>
      <c r="I712" s="4">
        <v>0</v>
      </c>
    </row>
    <row r="713" spans="1:9" x14ac:dyDescent="0.2">
      <c r="A713" s="2">
        <v>11</v>
      </c>
      <c r="B713" s="1" t="s">
        <v>121</v>
      </c>
      <c r="C713" s="4">
        <v>21</v>
      </c>
      <c r="D713" s="8">
        <v>2.13</v>
      </c>
      <c r="E713" s="4">
        <v>16</v>
      </c>
      <c r="F713" s="8">
        <v>2.73</v>
      </c>
      <c r="G713" s="4">
        <v>5</v>
      </c>
      <c r="H713" s="8">
        <v>1.32</v>
      </c>
      <c r="I713" s="4">
        <v>0</v>
      </c>
    </row>
    <row r="714" spans="1:9" x14ac:dyDescent="0.2">
      <c r="A714" s="2">
        <v>12</v>
      </c>
      <c r="B714" s="1" t="s">
        <v>127</v>
      </c>
      <c r="C714" s="4">
        <v>19</v>
      </c>
      <c r="D714" s="8">
        <v>1.92</v>
      </c>
      <c r="E714" s="4">
        <v>14</v>
      </c>
      <c r="F714" s="8">
        <v>2.39</v>
      </c>
      <c r="G714" s="4">
        <v>4</v>
      </c>
      <c r="H714" s="8">
        <v>1.06</v>
      </c>
      <c r="I714" s="4">
        <v>0</v>
      </c>
    </row>
    <row r="715" spans="1:9" x14ac:dyDescent="0.2">
      <c r="A715" s="2">
        <v>13</v>
      </c>
      <c r="B715" s="1" t="s">
        <v>140</v>
      </c>
      <c r="C715" s="4">
        <v>17</v>
      </c>
      <c r="D715" s="8">
        <v>1.72</v>
      </c>
      <c r="E715" s="4">
        <v>14</v>
      </c>
      <c r="F715" s="8">
        <v>2.39</v>
      </c>
      <c r="G715" s="4">
        <v>3</v>
      </c>
      <c r="H715" s="8">
        <v>0.79</v>
      </c>
      <c r="I715" s="4">
        <v>0</v>
      </c>
    </row>
    <row r="716" spans="1:9" x14ac:dyDescent="0.2">
      <c r="A716" s="2">
        <v>13</v>
      </c>
      <c r="B716" s="1" t="s">
        <v>173</v>
      </c>
      <c r="C716" s="4">
        <v>17</v>
      </c>
      <c r="D716" s="8">
        <v>1.72</v>
      </c>
      <c r="E716" s="4">
        <v>0</v>
      </c>
      <c r="F716" s="8">
        <v>0</v>
      </c>
      <c r="G716" s="4">
        <v>17</v>
      </c>
      <c r="H716" s="8">
        <v>4.49</v>
      </c>
      <c r="I716" s="4">
        <v>0</v>
      </c>
    </row>
    <row r="717" spans="1:9" x14ac:dyDescent="0.2">
      <c r="A717" s="2">
        <v>15</v>
      </c>
      <c r="B717" s="1" t="s">
        <v>137</v>
      </c>
      <c r="C717" s="4">
        <v>15</v>
      </c>
      <c r="D717" s="8">
        <v>1.52</v>
      </c>
      <c r="E717" s="4">
        <v>14</v>
      </c>
      <c r="F717" s="8">
        <v>2.39</v>
      </c>
      <c r="G717" s="4">
        <v>1</v>
      </c>
      <c r="H717" s="8">
        <v>0.26</v>
      </c>
      <c r="I717" s="4">
        <v>0</v>
      </c>
    </row>
    <row r="718" spans="1:9" x14ac:dyDescent="0.2">
      <c r="A718" s="2">
        <v>15</v>
      </c>
      <c r="B718" s="1" t="s">
        <v>136</v>
      </c>
      <c r="C718" s="4">
        <v>15</v>
      </c>
      <c r="D718" s="8">
        <v>1.52</v>
      </c>
      <c r="E718" s="4">
        <v>14</v>
      </c>
      <c r="F718" s="8">
        <v>2.39</v>
      </c>
      <c r="G718" s="4">
        <v>1</v>
      </c>
      <c r="H718" s="8">
        <v>0.26</v>
      </c>
      <c r="I718" s="4">
        <v>0</v>
      </c>
    </row>
    <row r="719" spans="1:9" x14ac:dyDescent="0.2">
      <c r="A719" s="2">
        <v>15</v>
      </c>
      <c r="B719" s="1" t="s">
        <v>134</v>
      </c>
      <c r="C719" s="4">
        <v>15</v>
      </c>
      <c r="D719" s="8">
        <v>1.52</v>
      </c>
      <c r="E719" s="4">
        <v>15</v>
      </c>
      <c r="F719" s="8">
        <v>2.56</v>
      </c>
      <c r="G719" s="4">
        <v>0</v>
      </c>
      <c r="H719" s="8">
        <v>0</v>
      </c>
      <c r="I719" s="4">
        <v>0</v>
      </c>
    </row>
    <row r="720" spans="1:9" x14ac:dyDescent="0.2">
      <c r="A720" s="2">
        <v>18</v>
      </c>
      <c r="B720" s="1" t="s">
        <v>117</v>
      </c>
      <c r="C720" s="4">
        <v>14</v>
      </c>
      <c r="D720" s="8">
        <v>1.42</v>
      </c>
      <c r="E720" s="4">
        <v>5</v>
      </c>
      <c r="F720" s="8">
        <v>0.85</v>
      </c>
      <c r="G720" s="4">
        <v>9</v>
      </c>
      <c r="H720" s="8">
        <v>2.37</v>
      </c>
      <c r="I720" s="4">
        <v>0</v>
      </c>
    </row>
    <row r="721" spans="1:9" x14ac:dyDescent="0.2">
      <c r="A721" s="2">
        <v>18</v>
      </c>
      <c r="B721" s="1" t="s">
        <v>130</v>
      </c>
      <c r="C721" s="4">
        <v>14</v>
      </c>
      <c r="D721" s="8">
        <v>1.42</v>
      </c>
      <c r="E721" s="4">
        <v>13</v>
      </c>
      <c r="F721" s="8">
        <v>2.2200000000000002</v>
      </c>
      <c r="G721" s="4">
        <v>1</v>
      </c>
      <c r="H721" s="8">
        <v>0.26</v>
      </c>
      <c r="I721" s="4">
        <v>0</v>
      </c>
    </row>
    <row r="722" spans="1:9" x14ac:dyDescent="0.2">
      <c r="A722" s="2">
        <v>20</v>
      </c>
      <c r="B722" s="1" t="s">
        <v>144</v>
      </c>
      <c r="C722" s="4">
        <v>13</v>
      </c>
      <c r="D722" s="8">
        <v>1.32</v>
      </c>
      <c r="E722" s="4">
        <v>12</v>
      </c>
      <c r="F722" s="8">
        <v>2.0499999999999998</v>
      </c>
      <c r="G722" s="4">
        <v>1</v>
      </c>
      <c r="H722" s="8">
        <v>0.26</v>
      </c>
      <c r="I722" s="4">
        <v>0</v>
      </c>
    </row>
    <row r="723" spans="1:9" x14ac:dyDescent="0.2">
      <c r="A723" s="2">
        <v>20</v>
      </c>
      <c r="B723" s="1" t="s">
        <v>123</v>
      </c>
      <c r="C723" s="4">
        <v>13</v>
      </c>
      <c r="D723" s="8">
        <v>1.32</v>
      </c>
      <c r="E723" s="4">
        <v>4</v>
      </c>
      <c r="F723" s="8">
        <v>0.68</v>
      </c>
      <c r="G723" s="4">
        <v>9</v>
      </c>
      <c r="H723" s="8">
        <v>2.37</v>
      </c>
      <c r="I723" s="4">
        <v>0</v>
      </c>
    </row>
    <row r="724" spans="1:9" x14ac:dyDescent="0.2">
      <c r="A724" s="2">
        <v>20</v>
      </c>
      <c r="B724" s="1" t="s">
        <v>174</v>
      </c>
      <c r="C724" s="4">
        <v>13</v>
      </c>
      <c r="D724" s="8">
        <v>1.32</v>
      </c>
      <c r="E724" s="4">
        <v>0</v>
      </c>
      <c r="F724" s="8">
        <v>0</v>
      </c>
      <c r="G724" s="4">
        <v>0</v>
      </c>
      <c r="H724" s="8">
        <v>0</v>
      </c>
      <c r="I724" s="4">
        <v>0</v>
      </c>
    </row>
    <row r="725" spans="1:9" x14ac:dyDescent="0.2">
      <c r="A725" s="1"/>
      <c r="C725" s="4"/>
      <c r="D725" s="8"/>
      <c r="E725" s="4"/>
      <c r="F725" s="8"/>
      <c r="G725" s="4"/>
      <c r="H725" s="8"/>
      <c r="I725" s="4"/>
    </row>
    <row r="726" spans="1:9" x14ac:dyDescent="0.2">
      <c r="A726" s="1" t="s">
        <v>32</v>
      </c>
      <c r="C726" s="4"/>
      <c r="D726" s="8"/>
      <c r="E726" s="4"/>
      <c r="F726" s="8"/>
      <c r="G726" s="4"/>
      <c r="H726" s="8"/>
      <c r="I726" s="4"/>
    </row>
    <row r="727" spans="1:9" x14ac:dyDescent="0.2">
      <c r="A727" s="2">
        <v>1</v>
      </c>
      <c r="B727" s="1" t="s">
        <v>126</v>
      </c>
      <c r="C727" s="4">
        <v>165</v>
      </c>
      <c r="D727" s="8">
        <v>11.78</v>
      </c>
      <c r="E727" s="4">
        <v>155</v>
      </c>
      <c r="F727" s="8">
        <v>17.38</v>
      </c>
      <c r="G727" s="4">
        <v>10</v>
      </c>
      <c r="H727" s="8">
        <v>2.04</v>
      </c>
      <c r="I727" s="4">
        <v>0</v>
      </c>
    </row>
    <row r="728" spans="1:9" x14ac:dyDescent="0.2">
      <c r="A728" s="2">
        <v>2</v>
      </c>
      <c r="B728" s="1" t="s">
        <v>132</v>
      </c>
      <c r="C728" s="4">
        <v>77</v>
      </c>
      <c r="D728" s="8">
        <v>5.5</v>
      </c>
      <c r="E728" s="4">
        <v>67</v>
      </c>
      <c r="F728" s="8">
        <v>7.51</v>
      </c>
      <c r="G728" s="4">
        <v>10</v>
      </c>
      <c r="H728" s="8">
        <v>2.04</v>
      </c>
      <c r="I728" s="4">
        <v>0</v>
      </c>
    </row>
    <row r="729" spans="1:9" x14ac:dyDescent="0.2">
      <c r="A729" s="2">
        <v>3</v>
      </c>
      <c r="B729" s="1" t="s">
        <v>128</v>
      </c>
      <c r="C729" s="4">
        <v>45</v>
      </c>
      <c r="D729" s="8">
        <v>3.21</v>
      </c>
      <c r="E729" s="4">
        <v>38</v>
      </c>
      <c r="F729" s="8">
        <v>4.26</v>
      </c>
      <c r="G729" s="4">
        <v>7</v>
      </c>
      <c r="H729" s="8">
        <v>1.43</v>
      </c>
      <c r="I729" s="4">
        <v>0</v>
      </c>
    </row>
    <row r="730" spans="1:9" x14ac:dyDescent="0.2">
      <c r="A730" s="2">
        <v>3</v>
      </c>
      <c r="B730" s="1" t="s">
        <v>131</v>
      </c>
      <c r="C730" s="4">
        <v>45</v>
      </c>
      <c r="D730" s="8">
        <v>3.21</v>
      </c>
      <c r="E730" s="4">
        <v>45</v>
      </c>
      <c r="F730" s="8">
        <v>5.04</v>
      </c>
      <c r="G730" s="4">
        <v>0</v>
      </c>
      <c r="H730" s="8">
        <v>0</v>
      </c>
      <c r="I730" s="4">
        <v>0</v>
      </c>
    </row>
    <row r="731" spans="1:9" x14ac:dyDescent="0.2">
      <c r="A731" s="2">
        <v>5</v>
      </c>
      <c r="B731" s="1" t="s">
        <v>130</v>
      </c>
      <c r="C731" s="4">
        <v>41</v>
      </c>
      <c r="D731" s="8">
        <v>2.93</v>
      </c>
      <c r="E731" s="4">
        <v>37</v>
      </c>
      <c r="F731" s="8">
        <v>4.1500000000000004</v>
      </c>
      <c r="G731" s="4">
        <v>4</v>
      </c>
      <c r="H731" s="8">
        <v>0.82</v>
      </c>
      <c r="I731" s="4">
        <v>0</v>
      </c>
    </row>
    <row r="732" spans="1:9" x14ac:dyDescent="0.2">
      <c r="A732" s="2">
        <v>6</v>
      </c>
      <c r="B732" s="1" t="s">
        <v>134</v>
      </c>
      <c r="C732" s="4">
        <v>40</v>
      </c>
      <c r="D732" s="8">
        <v>2.86</v>
      </c>
      <c r="E732" s="4">
        <v>36</v>
      </c>
      <c r="F732" s="8">
        <v>4.04</v>
      </c>
      <c r="G732" s="4">
        <v>4</v>
      </c>
      <c r="H732" s="8">
        <v>0.82</v>
      </c>
      <c r="I732" s="4">
        <v>0</v>
      </c>
    </row>
    <row r="733" spans="1:9" x14ac:dyDescent="0.2">
      <c r="A733" s="2">
        <v>7</v>
      </c>
      <c r="B733" s="1" t="s">
        <v>116</v>
      </c>
      <c r="C733" s="4">
        <v>36</v>
      </c>
      <c r="D733" s="8">
        <v>2.57</v>
      </c>
      <c r="E733" s="4">
        <v>6</v>
      </c>
      <c r="F733" s="8">
        <v>0.67</v>
      </c>
      <c r="G733" s="4">
        <v>30</v>
      </c>
      <c r="H733" s="8">
        <v>6.12</v>
      </c>
      <c r="I733" s="4">
        <v>0</v>
      </c>
    </row>
    <row r="734" spans="1:9" x14ac:dyDescent="0.2">
      <c r="A734" s="2">
        <v>8</v>
      </c>
      <c r="B734" s="1" t="s">
        <v>129</v>
      </c>
      <c r="C734" s="4">
        <v>34</v>
      </c>
      <c r="D734" s="8">
        <v>2.4300000000000002</v>
      </c>
      <c r="E734" s="4">
        <v>32</v>
      </c>
      <c r="F734" s="8">
        <v>3.59</v>
      </c>
      <c r="G734" s="4">
        <v>2</v>
      </c>
      <c r="H734" s="8">
        <v>0.41</v>
      </c>
      <c r="I734" s="4">
        <v>0</v>
      </c>
    </row>
    <row r="735" spans="1:9" x14ac:dyDescent="0.2">
      <c r="A735" s="2">
        <v>9</v>
      </c>
      <c r="B735" s="1" t="s">
        <v>133</v>
      </c>
      <c r="C735" s="4">
        <v>32</v>
      </c>
      <c r="D735" s="8">
        <v>2.2799999999999998</v>
      </c>
      <c r="E735" s="4">
        <v>29</v>
      </c>
      <c r="F735" s="8">
        <v>3.25</v>
      </c>
      <c r="G735" s="4">
        <v>3</v>
      </c>
      <c r="H735" s="8">
        <v>0.61</v>
      </c>
      <c r="I735" s="4">
        <v>0</v>
      </c>
    </row>
    <row r="736" spans="1:9" x14ac:dyDescent="0.2">
      <c r="A736" s="2">
        <v>10</v>
      </c>
      <c r="B736" s="1" t="s">
        <v>121</v>
      </c>
      <c r="C736" s="4">
        <v>27</v>
      </c>
      <c r="D736" s="8">
        <v>1.93</v>
      </c>
      <c r="E736" s="4">
        <v>16</v>
      </c>
      <c r="F736" s="8">
        <v>1.79</v>
      </c>
      <c r="G736" s="4">
        <v>11</v>
      </c>
      <c r="H736" s="8">
        <v>2.2400000000000002</v>
      </c>
      <c r="I736" s="4">
        <v>0</v>
      </c>
    </row>
    <row r="737" spans="1:9" x14ac:dyDescent="0.2">
      <c r="A737" s="2">
        <v>11</v>
      </c>
      <c r="B737" s="1" t="s">
        <v>122</v>
      </c>
      <c r="C737" s="4">
        <v>26</v>
      </c>
      <c r="D737" s="8">
        <v>1.86</v>
      </c>
      <c r="E737" s="4">
        <v>11</v>
      </c>
      <c r="F737" s="8">
        <v>1.23</v>
      </c>
      <c r="G737" s="4">
        <v>15</v>
      </c>
      <c r="H737" s="8">
        <v>3.06</v>
      </c>
      <c r="I737" s="4">
        <v>0</v>
      </c>
    </row>
    <row r="738" spans="1:9" x14ac:dyDescent="0.2">
      <c r="A738" s="2">
        <v>12</v>
      </c>
      <c r="B738" s="1" t="s">
        <v>118</v>
      </c>
      <c r="C738" s="4">
        <v>25</v>
      </c>
      <c r="D738" s="8">
        <v>1.78</v>
      </c>
      <c r="E738" s="4">
        <v>15</v>
      </c>
      <c r="F738" s="8">
        <v>1.68</v>
      </c>
      <c r="G738" s="4">
        <v>10</v>
      </c>
      <c r="H738" s="8">
        <v>2.04</v>
      </c>
      <c r="I738" s="4">
        <v>0</v>
      </c>
    </row>
    <row r="739" spans="1:9" x14ac:dyDescent="0.2">
      <c r="A739" s="2">
        <v>13</v>
      </c>
      <c r="B739" s="1" t="s">
        <v>124</v>
      </c>
      <c r="C739" s="4">
        <v>24</v>
      </c>
      <c r="D739" s="8">
        <v>1.71</v>
      </c>
      <c r="E739" s="4">
        <v>12</v>
      </c>
      <c r="F739" s="8">
        <v>1.35</v>
      </c>
      <c r="G739" s="4">
        <v>12</v>
      </c>
      <c r="H739" s="8">
        <v>2.4500000000000002</v>
      </c>
      <c r="I739" s="4">
        <v>0</v>
      </c>
    </row>
    <row r="740" spans="1:9" x14ac:dyDescent="0.2">
      <c r="A740" s="2">
        <v>14</v>
      </c>
      <c r="B740" s="1" t="s">
        <v>146</v>
      </c>
      <c r="C740" s="4">
        <v>22</v>
      </c>
      <c r="D740" s="8">
        <v>1.57</v>
      </c>
      <c r="E740" s="4">
        <v>20</v>
      </c>
      <c r="F740" s="8">
        <v>2.2400000000000002</v>
      </c>
      <c r="G740" s="4">
        <v>2</v>
      </c>
      <c r="H740" s="8">
        <v>0.41</v>
      </c>
      <c r="I740" s="4">
        <v>0</v>
      </c>
    </row>
    <row r="741" spans="1:9" x14ac:dyDescent="0.2">
      <c r="A741" s="2">
        <v>15</v>
      </c>
      <c r="B741" s="1" t="s">
        <v>127</v>
      </c>
      <c r="C741" s="4">
        <v>21</v>
      </c>
      <c r="D741" s="8">
        <v>1.5</v>
      </c>
      <c r="E741" s="4">
        <v>5</v>
      </c>
      <c r="F741" s="8">
        <v>0.56000000000000005</v>
      </c>
      <c r="G741" s="4">
        <v>15</v>
      </c>
      <c r="H741" s="8">
        <v>3.06</v>
      </c>
      <c r="I741" s="4">
        <v>0</v>
      </c>
    </row>
    <row r="742" spans="1:9" x14ac:dyDescent="0.2">
      <c r="A742" s="2">
        <v>15</v>
      </c>
      <c r="B742" s="1" t="s">
        <v>135</v>
      </c>
      <c r="C742" s="4">
        <v>21</v>
      </c>
      <c r="D742" s="8">
        <v>1.5</v>
      </c>
      <c r="E742" s="4">
        <v>14</v>
      </c>
      <c r="F742" s="8">
        <v>1.57</v>
      </c>
      <c r="G742" s="4">
        <v>7</v>
      </c>
      <c r="H742" s="8">
        <v>1.43</v>
      </c>
      <c r="I742" s="4">
        <v>0</v>
      </c>
    </row>
    <row r="743" spans="1:9" x14ac:dyDescent="0.2">
      <c r="A743" s="2">
        <v>17</v>
      </c>
      <c r="B743" s="1" t="s">
        <v>161</v>
      </c>
      <c r="C743" s="4">
        <v>18</v>
      </c>
      <c r="D743" s="8">
        <v>1.28</v>
      </c>
      <c r="E743" s="4">
        <v>13</v>
      </c>
      <c r="F743" s="8">
        <v>1.46</v>
      </c>
      <c r="G743" s="4">
        <v>5</v>
      </c>
      <c r="H743" s="8">
        <v>1.02</v>
      </c>
      <c r="I743" s="4">
        <v>0</v>
      </c>
    </row>
    <row r="744" spans="1:9" x14ac:dyDescent="0.2">
      <c r="A744" s="2">
        <v>18</v>
      </c>
      <c r="B744" s="1" t="s">
        <v>120</v>
      </c>
      <c r="C744" s="4">
        <v>17</v>
      </c>
      <c r="D744" s="8">
        <v>1.21</v>
      </c>
      <c r="E744" s="4">
        <v>7</v>
      </c>
      <c r="F744" s="8">
        <v>0.78</v>
      </c>
      <c r="G744" s="4">
        <v>10</v>
      </c>
      <c r="H744" s="8">
        <v>2.04</v>
      </c>
      <c r="I744" s="4">
        <v>0</v>
      </c>
    </row>
    <row r="745" spans="1:9" x14ac:dyDescent="0.2">
      <c r="A745" s="2">
        <v>18</v>
      </c>
      <c r="B745" s="1" t="s">
        <v>137</v>
      </c>
      <c r="C745" s="4">
        <v>17</v>
      </c>
      <c r="D745" s="8">
        <v>1.21</v>
      </c>
      <c r="E745" s="4">
        <v>8</v>
      </c>
      <c r="F745" s="8">
        <v>0.9</v>
      </c>
      <c r="G745" s="4">
        <v>9</v>
      </c>
      <c r="H745" s="8">
        <v>1.84</v>
      </c>
      <c r="I745" s="4">
        <v>0</v>
      </c>
    </row>
    <row r="746" spans="1:9" x14ac:dyDescent="0.2">
      <c r="A746" s="2">
        <v>18</v>
      </c>
      <c r="B746" s="1" t="s">
        <v>125</v>
      </c>
      <c r="C746" s="4">
        <v>17</v>
      </c>
      <c r="D746" s="8">
        <v>1.21</v>
      </c>
      <c r="E746" s="4">
        <v>9</v>
      </c>
      <c r="F746" s="8">
        <v>1.01</v>
      </c>
      <c r="G746" s="4">
        <v>8</v>
      </c>
      <c r="H746" s="8">
        <v>1.63</v>
      </c>
      <c r="I746" s="4">
        <v>0</v>
      </c>
    </row>
    <row r="747" spans="1:9" x14ac:dyDescent="0.2">
      <c r="A747" s="1"/>
      <c r="C747" s="4"/>
      <c r="D747" s="8"/>
      <c r="E747" s="4"/>
      <c r="F747" s="8"/>
      <c r="G747" s="4"/>
      <c r="H747" s="8"/>
      <c r="I747" s="4"/>
    </row>
    <row r="748" spans="1:9" x14ac:dyDescent="0.2">
      <c r="A748" s="1" t="s">
        <v>33</v>
      </c>
      <c r="C748" s="4"/>
      <c r="D748" s="8"/>
      <c r="E748" s="4"/>
      <c r="F748" s="8"/>
      <c r="G748" s="4"/>
      <c r="H748" s="8"/>
      <c r="I748" s="4"/>
    </row>
    <row r="749" spans="1:9" x14ac:dyDescent="0.2">
      <c r="A749" s="2">
        <v>1</v>
      </c>
      <c r="B749" s="1" t="s">
        <v>157</v>
      </c>
      <c r="C749" s="4">
        <v>100</v>
      </c>
      <c r="D749" s="8">
        <v>6.99</v>
      </c>
      <c r="E749" s="4">
        <v>67</v>
      </c>
      <c r="F749" s="8">
        <v>7.9</v>
      </c>
      <c r="G749" s="4">
        <v>33</v>
      </c>
      <c r="H749" s="8">
        <v>5.81</v>
      </c>
      <c r="I749" s="4">
        <v>0</v>
      </c>
    </row>
    <row r="750" spans="1:9" x14ac:dyDescent="0.2">
      <c r="A750" s="2">
        <v>2</v>
      </c>
      <c r="B750" s="1" t="s">
        <v>132</v>
      </c>
      <c r="C750" s="4">
        <v>53</v>
      </c>
      <c r="D750" s="8">
        <v>3.7</v>
      </c>
      <c r="E750" s="4">
        <v>52</v>
      </c>
      <c r="F750" s="8">
        <v>6.13</v>
      </c>
      <c r="G750" s="4">
        <v>1</v>
      </c>
      <c r="H750" s="8">
        <v>0.18</v>
      </c>
      <c r="I750" s="4">
        <v>0</v>
      </c>
    </row>
    <row r="751" spans="1:9" x14ac:dyDescent="0.2">
      <c r="A751" s="2">
        <v>3</v>
      </c>
      <c r="B751" s="1" t="s">
        <v>131</v>
      </c>
      <c r="C751" s="4">
        <v>48</v>
      </c>
      <c r="D751" s="8">
        <v>3.35</v>
      </c>
      <c r="E751" s="4">
        <v>46</v>
      </c>
      <c r="F751" s="8">
        <v>5.42</v>
      </c>
      <c r="G751" s="4">
        <v>2</v>
      </c>
      <c r="H751" s="8">
        <v>0.35</v>
      </c>
      <c r="I751" s="4">
        <v>0</v>
      </c>
    </row>
    <row r="752" spans="1:9" x14ac:dyDescent="0.2">
      <c r="A752" s="2">
        <v>4</v>
      </c>
      <c r="B752" s="1" t="s">
        <v>118</v>
      </c>
      <c r="C752" s="4">
        <v>47</v>
      </c>
      <c r="D752" s="8">
        <v>3.28</v>
      </c>
      <c r="E752" s="4">
        <v>32</v>
      </c>
      <c r="F752" s="8">
        <v>3.77</v>
      </c>
      <c r="G752" s="4">
        <v>15</v>
      </c>
      <c r="H752" s="8">
        <v>2.64</v>
      </c>
      <c r="I752" s="4">
        <v>0</v>
      </c>
    </row>
    <row r="753" spans="1:9" x14ac:dyDescent="0.2">
      <c r="A753" s="2">
        <v>5</v>
      </c>
      <c r="B753" s="1" t="s">
        <v>122</v>
      </c>
      <c r="C753" s="4">
        <v>42</v>
      </c>
      <c r="D753" s="8">
        <v>2.94</v>
      </c>
      <c r="E753" s="4">
        <v>22</v>
      </c>
      <c r="F753" s="8">
        <v>2.59</v>
      </c>
      <c r="G753" s="4">
        <v>20</v>
      </c>
      <c r="H753" s="8">
        <v>3.52</v>
      </c>
      <c r="I753" s="4">
        <v>0</v>
      </c>
    </row>
    <row r="754" spans="1:9" x14ac:dyDescent="0.2">
      <c r="A754" s="2">
        <v>6</v>
      </c>
      <c r="B754" s="1" t="s">
        <v>116</v>
      </c>
      <c r="C754" s="4">
        <v>33</v>
      </c>
      <c r="D754" s="8">
        <v>2.31</v>
      </c>
      <c r="E754" s="4">
        <v>14</v>
      </c>
      <c r="F754" s="8">
        <v>1.65</v>
      </c>
      <c r="G754" s="4">
        <v>19</v>
      </c>
      <c r="H754" s="8">
        <v>3.35</v>
      </c>
      <c r="I754" s="4">
        <v>0</v>
      </c>
    </row>
    <row r="755" spans="1:9" x14ac:dyDescent="0.2">
      <c r="A755" s="2">
        <v>6</v>
      </c>
      <c r="B755" s="1" t="s">
        <v>126</v>
      </c>
      <c r="C755" s="4">
        <v>33</v>
      </c>
      <c r="D755" s="8">
        <v>2.31</v>
      </c>
      <c r="E755" s="4">
        <v>24</v>
      </c>
      <c r="F755" s="8">
        <v>2.83</v>
      </c>
      <c r="G755" s="4">
        <v>9</v>
      </c>
      <c r="H755" s="8">
        <v>1.58</v>
      </c>
      <c r="I755" s="4">
        <v>0</v>
      </c>
    </row>
    <row r="756" spans="1:9" x14ac:dyDescent="0.2">
      <c r="A756" s="2">
        <v>8</v>
      </c>
      <c r="B756" s="1" t="s">
        <v>121</v>
      </c>
      <c r="C756" s="4">
        <v>30</v>
      </c>
      <c r="D756" s="8">
        <v>2.1</v>
      </c>
      <c r="E756" s="4">
        <v>21</v>
      </c>
      <c r="F756" s="8">
        <v>2.48</v>
      </c>
      <c r="G756" s="4">
        <v>9</v>
      </c>
      <c r="H756" s="8">
        <v>1.58</v>
      </c>
      <c r="I756" s="4">
        <v>0</v>
      </c>
    </row>
    <row r="757" spans="1:9" x14ac:dyDescent="0.2">
      <c r="A757" s="2">
        <v>9</v>
      </c>
      <c r="B757" s="1" t="s">
        <v>124</v>
      </c>
      <c r="C757" s="4">
        <v>29</v>
      </c>
      <c r="D757" s="8">
        <v>2.0299999999999998</v>
      </c>
      <c r="E757" s="4">
        <v>22</v>
      </c>
      <c r="F757" s="8">
        <v>2.59</v>
      </c>
      <c r="G757" s="4">
        <v>7</v>
      </c>
      <c r="H757" s="8">
        <v>1.23</v>
      </c>
      <c r="I757" s="4">
        <v>0</v>
      </c>
    </row>
    <row r="758" spans="1:9" x14ac:dyDescent="0.2">
      <c r="A758" s="2">
        <v>9</v>
      </c>
      <c r="B758" s="1" t="s">
        <v>129</v>
      </c>
      <c r="C758" s="4">
        <v>29</v>
      </c>
      <c r="D758" s="8">
        <v>2.0299999999999998</v>
      </c>
      <c r="E758" s="4">
        <v>27</v>
      </c>
      <c r="F758" s="8">
        <v>3.18</v>
      </c>
      <c r="G758" s="4">
        <v>2</v>
      </c>
      <c r="H758" s="8">
        <v>0.35</v>
      </c>
      <c r="I758" s="4">
        <v>0</v>
      </c>
    </row>
    <row r="759" spans="1:9" x14ac:dyDescent="0.2">
      <c r="A759" s="2">
        <v>11</v>
      </c>
      <c r="B759" s="1" t="s">
        <v>136</v>
      </c>
      <c r="C759" s="4">
        <v>27</v>
      </c>
      <c r="D759" s="8">
        <v>1.89</v>
      </c>
      <c r="E759" s="4">
        <v>22</v>
      </c>
      <c r="F759" s="8">
        <v>2.59</v>
      </c>
      <c r="G759" s="4">
        <v>5</v>
      </c>
      <c r="H759" s="8">
        <v>0.88</v>
      </c>
      <c r="I759" s="4">
        <v>0</v>
      </c>
    </row>
    <row r="760" spans="1:9" x14ac:dyDescent="0.2">
      <c r="A760" s="2">
        <v>12</v>
      </c>
      <c r="B760" s="1" t="s">
        <v>156</v>
      </c>
      <c r="C760" s="4">
        <v>23</v>
      </c>
      <c r="D760" s="8">
        <v>1.61</v>
      </c>
      <c r="E760" s="4">
        <v>21</v>
      </c>
      <c r="F760" s="8">
        <v>2.48</v>
      </c>
      <c r="G760" s="4">
        <v>2</v>
      </c>
      <c r="H760" s="8">
        <v>0.35</v>
      </c>
      <c r="I760" s="4">
        <v>0</v>
      </c>
    </row>
    <row r="761" spans="1:9" x14ac:dyDescent="0.2">
      <c r="A761" s="2">
        <v>13</v>
      </c>
      <c r="B761" s="1" t="s">
        <v>119</v>
      </c>
      <c r="C761" s="4">
        <v>22</v>
      </c>
      <c r="D761" s="8">
        <v>1.54</v>
      </c>
      <c r="E761" s="4">
        <v>9</v>
      </c>
      <c r="F761" s="8">
        <v>1.06</v>
      </c>
      <c r="G761" s="4">
        <v>13</v>
      </c>
      <c r="H761" s="8">
        <v>2.29</v>
      </c>
      <c r="I761" s="4">
        <v>0</v>
      </c>
    </row>
    <row r="762" spans="1:9" x14ac:dyDescent="0.2">
      <c r="A762" s="2">
        <v>13</v>
      </c>
      <c r="B762" s="1" t="s">
        <v>153</v>
      </c>
      <c r="C762" s="4">
        <v>22</v>
      </c>
      <c r="D762" s="8">
        <v>1.54</v>
      </c>
      <c r="E762" s="4">
        <v>20</v>
      </c>
      <c r="F762" s="8">
        <v>2.36</v>
      </c>
      <c r="G762" s="4">
        <v>2</v>
      </c>
      <c r="H762" s="8">
        <v>0.35</v>
      </c>
      <c r="I762" s="4">
        <v>0</v>
      </c>
    </row>
    <row r="763" spans="1:9" x14ac:dyDescent="0.2">
      <c r="A763" s="2">
        <v>15</v>
      </c>
      <c r="B763" s="1" t="s">
        <v>128</v>
      </c>
      <c r="C763" s="4">
        <v>21</v>
      </c>
      <c r="D763" s="8">
        <v>1.47</v>
      </c>
      <c r="E763" s="4">
        <v>17</v>
      </c>
      <c r="F763" s="8">
        <v>2</v>
      </c>
      <c r="G763" s="4">
        <v>4</v>
      </c>
      <c r="H763" s="8">
        <v>0.7</v>
      </c>
      <c r="I763" s="4">
        <v>0</v>
      </c>
    </row>
    <row r="764" spans="1:9" x14ac:dyDescent="0.2">
      <c r="A764" s="2">
        <v>15</v>
      </c>
      <c r="B764" s="1" t="s">
        <v>130</v>
      </c>
      <c r="C764" s="4">
        <v>21</v>
      </c>
      <c r="D764" s="8">
        <v>1.47</v>
      </c>
      <c r="E764" s="4">
        <v>13</v>
      </c>
      <c r="F764" s="8">
        <v>1.53</v>
      </c>
      <c r="G764" s="4">
        <v>8</v>
      </c>
      <c r="H764" s="8">
        <v>1.41</v>
      </c>
      <c r="I764" s="4">
        <v>0</v>
      </c>
    </row>
    <row r="765" spans="1:9" x14ac:dyDescent="0.2">
      <c r="A765" s="2">
        <v>17</v>
      </c>
      <c r="B765" s="1" t="s">
        <v>168</v>
      </c>
      <c r="C765" s="4">
        <v>20</v>
      </c>
      <c r="D765" s="8">
        <v>1.4</v>
      </c>
      <c r="E765" s="4">
        <v>14</v>
      </c>
      <c r="F765" s="8">
        <v>1.65</v>
      </c>
      <c r="G765" s="4">
        <v>6</v>
      </c>
      <c r="H765" s="8">
        <v>1.06</v>
      </c>
      <c r="I765" s="4">
        <v>0</v>
      </c>
    </row>
    <row r="766" spans="1:9" x14ac:dyDescent="0.2">
      <c r="A766" s="2">
        <v>17</v>
      </c>
      <c r="B766" s="1" t="s">
        <v>133</v>
      </c>
      <c r="C766" s="4">
        <v>20</v>
      </c>
      <c r="D766" s="8">
        <v>1.4</v>
      </c>
      <c r="E766" s="4">
        <v>13</v>
      </c>
      <c r="F766" s="8">
        <v>1.53</v>
      </c>
      <c r="G766" s="4">
        <v>7</v>
      </c>
      <c r="H766" s="8">
        <v>1.23</v>
      </c>
      <c r="I766" s="4">
        <v>0</v>
      </c>
    </row>
    <row r="767" spans="1:9" x14ac:dyDescent="0.2">
      <c r="A767" s="2">
        <v>19</v>
      </c>
      <c r="B767" s="1" t="s">
        <v>175</v>
      </c>
      <c r="C767" s="4">
        <v>19</v>
      </c>
      <c r="D767" s="8">
        <v>1.33</v>
      </c>
      <c r="E767" s="4">
        <v>8</v>
      </c>
      <c r="F767" s="8">
        <v>0.94</v>
      </c>
      <c r="G767" s="4">
        <v>11</v>
      </c>
      <c r="H767" s="8">
        <v>1.94</v>
      </c>
      <c r="I767" s="4">
        <v>0</v>
      </c>
    </row>
    <row r="768" spans="1:9" x14ac:dyDescent="0.2">
      <c r="A768" s="2">
        <v>19</v>
      </c>
      <c r="B768" s="1" t="s">
        <v>134</v>
      </c>
      <c r="C768" s="4">
        <v>19</v>
      </c>
      <c r="D768" s="8">
        <v>1.33</v>
      </c>
      <c r="E768" s="4">
        <v>18</v>
      </c>
      <c r="F768" s="8">
        <v>2.12</v>
      </c>
      <c r="G768" s="4">
        <v>1</v>
      </c>
      <c r="H768" s="8">
        <v>0.18</v>
      </c>
      <c r="I768" s="4">
        <v>0</v>
      </c>
    </row>
    <row r="769" spans="1:9" x14ac:dyDescent="0.2">
      <c r="A769" s="1"/>
      <c r="C769" s="4"/>
      <c r="D769" s="8"/>
      <c r="E769" s="4"/>
      <c r="F769" s="8"/>
      <c r="G769" s="4"/>
      <c r="H769" s="8"/>
      <c r="I769" s="4"/>
    </row>
    <row r="770" spans="1:9" x14ac:dyDescent="0.2">
      <c r="A770" s="1" t="s">
        <v>34</v>
      </c>
      <c r="C770" s="4"/>
      <c r="D770" s="8"/>
      <c r="E770" s="4"/>
      <c r="F770" s="8"/>
      <c r="G770" s="4"/>
      <c r="H770" s="8"/>
      <c r="I770" s="4"/>
    </row>
    <row r="771" spans="1:9" x14ac:dyDescent="0.2">
      <c r="A771" s="2">
        <v>1</v>
      </c>
      <c r="B771" s="1" t="s">
        <v>126</v>
      </c>
      <c r="C771" s="4">
        <v>40</v>
      </c>
      <c r="D771" s="8">
        <v>8.3000000000000007</v>
      </c>
      <c r="E771" s="4">
        <v>33</v>
      </c>
      <c r="F771" s="8">
        <v>10.82</v>
      </c>
      <c r="G771" s="4">
        <v>7</v>
      </c>
      <c r="H771" s="8">
        <v>4.05</v>
      </c>
      <c r="I771" s="4">
        <v>0</v>
      </c>
    </row>
    <row r="772" spans="1:9" x14ac:dyDescent="0.2">
      <c r="A772" s="2">
        <v>2</v>
      </c>
      <c r="B772" s="1" t="s">
        <v>160</v>
      </c>
      <c r="C772" s="4">
        <v>26</v>
      </c>
      <c r="D772" s="8">
        <v>5.39</v>
      </c>
      <c r="E772" s="4">
        <v>20</v>
      </c>
      <c r="F772" s="8">
        <v>6.56</v>
      </c>
      <c r="G772" s="4">
        <v>6</v>
      </c>
      <c r="H772" s="8">
        <v>3.47</v>
      </c>
      <c r="I772" s="4">
        <v>0</v>
      </c>
    </row>
    <row r="773" spans="1:9" x14ac:dyDescent="0.2">
      <c r="A773" s="2">
        <v>2</v>
      </c>
      <c r="B773" s="1" t="s">
        <v>132</v>
      </c>
      <c r="C773" s="4">
        <v>26</v>
      </c>
      <c r="D773" s="8">
        <v>5.39</v>
      </c>
      <c r="E773" s="4">
        <v>25</v>
      </c>
      <c r="F773" s="8">
        <v>8.1999999999999993</v>
      </c>
      <c r="G773" s="4">
        <v>1</v>
      </c>
      <c r="H773" s="8">
        <v>0.57999999999999996</v>
      </c>
      <c r="I773" s="4">
        <v>0</v>
      </c>
    </row>
    <row r="774" spans="1:9" x14ac:dyDescent="0.2">
      <c r="A774" s="2">
        <v>4</v>
      </c>
      <c r="B774" s="1" t="s">
        <v>121</v>
      </c>
      <c r="C774" s="4">
        <v>20</v>
      </c>
      <c r="D774" s="8">
        <v>4.1500000000000004</v>
      </c>
      <c r="E774" s="4">
        <v>12</v>
      </c>
      <c r="F774" s="8">
        <v>3.93</v>
      </c>
      <c r="G774" s="4">
        <v>8</v>
      </c>
      <c r="H774" s="8">
        <v>4.62</v>
      </c>
      <c r="I774" s="4">
        <v>0</v>
      </c>
    </row>
    <row r="775" spans="1:9" x14ac:dyDescent="0.2">
      <c r="A775" s="2">
        <v>5</v>
      </c>
      <c r="B775" s="1" t="s">
        <v>128</v>
      </c>
      <c r="C775" s="4">
        <v>16</v>
      </c>
      <c r="D775" s="8">
        <v>3.32</v>
      </c>
      <c r="E775" s="4">
        <v>12</v>
      </c>
      <c r="F775" s="8">
        <v>3.93</v>
      </c>
      <c r="G775" s="4">
        <v>4</v>
      </c>
      <c r="H775" s="8">
        <v>2.31</v>
      </c>
      <c r="I775" s="4">
        <v>0</v>
      </c>
    </row>
    <row r="776" spans="1:9" x14ac:dyDescent="0.2">
      <c r="A776" s="2">
        <v>6</v>
      </c>
      <c r="B776" s="1" t="s">
        <v>116</v>
      </c>
      <c r="C776" s="4">
        <v>15</v>
      </c>
      <c r="D776" s="8">
        <v>3.11</v>
      </c>
      <c r="E776" s="4">
        <v>4</v>
      </c>
      <c r="F776" s="8">
        <v>1.31</v>
      </c>
      <c r="G776" s="4">
        <v>11</v>
      </c>
      <c r="H776" s="8">
        <v>6.36</v>
      </c>
      <c r="I776" s="4">
        <v>0</v>
      </c>
    </row>
    <row r="777" spans="1:9" x14ac:dyDescent="0.2">
      <c r="A777" s="2">
        <v>7</v>
      </c>
      <c r="B777" s="1" t="s">
        <v>131</v>
      </c>
      <c r="C777" s="4">
        <v>13</v>
      </c>
      <c r="D777" s="8">
        <v>2.7</v>
      </c>
      <c r="E777" s="4">
        <v>13</v>
      </c>
      <c r="F777" s="8">
        <v>4.26</v>
      </c>
      <c r="G777" s="4">
        <v>0</v>
      </c>
      <c r="H777" s="8">
        <v>0</v>
      </c>
      <c r="I777" s="4">
        <v>0</v>
      </c>
    </row>
    <row r="778" spans="1:9" x14ac:dyDescent="0.2">
      <c r="A778" s="2">
        <v>8</v>
      </c>
      <c r="B778" s="1" t="s">
        <v>129</v>
      </c>
      <c r="C778" s="4">
        <v>11</v>
      </c>
      <c r="D778" s="8">
        <v>2.2799999999999998</v>
      </c>
      <c r="E778" s="4">
        <v>10</v>
      </c>
      <c r="F778" s="8">
        <v>3.28</v>
      </c>
      <c r="G778" s="4">
        <v>1</v>
      </c>
      <c r="H778" s="8">
        <v>0.57999999999999996</v>
      </c>
      <c r="I778" s="4">
        <v>0</v>
      </c>
    </row>
    <row r="779" spans="1:9" x14ac:dyDescent="0.2">
      <c r="A779" s="2">
        <v>9</v>
      </c>
      <c r="B779" s="1" t="s">
        <v>119</v>
      </c>
      <c r="C779" s="4">
        <v>10</v>
      </c>
      <c r="D779" s="8">
        <v>2.0699999999999998</v>
      </c>
      <c r="E779" s="4">
        <v>4</v>
      </c>
      <c r="F779" s="8">
        <v>1.31</v>
      </c>
      <c r="G779" s="4">
        <v>6</v>
      </c>
      <c r="H779" s="8">
        <v>3.47</v>
      </c>
      <c r="I779" s="4">
        <v>0</v>
      </c>
    </row>
    <row r="780" spans="1:9" x14ac:dyDescent="0.2">
      <c r="A780" s="2">
        <v>9</v>
      </c>
      <c r="B780" s="1" t="s">
        <v>123</v>
      </c>
      <c r="C780" s="4">
        <v>10</v>
      </c>
      <c r="D780" s="8">
        <v>2.0699999999999998</v>
      </c>
      <c r="E780" s="4">
        <v>5</v>
      </c>
      <c r="F780" s="8">
        <v>1.64</v>
      </c>
      <c r="G780" s="4">
        <v>5</v>
      </c>
      <c r="H780" s="8">
        <v>2.89</v>
      </c>
      <c r="I780" s="4">
        <v>0</v>
      </c>
    </row>
    <row r="781" spans="1:9" x14ac:dyDescent="0.2">
      <c r="A781" s="2">
        <v>9</v>
      </c>
      <c r="B781" s="1" t="s">
        <v>161</v>
      </c>
      <c r="C781" s="4">
        <v>10</v>
      </c>
      <c r="D781" s="8">
        <v>2.0699999999999998</v>
      </c>
      <c r="E781" s="4">
        <v>8</v>
      </c>
      <c r="F781" s="8">
        <v>2.62</v>
      </c>
      <c r="G781" s="4">
        <v>2</v>
      </c>
      <c r="H781" s="8">
        <v>1.1599999999999999</v>
      </c>
      <c r="I781" s="4">
        <v>0</v>
      </c>
    </row>
    <row r="782" spans="1:9" x14ac:dyDescent="0.2">
      <c r="A782" s="2">
        <v>12</v>
      </c>
      <c r="B782" s="1" t="s">
        <v>136</v>
      </c>
      <c r="C782" s="4">
        <v>9</v>
      </c>
      <c r="D782" s="8">
        <v>1.87</v>
      </c>
      <c r="E782" s="4">
        <v>7</v>
      </c>
      <c r="F782" s="8">
        <v>2.2999999999999998</v>
      </c>
      <c r="G782" s="4">
        <v>2</v>
      </c>
      <c r="H782" s="8">
        <v>1.1599999999999999</v>
      </c>
      <c r="I782" s="4">
        <v>0</v>
      </c>
    </row>
    <row r="783" spans="1:9" x14ac:dyDescent="0.2">
      <c r="A783" s="2">
        <v>12</v>
      </c>
      <c r="B783" s="1" t="s">
        <v>130</v>
      </c>
      <c r="C783" s="4">
        <v>9</v>
      </c>
      <c r="D783" s="8">
        <v>1.87</v>
      </c>
      <c r="E783" s="4">
        <v>7</v>
      </c>
      <c r="F783" s="8">
        <v>2.2999999999999998</v>
      </c>
      <c r="G783" s="4">
        <v>2</v>
      </c>
      <c r="H783" s="8">
        <v>1.1599999999999999</v>
      </c>
      <c r="I783" s="4">
        <v>0</v>
      </c>
    </row>
    <row r="784" spans="1:9" x14ac:dyDescent="0.2">
      <c r="A784" s="2">
        <v>14</v>
      </c>
      <c r="B784" s="1" t="s">
        <v>144</v>
      </c>
      <c r="C784" s="4">
        <v>8</v>
      </c>
      <c r="D784" s="8">
        <v>1.66</v>
      </c>
      <c r="E784" s="4">
        <v>5</v>
      </c>
      <c r="F784" s="8">
        <v>1.64</v>
      </c>
      <c r="G784" s="4">
        <v>3</v>
      </c>
      <c r="H784" s="8">
        <v>1.73</v>
      </c>
      <c r="I784" s="4">
        <v>0</v>
      </c>
    </row>
    <row r="785" spans="1:9" x14ac:dyDescent="0.2">
      <c r="A785" s="2">
        <v>14</v>
      </c>
      <c r="B785" s="1" t="s">
        <v>122</v>
      </c>
      <c r="C785" s="4">
        <v>8</v>
      </c>
      <c r="D785" s="8">
        <v>1.66</v>
      </c>
      <c r="E785" s="4">
        <v>5</v>
      </c>
      <c r="F785" s="8">
        <v>1.64</v>
      </c>
      <c r="G785" s="4">
        <v>3</v>
      </c>
      <c r="H785" s="8">
        <v>1.73</v>
      </c>
      <c r="I785" s="4">
        <v>0</v>
      </c>
    </row>
    <row r="786" spans="1:9" x14ac:dyDescent="0.2">
      <c r="A786" s="2">
        <v>14</v>
      </c>
      <c r="B786" s="1" t="s">
        <v>124</v>
      </c>
      <c r="C786" s="4">
        <v>8</v>
      </c>
      <c r="D786" s="8">
        <v>1.66</v>
      </c>
      <c r="E786" s="4">
        <v>3</v>
      </c>
      <c r="F786" s="8">
        <v>0.98</v>
      </c>
      <c r="G786" s="4">
        <v>5</v>
      </c>
      <c r="H786" s="8">
        <v>2.89</v>
      </c>
      <c r="I786" s="4">
        <v>0</v>
      </c>
    </row>
    <row r="787" spans="1:9" x14ac:dyDescent="0.2">
      <c r="A787" s="2">
        <v>14</v>
      </c>
      <c r="B787" s="1" t="s">
        <v>125</v>
      </c>
      <c r="C787" s="4">
        <v>8</v>
      </c>
      <c r="D787" s="8">
        <v>1.66</v>
      </c>
      <c r="E787" s="4">
        <v>0</v>
      </c>
      <c r="F787" s="8">
        <v>0</v>
      </c>
      <c r="G787" s="4">
        <v>8</v>
      </c>
      <c r="H787" s="8">
        <v>4.62</v>
      </c>
      <c r="I787" s="4">
        <v>0</v>
      </c>
    </row>
    <row r="788" spans="1:9" x14ac:dyDescent="0.2">
      <c r="A788" s="2">
        <v>14</v>
      </c>
      <c r="B788" s="1" t="s">
        <v>139</v>
      </c>
      <c r="C788" s="4">
        <v>8</v>
      </c>
      <c r="D788" s="8">
        <v>1.66</v>
      </c>
      <c r="E788" s="4">
        <v>8</v>
      </c>
      <c r="F788" s="8">
        <v>2.62</v>
      </c>
      <c r="G788" s="4">
        <v>0</v>
      </c>
      <c r="H788" s="8">
        <v>0</v>
      </c>
      <c r="I788" s="4">
        <v>0</v>
      </c>
    </row>
    <row r="789" spans="1:9" x14ac:dyDescent="0.2">
      <c r="A789" s="2">
        <v>19</v>
      </c>
      <c r="B789" s="1" t="s">
        <v>117</v>
      </c>
      <c r="C789" s="4">
        <v>7</v>
      </c>
      <c r="D789" s="8">
        <v>1.45</v>
      </c>
      <c r="E789" s="4">
        <v>5</v>
      </c>
      <c r="F789" s="8">
        <v>1.64</v>
      </c>
      <c r="G789" s="4">
        <v>2</v>
      </c>
      <c r="H789" s="8">
        <v>1.1599999999999999</v>
      </c>
      <c r="I789" s="4">
        <v>0</v>
      </c>
    </row>
    <row r="790" spans="1:9" x14ac:dyDescent="0.2">
      <c r="A790" s="2">
        <v>19</v>
      </c>
      <c r="B790" s="1" t="s">
        <v>120</v>
      </c>
      <c r="C790" s="4">
        <v>7</v>
      </c>
      <c r="D790" s="8">
        <v>1.45</v>
      </c>
      <c r="E790" s="4">
        <v>5</v>
      </c>
      <c r="F790" s="8">
        <v>1.64</v>
      </c>
      <c r="G790" s="4">
        <v>2</v>
      </c>
      <c r="H790" s="8">
        <v>1.1599999999999999</v>
      </c>
      <c r="I790" s="4">
        <v>0</v>
      </c>
    </row>
    <row r="791" spans="1:9" x14ac:dyDescent="0.2">
      <c r="A791" s="2">
        <v>19</v>
      </c>
      <c r="B791" s="1" t="s">
        <v>166</v>
      </c>
      <c r="C791" s="4">
        <v>7</v>
      </c>
      <c r="D791" s="8">
        <v>1.45</v>
      </c>
      <c r="E791" s="4">
        <v>1</v>
      </c>
      <c r="F791" s="8">
        <v>0.33</v>
      </c>
      <c r="G791" s="4">
        <v>6</v>
      </c>
      <c r="H791" s="8">
        <v>3.47</v>
      </c>
      <c r="I791" s="4">
        <v>0</v>
      </c>
    </row>
    <row r="792" spans="1:9" x14ac:dyDescent="0.2">
      <c r="A792" s="2">
        <v>19</v>
      </c>
      <c r="B792" s="1" t="s">
        <v>147</v>
      </c>
      <c r="C792" s="4">
        <v>7</v>
      </c>
      <c r="D792" s="8">
        <v>1.45</v>
      </c>
      <c r="E792" s="4">
        <v>0</v>
      </c>
      <c r="F792" s="8">
        <v>0</v>
      </c>
      <c r="G792" s="4">
        <v>7</v>
      </c>
      <c r="H792" s="8">
        <v>4.05</v>
      </c>
      <c r="I792" s="4">
        <v>0</v>
      </c>
    </row>
    <row r="793" spans="1:9" x14ac:dyDescent="0.2">
      <c r="A793" s="2">
        <v>19</v>
      </c>
      <c r="B793" s="1" t="s">
        <v>176</v>
      </c>
      <c r="C793" s="4">
        <v>7</v>
      </c>
      <c r="D793" s="8">
        <v>1.45</v>
      </c>
      <c r="E793" s="4">
        <v>1</v>
      </c>
      <c r="F793" s="8">
        <v>0.33</v>
      </c>
      <c r="G793" s="4">
        <v>6</v>
      </c>
      <c r="H793" s="8">
        <v>3.47</v>
      </c>
      <c r="I793" s="4">
        <v>0</v>
      </c>
    </row>
    <row r="794" spans="1:9" x14ac:dyDescent="0.2">
      <c r="A794" s="1"/>
      <c r="C794" s="4"/>
      <c r="D794" s="8"/>
      <c r="E794" s="4"/>
      <c r="F794" s="8"/>
      <c r="G794" s="4"/>
      <c r="H794" s="8"/>
      <c r="I794" s="4"/>
    </row>
    <row r="795" spans="1:9" x14ac:dyDescent="0.2">
      <c r="A795" s="1" t="s">
        <v>35</v>
      </c>
      <c r="C795" s="4"/>
      <c r="D795" s="8"/>
      <c r="E795" s="4"/>
      <c r="F795" s="8"/>
      <c r="G795" s="4"/>
      <c r="H795" s="8"/>
      <c r="I795" s="4"/>
    </row>
    <row r="796" spans="1:9" x14ac:dyDescent="0.2">
      <c r="A796" s="2">
        <v>1</v>
      </c>
      <c r="B796" s="1" t="s">
        <v>160</v>
      </c>
      <c r="C796" s="4">
        <v>36</v>
      </c>
      <c r="D796" s="8">
        <v>11.43</v>
      </c>
      <c r="E796" s="4">
        <v>29</v>
      </c>
      <c r="F796" s="8">
        <v>13.12</v>
      </c>
      <c r="G796" s="4">
        <v>7</v>
      </c>
      <c r="H796" s="8">
        <v>7.61</v>
      </c>
      <c r="I796" s="4">
        <v>0</v>
      </c>
    </row>
    <row r="797" spans="1:9" x14ac:dyDescent="0.2">
      <c r="A797" s="2">
        <v>2</v>
      </c>
      <c r="B797" s="1" t="s">
        <v>132</v>
      </c>
      <c r="C797" s="4">
        <v>12</v>
      </c>
      <c r="D797" s="8">
        <v>3.81</v>
      </c>
      <c r="E797" s="4">
        <v>12</v>
      </c>
      <c r="F797" s="8">
        <v>5.43</v>
      </c>
      <c r="G797" s="4">
        <v>0</v>
      </c>
      <c r="H797" s="8">
        <v>0</v>
      </c>
      <c r="I797" s="4">
        <v>0</v>
      </c>
    </row>
    <row r="798" spans="1:9" x14ac:dyDescent="0.2">
      <c r="A798" s="2">
        <v>3</v>
      </c>
      <c r="B798" s="1" t="s">
        <v>118</v>
      </c>
      <c r="C798" s="4">
        <v>11</v>
      </c>
      <c r="D798" s="8">
        <v>3.49</v>
      </c>
      <c r="E798" s="4">
        <v>9</v>
      </c>
      <c r="F798" s="8">
        <v>4.07</v>
      </c>
      <c r="G798" s="4">
        <v>2</v>
      </c>
      <c r="H798" s="8">
        <v>2.17</v>
      </c>
      <c r="I798" s="4">
        <v>0</v>
      </c>
    </row>
    <row r="799" spans="1:9" x14ac:dyDescent="0.2">
      <c r="A799" s="2">
        <v>4</v>
      </c>
      <c r="B799" s="1" t="s">
        <v>139</v>
      </c>
      <c r="C799" s="4">
        <v>10</v>
      </c>
      <c r="D799" s="8">
        <v>3.17</v>
      </c>
      <c r="E799" s="4">
        <v>10</v>
      </c>
      <c r="F799" s="8">
        <v>4.5199999999999996</v>
      </c>
      <c r="G799" s="4">
        <v>0</v>
      </c>
      <c r="H799" s="8">
        <v>0</v>
      </c>
      <c r="I799" s="4">
        <v>0</v>
      </c>
    </row>
    <row r="800" spans="1:9" x14ac:dyDescent="0.2">
      <c r="A800" s="2">
        <v>5</v>
      </c>
      <c r="B800" s="1" t="s">
        <v>129</v>
      </c>
      <c r="C800" s="4">
        <v>9</v>
      </c>
      <c r="D800" s="8">
        <v>2.86</v>
      </c>
      <c r="E800" s="4">
        <v>8</v>
      </c>
      <c r="F800" s="8">
        <v>3.62</v>
      </c>
      <c r="G800" s="4">
        <v>1</v>
      </c>
      <c r="H800" s="8">
        <v>1.0900000000000001</v>
      </c>
      <c r="I800" s="4">
        <v>0</v>
      </c>
    </row>
    <row r="801" spans="1:9" x14ac:dyDescent="0.2">
      <c r="A801" s="2">
        <v>6</v>
      </c>
      <c r="B801" s="1" t="s">
        <v>116</v>
      </c>
      <c r="C801" s="4">
        <v>8</v>
      </c>
      <c r="D801" s="8">
        <v>2.54</v>
      </c>
      <c r="E801" s="4">
        <v>4</v>
      </c>
      <c r="F801" s="8">
        <v>1.81</v>
      </c>
      <c r="G801" s="4">
        <v>4</v>
      </c>
      <c r="H801" s="8">
        <v>4.3499999999999996</v>
      </c>
      <c r="I801" s="4">
        <v>0</v>
      </c>
    </row>
    <row r="802" spans="1:9" x14ac:dyDescent="0.2">
      <c r="A802" s="2">
        <v>6</v>
      </c>
      <c r="B802" s="1" t="s">
        <v>131</v>
      </c>
      <c r="C802" s="4">
        <v>8</v>
      </c>
      <c r="D802" s="8">
        <v>2.54</v>
      </c>
      <c r="E802" s="4">
        <v>8</v>
      </c>
      <c r="F802" s="8">
        <v>3.62</v>
      </c>
      <c r="G802" s="4">
        <v>0</v>
      </c>
      <c r="H802" s="8">
        <v>0</v>
      </c>
      <c r="I802" s="4">
        <v>0</v>
      </c>
    </row>
    <row r="803" spans="1:9" x14ac:dyDescent="0.2">
      <c r="A803" s="2">
        <v>8</v>
      </c>
      <c r="B803" s="1" t="s">
        <v>117</v>
      </c>
      <c r="C803" s="4">
        <v>7</v>
      </c>
      <c r="D803" s="8">
        <v>2.2200000000000002</v>
      </c>
      <c r="E803" s="4">
        <v>5</v>
      </c>
      <c r="F803" s="8">
        <v>2.2599999999999998</v>
      </c>
      <c r="G803" s="4">
        <v>2</v>
      </c>
      <c r="H803" s="8">
        <v>2.17</v>
      </c>
      <c r="I803" s="4">
        <v>0</v>
      </c>
    </row>
    <row r="804" spans="1:9" x14ac:dyDescent="0.2">
      <c r="A804" s="2">
        <v>8</v>
      </c>
      <c r="B804" s="1" t="s">
        <v>124</v>
      </c>
      <c r="C804" s="4">
        <v>7</v>
      </c>
      <c r="D804" s="8">
        <v>2.2200000000000002</v>
      </c>
      <c r="E804" s="4">
        <v>6</v>
      </c>
      <c r="F804" s="8">
        <v>2.71</v>
      </c>
      <c r="G804" s="4">
        <v>1</v>
      </c>
      <c r="H804" s="8">
        <v>1.0900000000000001</v>
      </c>
      <c r="I804" s="4">
        <v>0</v>
      </c>
    </row>
    <row r="805" spans="1:9" x14ac:dyDescent="0.2">
      <c r="A805" s="2">
        <v>8</v>
      </c>
      <c r="B805" s="1" t="s">
        <v>133</v>
      </c>
      <c r="C805" s="4">
        <v>7</v>
      </c>
      <c r="D805" s="8">
        <v>2.2200000000000002</v>
      </c>
      <c r="E805" s="4">
        <v>5</v>
      </c>
      <c r="F805" s="8">
        <v>2.2599999999999998</v>
      </c>
      <c r="G805" s="4">
        <v>2</v>
      </c>
      <c r="H805" s="8">
        <v>2.17</v>
      </c>
      <c r="I805" s="4">
        <v>0</v>
      </c>
    </row>
    <row r="806" spans="1:9" x14ac:dyDescent="0.2">
      <c r="A806" s="2">
        <v>11</v>
      </c>
      <c r="B806" s="1" t="s">
        <v>136</v>
      </c>
      <c r="C806" s="4">
        <v>6</v>
      </c>
      <c r="D806" s="8">
        <v>1.9</v>
      </c>
      <c r="E806" s="4">
        <v>6</v>
      </c>
      <c r="F806" s="8">
        <v>2.71</v>
      </c>
      <c r="G806" s="4">
        <v>0</v>
      </c>
      <c r="H806" s="8">
        <v>0</v>
      </c>
      <c r="I806" s="4">
        <v>0</v>
      </c>
    </row>
    <row r="807" spans="1:9" x14ac:dyDescent="0.2">
      <c r="A807" s="2">
        <v>11</v>
      </c>
      <c r="B807" s="1" t="s">
        <v>121</v>
      </c>
      <c r="C807" s="4">
        <v>6</v>
      </c>
      <c r="D807" s="8">
        <v>1.9</v>
      </c>
      <c r="E807" s="4">
        <v>4</v>
      </c>
      <c r="F807" s="8">
        <v>1.81</v>
      </c>
      <c r="G807" s="4">
        <v>2</v>
      </c>
      <c r="H807" s="8">
        <v>2.17</v>
      </c>
      <c r="I807" s="4">
        <v>0</v>
      </c>
    </row>
    <row r="808" spans="1:9" x14ac:dyDescent="0.2">
      <c r="A808" s="2">
        <v>11</v>
      </c>
      <c r="B808" s="1" t="s">
        <v>123</v>
      </c>
      <c r="C808" s="4">
        <v>6</v>
      </c>
      <c r="D808" s="8">
        <v>1.9</v>
      </c>
      <c r="E808" s="4">
        <v>1</v>
      </c>
      <c r="F808" s="8">
        <v>0.45</v>
      </c>
      <c r="G808" s="4">
        <v>5</v>
      </c>
      <c r="H808" s="8">
        <v>5.43</v>
      </c>
      <c r="I808" s="4">
        <v>0</v>
      </c>
    </row>
    <row r="809" spans="1:9" x14ac:dyDescent="0.2">
      <c r="A809" s="2">
        <v>11</v>
      </c>
      <c r="B809" s="1" t="s">
        <v>159</v>
      </c>
      <c r="C809" s="4">
        <v>6</v>
      </c>
      <c r="D809" s="8">
        <v>1.9</v>
      </c>
      <c r="E809" s="4">
        <v>1</v>
      </c>
      <c r="F809" s="8">
        <v>0.45</v>
      </c>
      <c r="G809" s="4">
        <v>5</v>
      </c>
      <c r="H809" s="8">
        <v>5.43</v>
      </c>
      <c r="I809" s="4">
        <v>0</v>
      </c>
    </row>
    <row r="810" spans="1:9" x14ac:dyDescent="0.2">
      <c r="A810" s="2">
        <v>11</v>
      </c>
      <c r="B810" s="1" t="s">
        <v>128</v>
      </c>
      <c r="C810" s="4">
        <v>6</v>
      </c>
      <c r="D810" s="8">
        <v>1.9</v>
      </c>
      <c r="E810" s="4">
        <v>6</v>
      </c>
      <c r="F810" s="8">
        <v>2.71</v>
      </c>
      <c r="G810" s="4">
        <v>0</v>
      </c>
      <c r="H810" s="8">
        <v>0</v>
      </c>
      <c r="I810" s="4">
        <v>0</v>
      </c>
    </row>
    <row r="811" spans="1:9" x14ac:dyDescent="0.2">
      <c r="A811" s="2">
        <v>16</v>
      </c>
      <c r="B811" s="1" t="s">
        <v>177</v>
      </c>
      <c r="C811" s="4">
        <v>5</v>
      </c>
      <c r="D811" s="8">
        <v>1.59</v>
      </c>
      <c r="E811" s="4">
        <v>2</v>
      </c>
      <c r="F811" s="8">
        <v>0.9</v>
      </c>
      <c r="G811" s="4">
        <v>3</v>
      </c>
      <c r="H811" s="8">
        <v>3.26</v>
      </c>
      <c r="I811" s="4">
        <v>0</v>
      </c>
    </row>
    <row r="812" spans="1:9" x14ac:dyDescent="0.2">
      <c r="A812" s="2">
        <v>16</v>
      </c>
      <c r="B812" s="1" t="s">
        <v>119</v>
      </c>
      <c r="C812" s="4">
        <v>5</v>
      </c>
      <c r="D812" s="8">
        <v>1.59</v>
      </c>
      <c r="E812" s="4">
        <v>3</v>
      </c>
      <c r="F812" s="8">
        <v>1.36</v>
      </c>
      <c r="G812" s="4">
        <v>2</v>
      </c>
      <c r="H812" s="8">
        <v>2.17</v>
      </c>
      <c r="I812" s="4">
        <v>0</v>
      </c>
    </row>
    <row r="813" spans="1:9" x14ac:dyDescent="0.2">
      <c r="A813" s="2">
        <v>16</v>
      </c>
      <c r="B813" s="1" t="s">
        <v>122</v>
      </c>
      <c r="C813" s="4">
        <v>5</v>
      </c>
      <c r="D813" s="8">
        <v>1.59</v>
      </c>
      <c r="E813" s="4">
        <v>3</v>
      </c>
      <c r="F813" s="8">
        <v>1.36</v>
      </c>
      <c r="G813" s="4">
        <v>2</v>
      </c>
      <c r="H813" s="8">
        <v>2.17</v>
      </c>
      <c r="I813" s="4">
        <v>0</v>
      </c>
    </row>
    <row r="814" spans="1:9" x14ac:dyDescent="0.2">
      <c r="A814" s="2">
        <v>16</v>
      </c>
      <c r="B814" s="1" t="s">
        <v>178</v>
      </c>
      <c r="C814" s="4">
        <v>5</v>
      </c>
      <c r="D814" s="8">
        <v>1.59</v>
      </c>
      <c r="E814" s="4">
        <v>3</v>
      </c>
      <c r="F814" s="8">
        <v>1.36</v>
      </c>
      <c r="G814" s="4">
        <v>2</v>
      </c>
      <c r="H814" s="8">
        <v>2.17</v>
      </c>
      <c r="I814" s="4">
        <v>0</v>
      </c>
    </row>
    <row r="815" spans="1:9" x14ac:dyDescent="0.2">
      <c r="A815" s="2">
        <v>16</v>
      </c>
      <c r="B815" s="1" t="s">
        <v>134</v>
      </c>
      <c r="C815" s="4">
        <v>5</v>
      </c>
      <c r="D815" s="8">
        <v>1.59</v>
      </c>
      <c r="E815" s="4">
        <v>5</v>
      </c>
      <c r="F815" s="8">
        <v>2.2599999999999998</v>
      </c>
      <c r="G815" s="4">
        <v>0</v>
      </c>
      <c r="H815" s="8">
        <v>0</v>
      </c>
      <c r="I815" s="4">
        <v>0</v>
      </c>
    </row>
    <row r="816" spans="1:9" x14ac:dyDescent="0.2">
      <c r="A816" s="1"/>
      <c r="C816" s="4"/>
      <c r="D816" s="8"/>
      <c r="E816" s="4"/>
      <c r="F816" s="8"/>
      <c r="G816" s="4"/>
      <c r="H816" s="8"/>
      <c r="I816" s="4"/>
    </row>
    <row r="817" spans="1:9" x14ac:dyDescent="0.2">
      <c r="A817" s="1" t="s">
        <v>36</v>
      </c>
      <c r="C817" s="4"/>
      <c r="D817" s="8"/>
      <c r="E817" s="4"/>
      <c r="F817" s="8"/>
      <c r="G817" s="4"/>
      <c r="H817" s="8"/>
      <c r="I817" s="4"/>
    </row>
    <row r="818" spans="1:9" x14ac:dyDescent="0.2">
      <c r="A818" s="2">
        <v>1</v>
      </c>
      <c r="B818" s="1" t="s">
        <v>160</v>
      </c>
      <c r="C818" s="4">
        <v>66</v>
      </c>
      <c r="D818" s="8">
        <v>17.84</v>
      </c>
      <c r="E818" s="4">
        <v>62</v>
      </c>
      <c r="F818" s="8">
        <v>21.99</v>
      </c>
      <c r="G818" s="4">
        <v>4</v>
      </c>
      <c r="H818" s="8">
        <v>4.71</v>
      </c>
      <c r="I818" s="4">
        <v>0</v>
      </c>
    </row>
    <row r="819" spans="1:9" x14ac:dyDescent="0.2">
      <c r="A819" s="2">
        <v>2</v>
      </c>
      <c r="B819" s="1" t="s">
        <v>121</v>
      </c>
      <c r="C819" s="4">
        <v>16</v>
      </c>
      <c r="D819" s="8">
        <v>4.32</v>
      </c>
      <c r="E819" s="4">
        <v>15</v>
      </c>
      <c r="F819" s="8">
        <v>5.32</v>
      </c>
      <c r="G819" s="4">
        <v>1</v>
      </c>
      <c r="H819" s="8">
        <v>1.18</v>
      </c>
      <c r="I819" s="4">
        <v>0</v>
      </c>
    </row>
    <row r="820" spans="1:9" x14ac:dyDescent="0.2">
      <c r="A820" s="2">
        <v>3</v>
      </c>
      <c r="B820" s="1" t="s">
        <v>169</v>
      </c>
      <c r="C820" s="4">
        <v>15</v>
      </c>
      <c r="D820" s="8">
        <v>4.05</v>
      </c>
      <c r="E820" s="4">
        <v>15</v>
      </c>
      <c r="F820" s="8">
        <v>5.32</v>
      </c>
      <c r="G820" s="4">
        <v>0</v>
      </c>
      <c r="H820" s="8">
        <v>0</v>
      </c>
      <c r="I820" s="4">
        <v>0</v>
      </c>
    </row>
    <row r="821" spans="1:9" x14ac:dyDescent="0.2">
      <c r="A821" s="2">
        <v>3</v>
      </c>
      <c r="B821" s="1" t="s">
        <v>170</v>
      </c>
      <c r="C821" s="4">
        <v>15</v>
      </c>
      <c r="D821" s="8">
        <v>4.05</v>
      </c>
      <c r="E821" s="4">
        <v>14</v>
      </c>
      <c r="F821" s="8">
        <v>4.96</v>
      </c>
      <c r="G821" s="4">
        <v>1</v>
      </c>
      <c r="H821" s="8">
        <v>1.18</v>
      </c>
      <c r="I821" s="4">
        <v>0</v>
      </c>
    </row>
    <row r="822" spans="1:9" x14ac:dyDescent="0.2">
      <c r="A822" s="2">
        <v>5</v>
      </c>
      <c r="B822" s="1" t="s">
        <v>132</v>
      </c>
      <c r="C822" s="4">
        <v>13</v>
      </c>
      <c r="D822" s="8">
        <v>3.51</v>
      </c>
      <c r="E822" s="4">
        <v>13</v>
      </c>
      <c r="F822" s="8">
        <v>4.6100000000000003</v>
      </c>
      <c r="G822" s="4">
        <v>0</v>
      </c>
      <c r="H822" s="8">
        <v>0</v>
      </c>
      <c r="I822" s="4">
        <v>0</v>
      </c>
    </row>
    <row r="823" spans="1:9" x14ac:dyDescent="0.2">
      <c r="A823" s="2">
        <v>6</v>
      </c>
      <c r="B823" s="1" t="s">
        <v>126</v>
      </c>
      <c r="C823" s="4">
        <v>12</v>
      </c>
      <c r="D823" s="8">
        <v>3.24</v>
      </c>
      <c r="E823" s="4">
        <v>10</v>
      </c>
      <c r="F823" s="8">
        <v>3.55</v>
      </c>
      <c r="G823" s="4">
        <v>2</v>
      </c>
      <c r="H823" s="8">
        <v>2.35</v>
      </c>
      <c r="I823" s="4">
        <v>0</v>
      </c>
    </row>
    <row r="824" spans="1:9" x14ac:dyDescent="0.2">
      <c r="A824" s="2">
        <v>7</v>
      </c>
      <c r="B824" s="1" t="s">
        <v>124</v>
      </c>
      <c r="C824" s="4">
        <v>11</v>
      </c>
      <c r="D824" s="8">
        <v>2.97</v>
      </c>
      <c r="E824" s="4">
        <v>8</v>
      </c>
      <c r="F824" s="8">
        <v>2.84</v>
      </c>
      <c r="G824" s="4">
        <v>3</v>
      </c>
      <c r="H824" s="8">
        <v>3.53</v>
      </c>
      <c r="I824" s="4">
        <v>0</v>
      </c>
    </row>
    <row r="825" spans="1:9" x14ac:dyDescent="0.2">
      <c r="A825" s="2">
        <v>8</v>
      </c>
      <c r="B825" s="1" t="s">
        <v>118</v>
      </c>
      <c r="C825" s="4">
        <v>9</v>
      </c>
      <c r="D825" s="8">
        <v>2.4300000000000002</v>
      </c>
      <c r="E825" s="4">
        <v>4</v>
      </c>
      <c r="F825" s="8">
        <v>1.42</v>
      </c>
      <c r="G825" s="4">
        <v>5</v>
      </c>
      <c r="H825" s="8">
        <v>5.88</v>
      </c>
      <c r="I825" s="4">
        <v>0</v>
      </c>
    </row>
    <row r="826" spans="1:9" x14ac:dyDescent="0.2">
      <c r="A826" s="2">
        <v>8</v>
      </c>
      <c r="B826" s="1" t="s">
        <v>122</v>
      </c>
      <c r="C826" s="4">
        <v>9</v>
      </c>
      <c r="D826" s="8">
        <v>2.4300000000000002</v>
      </c>
      <c r="E826" s="4">
        <v>6</v>
      </c>
      <c r="F826" s="8">
        <v>2.13</v>
      </c>
      <c r="G826" s="4">
        <v>3</v>
      </c>
      <c r="H826" s="8">
        <v>3.53</v>
      </c>
      <c r="I826" s="4">
        <v>0</v>
      </c>
    </row>
    <row r="827" spans="1:9" x14ac:dyDescent="0.2">
      <c r="A827" s="2">
        <v>8</v>
      </c>
      <c r="B827" s="1" t="s">
        <v>128</v>
      </c>
      <c r="C827" s="4">
        <v>9</v>
      </c>
      <c r="D827" s="8">
        <v>2.4300000000000002</v>
      </c>
      <c r="E827" s="4">
        <v>8</v>
      </c>
      <c r="F827" s="8">
        <v>2.84</v>
      </c>
      <c r="G827" s="4">
        <v>1</v>
      </c>
      <c r="H827" s="8">
        <v>1.18</v>
      </c>
      <c r="I827" s="4">
        <v>0</v>
      </c>
    </row>
    <row r="828" spans="1:9" x14ac:dyDescent="0.2">
      <c r="A828" s="2">
        <v>8</v>
      </c>
      <c r="B828" s="1" t="s">
        <v>131</v>
      </c>
      <c r="C828" s="4">
        <v>9</v>
      </c>
      <c r="D828" s="8">
        <v>2.4300000000000002</v>
      </c>
      <c r="E828" s="4">
        <v>9</v>
      </c>
      <c r="F828" s="8">
        <v>3.19</v>
      </c>
      <c r="G828" s="4">
        <v>0</v>
      </c>
      <c r="H828" s="8">
        <v>0</v>
      </c>
      <c r="I828" s="4">
        <v>0</v>
      </c>
    </row>
    <row r="829" spans="1:9" x14ac:dyDescent="0.2">
      <c r="A829" s="2">
        <v>12</v>
      </c>
      <c r="B829" s="1" t="s">
        <v>116</v>
      </c>
      <c r="C829" s="4">
        <v>8</v>
      </c>
      <c r="D829" s="8">
        <v>2.16</v>
      </c>
      <c r="E829" s="4">
        <v>2</v>
      </c>
      <c r="F829" s="8">
        <v>0.71</v>
      </c>
      <c r="G829" s="4">
        <v>6</v>
      </c>
      <c r="H829" s="8">
        <v>7.06</v>
      </c>
      <c r="I829" s="4">
        <v>0</v>
      </c>
    </row>
    <row r="830" spans="1:9" x14ac:dyDescent="0.2">
      <c r="A830" s="2">
        <v>12</v>
      </c>
      <c r="B830" s="1" t="s">
        <v>117</v>
      </c>
      <c r="C830" s="4">
        <v>8</v>
      </c>
      <c r="D830" s="8">
        <v>2.16</v>
      </c>
      <c r="E830" s="4">
        <v>4</v>
      </c>
      <c r="F830" s="8">
        <v>1.42</v>
      </c>
      <c r="G830" s="4">
        <v>4</v>
      </c>
      <c r="H830" s="8">
        <v>4.71</v>
      </c>
      <c r="I830" s="4">
        <v>0</v>
      </c>
    </row>
    <row r="831" spans="1:9" x14ac:dyDescent="0.2">
      <c r="A831" s="2">
        <v>12</v>
      </c>
      <c r="B831" s="1" t="s">
        <v>119</v>
      </c>
      <c r="C831" s="4">
        <v>8</v>
      </c>
      <c r="D831" s="8">
        <v>2.16</v>
      </c>
      <c r="E831" s="4">
        <v>5</v>
      </c>
      <c r="F831" s="8">
        <v>1.77</v>
      </c>
      <c r="G831" s="4">
        <v>3</v>
      </c>
      <c r="H831" s="8">
        <v>3.53</v>
      </c>
      <c r="I831" s="4">
        <v>0</v>
      </c>
    </row>
    <row r="832" spans="1:9" x14ac:dyDescent="0.2">
      <c r="A832" s="2">
        <v>12</v>
      </c>
      <c r="B832" s="1" t="s">
        <v>159</v>
      </c>
      <c r="C832" s="4">
        <v>8</v>
      </c>
      <c r="D832" s="8">
        <v>2.16</v>
      </c>
      <c r="E832" s="4">
        <v>2</v>
      </c>
      <c r="F832" s="8">
        <v>0.71</v>
      </c>
      <c r="G832" s="4">
        <v>6</v>
      </c>
      <c r="H832" s="8">
        <v>7.06</v>
      </c>
      <c r="I832" s="4">
        <v>0</v>
      </c>
    </row>
    <row r="833" spans="1:9" x14ac:dyDescent="0.2">
      <c r="A833" s="2">
        <v>16</v>
      </c>
      <c r="B833" s="1" t="s">
        <v>161</v>
      </c>
      <c r="C833" s="4">
        <v>7</v>
      </c>
      <c r="D833" s="8">
        <v>1.89</v>
      </c>
      <c r="E833" s="4">
        <v>7</v>
      </c>
      <c r="F833" s="8">
        <v>2.48</v>
      </c>
      <c r="G833" s="4">
        <v>0</v>
      </c>
      <c r="H833" s="8">
        <v>0</v>
      </c>
      <c r="I833" s="4">
        <v>0</v>
      </c>
    </row>
    <row r="834" spans="1:9" x14ac:dyDescent="0.2">
      <c r="A834" s="2">
        <v>16</v>
      </c>
      <c r="B834" s="1" t="s">
        <v>139</v>
      </c>
      <c r="C834" s="4">
        <v>7</v>
      </c>
      <c r="D834" s="8">
        <v>1.89</v>
      </c>
      <c r="E834" s="4">
        <v>7</v>
      </c>
      <c r="F834" s="8">
        <v>2.48</v>
      </c>
      <c r="G834" s="4">
        <v>0</v>
      </c>
      <c r="H834" s="8">
        <v>0</v>
      </c>
      <c r="I834" s="4">
        <v>0</v>
      </c>
    </row>
    <row r="835" spans="1:9" x14ac:dyDescent="0.2">
      <c r="A835" s="2">
        <v>18</v>
      </c>
      <c r="B835" s="1" t="s">
        <v>163</v>
      </c>
      <c r="C835" s="4">
        <v>5</v>
      </c>
      <c r="D835" s="8">
        <v>1.35</v>
      </c>
      <c r="E835" s="4">
        <v>3</v>
      </c>
      <c r="F835" s="8">
        <v>1.06</v>
      </c>
      <c r="G835" s="4">
        <v>2</v>
      </c>
      <c r="H835" s="8">
        <v>2.35</v>
      </c>
      <c r="I835" s="4">
        <v>0</v>
      </c>
    </row>
    <row r="836" spans="1:9" x14ac:dyDescent="0.2">
      <c r="A836" s="2">
        <v>18</v>
      </c>
      <c r="B836" s="1" t="s">
        <v>134</v>
      </c>
      <c r="C836" s="4">
        <v>5</v>
      </c>
      <c r="D836" s="8">
        <v>1.35</v>
      </c>
      <c r="E836" s="4">
        <v>5</v>
      </c>
      <c r="F836" s="8">
        <v>1.77</v>
      </c>
      <c r="G836" s="4">
        <v>0</v>
      </c>
      <c r="H836" s="8">
        <v>0</v>
      </c>
      <c r="I836" s="4">
        <v>0</v>
      </c>
    </row>
    <row r="837" spans="1:9" x14ac:dyDescent="0.2">
      <c r="A837" s="2">
        <v>18</v>
      </c>
      <c r="B837" s="1" t="s">
        <v>135</v>
      </c>
      <c r="C837" s="4">
        <v>5</v>
      </c>
      <c r="D837" s="8">
        <v>1.35</v>
      </c>
      <c r="E837" s="4">
        <v>5</v>
      </c>
      <c r="F837" s="8">
        <v>1.77</v>
      </c>
      <c r="G837" s="4">
        <v>0</v>
      </c>
      <c r="H837" s="8">
        <v>0</v>
      </c>
      <c r="I837" s="4">
        <v>0</v>
      </c>
    </row>
    <row r="838" spans="1:9" x14ac:dyDescent="0.2">
      <c r="A838" s="1"/>
      <c r="C838" s="4"/>
      <c r="D838" s="8"/>
      <c r="E838" s="4"/>
      <c r="F838" s="8"/>
      <c r="G838" s="4"/>
      <c r="H838" s="8"/>
      <c r="I838" s="4"/>
    </row>
    <row r="839" spans="1:9" x14ac:dyDescent="0.2">
      <c r="A839" s="1" t="s">
        <v>37</v>
      </c>
      <c r="C839" s="4"/>
      <c r="D839" s="8"/>
      <c r="E839" s="4"/>
      <c r="F839" s="8"/>
      <c r="G839" s="4"/>
      <c r="H839" s="8"/>
      <c r="I839" s="4"/>
    </row>
    <row r="840" spans="1:9" x14ac:dyDescent="0.2">
      <c r="A840" s="2">
        <v>1</v>
      </c>
      <c r="B840" s="1" t="s">
        <v>160</v>
      </c>
      <c r="C840" s="4">
        <v>47</v>
      </c>
      <c r="D840" s="8">
        <v>14.29</v>
      </c>
      <c r="E840" s="4">
        <v>45</v>
      </c>
      <c r="F840" s="8">
        <v>18.829999999999998</v>
      </c>
      <c r="G840" s="4">
        <v>2</v>
      </c>
      <c r="H840" s="8">
        <v>2.2999999999999998</v>
      </c>
      <c r="I840" s="4">
        <v>0</v>
      </c>
    </row>
    <row r="841" spans="1:9" x14ac:dyDescent="0.2">
      <c r="A841" s="2">
        <v>2</v>
      </c>
      <c r="B841" s="1" t="s">
        <v>131</v>
      </c>
      <c r="C841" s="4">
        <v>15</v>
      </c>
      <c r="D841" s="8">
        <v>4.5599999999999996</v>
      </c>
      <c r="E841" s="4">
        <v>15</v>
      </c>
      <c r="F841" s="8">
        <v>6.28</v>
      </c>
      <c r="G841" s="4">
        <v>0</v>
      </c>
      <c r="H841" s="8">
        <v>0</v>
      </c>
      <c r="I841" s="4">
        <v>0</v>
      </c>
    </row>
    <row r="842" spans="1:9" x14ac:dyDescent="0.2">
      <c r="A842" s="2">
        <v>3</v>
      </c>
      <c r="B842" s="1" t="s">
        <v>128</v>
      </c>
      <c r="C842" s="4">
        <v>12</v>
      </c>
      <c r="D842" s="8">
        <v>3.65</v>
      </c>
      <c r="E842" s="4">
        <v>10</v>
      </c>
      <c r="F842" s="8">
        <v>4.18</v>
      </c>
      <c r="G842" s="4">
        <v>2</v>
      </c>
      <c r="H842" s="8">
        <v>2.2999999999999998</v>
      </c>
      <c r="I842" s="4">
        <v>0</v>
      </c>
    </row>
    <row r="843" spans="1:9" x14ac:dyDescent="0.2">
      <c r="A843" s="2">
        <v>4</v>
      </c>
      <c r="B843" s="1" t="s">
        <v>121</v>
      </c>
      <c r="C843" s="4">
        <v>11</v>
      </c>
      <c r="D843" s="8">
        <v>3.34</v>
      </c>
      <c r="E843" s="4">
        <v>9</v>
      </c>
      <c r="F843" s="8">
        <v>3.77</v>
      </c>
      <c r="G843" s="4">
        <v>2</v>
      </c>
      <c r="H843" s="8">
        <v>2.2999999999999998</v>
      </c>
      <c r="I843" s="4">
        <v>0</v>
      </c>
    </row>
    <row r="844" spans="1:9" x14ac:dyDescent="0.2">
      <c r="A844" s="2">
        <v>4</v>
      </c>
      <c r="B844" s="1" t="s">
        <v>132</v>
      </c>
      <c r="C844" s="4">
        <v>11</v>
      </c>
      <c r="D844" s="8">
        <v>3.34</v>
      </c>
      <c r="E844" s="4">
        <v>11</v>
      </c>
      <c r="F844" s="8">
        <v>4.5999999999999996</v>
      </c>
      <c r="G844" s="4">
        <v>0</v>
      </c>
      <c r="H844" s="8">
        <v>0</v>
      </c>
      <c r="I844" s="4">
        <v>0</v>
      </c>
    </row>
    <row r="845" spans="1:9" x14ac:dyDescent="0.2">
      <c r="A845" s="2">
        <v>6</v>
      </c>
      <c r="B845" s="1" t="s">
        <v>133</v>
      </c>
      <c r="C845" s="4">
        <v>10</v>
      </c>
      <c r="D845" s="8">
        <v>3.04</v>
      </c>
      <c r="E845" s="4">
        <v>7</v>
      </c>
      <c r="F845" s="8">
        <v>2.93</v>
      </c>
      <c r="G845" s="4">
        <v>3</v>
      </c>
      <c r="H845" s="8">
        <v>3.45</v>
      </c>
      <c r="I845" s="4">
        <v>0</v>
      </c>
    </row>
    <row r="846" spans="1:9" x14ac:dyDescent="0.2">
      <c r="A846" s="2">
        <v>7</v>
      </c>
      <c r="B846" s="1" t="s">
        <v>136</v>
      </c>
      <c r="C846" s="4">
        <v>9</v>
      </c>
      <c r="D846" s="8">
        <v>2.74</v>
      </c>
      <c r="E846" s="4">
        <v>8</v>
      </c>
      <c r="F846" s="8">
        <v>3.35</v>
      </c>
      <c r="G846" s="4">
        <v>1</v>
      </c>
      <c r="H846" s="8">
        <v>1.1499999999999999</v>
      </c>
      <c r="I846" s="4">
        <v>0</v>
      </c>
    </row>
    <row r="847" spans="1:9" x14ac:dyDescent="0.2">
      <c r="A847" s="2">
        <v>8</v>
      </c>
      <c r="B847" s="1" t="s">
        <v>122</v>
      </c>
      <c r="C847" s="4">
        <v>8</v>
      </c>
      <c r="D847" s="8">
        <v>2.4300000000000002</v>
      </c>
      <c r="E847" s="4">
        <v>3</v>
      </c>
      <c r="F847" s="8">
        <v>1.26</v>
      </c>
      <c r="G847" s="4">
        <v>5</v>
      </c>
      <c r="H847" s="8">
        <v>5.75</v>
      </c>
      <c r="I847" s="4">
        <v>0</v>
      </c>
    </row>
    <row r="848" spans="1:9" x14ac:dyDescent="0.2">
      <c r="A848" s="2">
        <v>8</v>
      </c>
      <c r="B848" s="1" t="s">
        <v>161</v>
      </c>
      <c r="C848" s="4">
        <v>8</v>
      </c>
      <c r="D848" s="8">
        <v>2.4300000000000002</v>
      </c>
      <c r="E848" s="4">
        <v>8</v>
      </c>
      <c r="F848" s="8">
        <v>3.35</v>
      </c>
      <c r="G848" s="4">
        <v>0</v>
      </c>
      <c r="H848" s="8">
        <v>0</v>
      </c>
      <c r="I848" s="4">
        <v>0</v>
      </c>
    </row>
    <row r="849" spans="1:9" x14ac:dyDescent="0.2">
      <c r="A849" s="2">
        <v>10</v>
      </c>
      <c r="B849" s="1" t="s">
        <v>139</v>
      </c>
      <c r="C849" s="4">
        <v>7</v>
      </c>
      <c r="D849" s="8">
        <v>2.13</v>
      </c>
      <c r="E849" s="4">
        <v>7</v>
      </c>
      <c r="F849" s="8">
        <v>2.93</v>
      </c>
      <c r="G849" s="4">
        <v>0</v>
      </c>
      <c r="H849" s="8">
        <v>0</v>
      </c>
      <c r="I849" s="4">
        <v>0</v>
      </c>
    </row>
    <row r="850" spans="1:9" x14ac:dyDescent="0.2">
      <c r="A850" s="2">
        <v>10</v>
      </c>
      <c r="B850" s="1" t="s">
        <v>170</v>
      </c>
      <c r="C850" s="4">
        <v>7</v>
      </c>
      <c r="D850" s="8">
        <v>2.13</v>
      </c>
      <c r="E850" s="4">
        <v>4</v>
      </c>
      <c r="F850" s="8">
        <v>1.67</v>
      </c>
      <c r="G850" s="4">
        <v>3</v>
      </c>
      <c r="H850" s="8">
        <v>3.45</v>
      </c>
      <c r="I850" s="4">
        <v>0</v>
      </c>
    </row>
    <row r="851" spans="1:9" x14ac:dyDescent="0.2">
      <c r="A851" s="2">
        <v>12</v>
      </c>
      <c r="B851" s="1" t="s">
        <v>123</v>
      </c>
      <c r="C851" s="4">
        <v>6</v>
      </c>
      <c r="D851" s="8">
        <v>1.82</v>
      </c>
      <c r="E851" s="4">
        <v>4</v>
      </c>
      <c r="F851" s="8">
        <v>1.67</v>
      </c>
      <c r="G851" s="4">
        <v>2</v>
      </c>
      <c r="H851" s="8">
        <v>2.2999999999999998</v>
      </c>
      <c r="I851" s="4">
        <v>0</v>
      </c>
    </row>
    <row r="852" spans="1:9" x14ac:dyDescent="0.2">
      <c r="A852" s="2">
        <v>12</v>
      </c>
      <c r="B852" s="1" t="s">
        <v>153</v>
      </c>
      <c r="C852" s="4">
        <v>6</v>
      </c>
      <c r="D852" s="8">
        <v>1.82</v>
      </c>
      <c r="E852" s="4">
        <v>6</v>
      </c>
      <c r="F852" s="8">
        <v>2.5099999999999998</v>
      </c>
      <c r="G852" s="4">
        <v>0</v>
      </c>
      <c r="H852" s="8">
        <v>0</v>
      </c>
      <c r="I852" s="4">
        <v>0</v>
      </c>
    </row>
    <row r="853" spans="1:9" x14ac:dyDescent="0.2">
      <c r="A853" s="2">
        <v>14</v>
      </c>
      <c r="B853" s="1" t="s">
        <v>116</v>
      </c>
      <c r="C853" s="4">
        <v>5</v>
      </c>
      <c r="D853" s="8">
        <v>1.52</v>
      </c>
      <c r="E853" s="4">
        <v>1</v>
      </c>
      <c r="F853" s="8">
        <v>0.42</v>
      </c>
      <c r="G853" s="4">
        <v>4</v>
      </c>
      <c r="H853" s="8">
        <v>4.5999999999999996</v>
      </c>
      <c r="I853" s="4">
        <v>0</v>
      </c>
    </row>
    <row r="854" spans="1:9" x14ac:dyDescent="0.2">
      <c r="A854" s="2">
        <v>14</v>
      </c>
      <c r="B854" s="1" t="s">
        <v>124</v>
      </c>
      <c r="C854" s="4">
        <v>5</v>
      </c>
      <c r="D854" s="8">
        <v>1.52</v>
      </c>
      <c r="E854" s="4">
        <v>4</v>
      </c>
      <c r="F854" s="8">
        <v>1.67</v>
      </c>
      <c r="G854" s="4">
        <v>1</v>
      </c>
      <c r="H854" s="8">
        <v>1.1499999999999999</v>
      </c>
      <c r="I854" s="4">
        <v>0</v>
      </c>
    </row>
    <row r="855" spans="1:9" x14ac:dyDescent="0.2">
      <c r="A855" s="2">
        <v>14</v>
      </c>
      <c r="B855" s="1" t="s">
        <v>140</v>
      </c>
      <c r="C855" s="4">
        <v>5</v>
      </c>
      <c r="D855" s="8">
        <v>1.52</v>
      </c>
      <c r="E855" s="4">
        <v>2</v>
      </c>
      <c r="F855" s="8">
        <v>0.84</v>
      </c>
      <c r="G855" s="4">
        <v>3</v>
      </c>
      <c r="H855" s="8">
        <v>3.45</v>
      </c>
      <c r="I855" s="4">
        <v>0</v>
      </c>
    </row>
    <row r="856" spans="1:9" x14ac:dyDescent="0.2">
      <c r="A856" s="2">
        <v>14</v>
      </c>
      <c r="B856" s="1" t="s">
        <v>135</v>
      </c>
      <c r="C856" s="4">
        <v>5</v>
      </c>
      <c r="D856" s="8">
        <v>1.52</v>
      </c>
      <c r="E856" s="4">
        <v>4</v>
      </c>
      <c r="F856" s="8">
        <v>1.67</v>
      </c>
      <c r="G856" s="4">
        <v>1</v>
      </c>
      <c r="H856" s="8">
        <v>1.1499999999999999</v>
      </c>
      <c r="I856" s="4">
        <v>0</v>
      </c>
    </row>
    <row r="857" spans="1:9" x14ac:dyDescent="0.2">
      <c r="A857" s="2">
        <v>18</v>
      </c>
      <c r="B857" s="1" t="s">
        <v>118</v>
      </c>
      <c r="C857" s="4">
        <v>4</v>
      </c>
      <c r="D857" s="8">
        <v>1.22</v>
      </c>
      <c r="E857" s="4">
        <v>3</v>
      </c>
      <c r="F857" s="8">
        <v>1.26</v>
      </c>
      <c r="G857" s="4">
        <v>1</v>
      </c>
      <c r="H857" s="8">
        <v>1.1499999999999999</v>
      </c>
      <c r="I857" s="4">
        <v>0</v>
      </c>
    </row>
    <row r="858" spans="1:9" x14ac:dyDescent="0.2">
      <c r="A858" s="2">
        <v>18</v>
      </c>
      <c r="B858" s="1" t="s">
        <v>144</v>
      </c>
      <c r="C858" s="4">
        <v>4</v>
      </c>
      <c r="D858" s="8">
        <v>1.22</v>
      </c>
      <c r="E858" s="4">
        <v>4</v>
      </c>
      <c r="F858" s="8">
        <v>1.67</v>
      </c>
      <c r="G858" s="4">
        <v>0</v>
      </c>
      <c r="H858" s="8">
        <v>0</v>
      </c>
      <c r="I858" s="4">
        <v>0</v>
      </c>
    </row>
    <row r="859" spans="1:9" x14ac:dyDescent="0.2">
      <c r="A859" s="2">
        <v>18</v>
      </c>
      <c r="B859" s="1" t="s">
        <v>179</v>
      </c>
      <c r="C859" s="4">
        <v>4</v>
      </c>
      <c r="D859" s="8">
        <v>1.22</v>
      </c>
      <c r="E859" s="4">
        <v>1</v>
      </c>
      <c r="F859" s="8">
        <v>0.42</v>
      </c>
      <c r="G859" s="4">
        <v>3</v>
      </c>
      <c r="H859" s="8">
        <v>3.45</v>
      </c>
      <c r="I859" s="4">
        <v>0</v>
      </c>
    </row>
    <row r="860" spans="1:9" x14ac:dyDescent="0.2">
      <c r="A860" s="2">
        <v>18</v>
      </c>
      <c r="B860" s="1" t="s">
        <v>137</v>
      </c>
      <c r="C860" s="4">
        <v>4</v>
      </c>
      <c r="D860" s="8">
        <v>1.22</v>
      </c>
      <c r="E860" s="4">
        <v>0</v>
      </c>
      <c r="F860" s="8">
        <v>0</v>
      </c>
      <c r="G860" s="4">
        <v>4</v>
      </c>
      <c r="H860" s="8">
        <v>4.5999999999999996</v>
      </c>
      <c r="I860" s="4">
        <v>0</v>
      </c>
    </row>
    <row r="861" spans="1:9" x14ac:dyDescent="0.2">
      <c r="A861" s="2">
        <v>18</v>
      </c>
      <c r="B861" s="1" t="s">
        <v>180</v>
      </c>
      <c r="C861" s="4">
        <v>4</v>
      </c>
      <c r="D861" s="8">
        <v>1.22</v>
      </c>
      <c r="E861" s="4">
        <v>4</v>
      </c>
      <c r="F861" s="8">
        <v>1.67</v>
      </c>
      <c r="G861" s="4">
        <v>0</v>
      </c>
      <c r="H861" s="8">
        <v>0</v>
      </c>
      <c r="I861" s="4">
        <v>0</v>
      </c>
    </row>
    <row r="862" spans="1:9" x14ac:dyDescent="0.2">
      <c r="A862" s="2">
        <v>18</v>
      </c>
      <c r="B862" s="1" t="s">
        <v>134</v>
      </c>
      <c r="C862" s="4">
        <v>4</v>
      </c>
      <c r="D862" s="8">
        <v>1.22</v>
      </c>
      <c r="E862" s="4">
        <v>4</v>
      </c>
      <c r="F862" s="8">
        <v>1.67</v>
      </c>
      <c r="G862" s="4">
        <v>0</v>
      </c>
      <c r="H862" s="8">
        <v>0</v>
      </c>
      <c r="I862" s="4">
        <v>0</v>
      </c>
    </row>
    <row r="863" spans="1:9" x14ac:dyDescent="0.2">
      <c r="A863" s="1"/>
      <c r="C863" s="4"/>
      <c r="D863" s="8"/>
      <c r="E863" s="4"/>
      <c r="F863" s="8"/>
      <c r="G863" s="4"/>
      <c r="H863" s="8"/>
      <c r="I863" s="4"/>
    </row>
    <row r="864" spans="1:9" x14ac:dyDescent="0.2">
      <c r="A864" s="1" t="s">
        <v>38</v>
      </c>
      <c r="C864" s="4"/>
      <c r="D864" s="8"/>
      <c r="E864" s="4"/>
      <c r="F864" s="8"/>
      <c r="G864" s="4"/>
      <c r="H864" s="8"/>
      <c r="I864" s="4"/>
    </row>
    <row r="865" spans="1:9" x14ac:dyDescent="0.2">
      <c r="A865" s="2">
        <v>1</v>
      </c>
      <c r="B865" s="1" t="s">
        <v>160</v>
      </c>
      <c r="C865" s="4">
        <v>28</v>
      </c>
      <c r="D865" s="8">
        <v>8.16</v>
      </c>
      <c r="E865" s="4">
        <v>22</v>
      </c>
      <c r="F865" s="8">
        <v>9.52</v>
      </c>
      <c r="G865" s="4">
        <v>6</v>
      </c>
      <c r="H865" s="8">
        <v>5.66</v>
      </c>
      <c r="I865" s="4">
        <v>0</v>
      </c>
    </row>
    <row r="866" spans="1:9" x14ac:dyDescent="0.2">
      <c r="A866" s="2">
        <v>2</v>
      </c>
      <c r="B866" s="1" t="s">
        <v>121</v>
      </c>
      <c r="C866" s="4">
        <v>15</v>
      </c>
      <c r="D866" s="8">
        <v>4.37</v>
      </c>
      <c r="E866" s="4">
        <v>13</v>
      </c>
      <c r="F866" s="8">
        <v>5.63</v>
      </c>
      <c r="G866" s="4">
        <v>2</v>
      </c>
      <c r="H866" s="8">
        <v>1.89</v>
      </c>
      <c r="I866" s="4">
        <v>0</v>
      </c>
    </row>
    <row r="867" spans="1:9" x14ac:dyDescent="0.2">
      <c r="A867" s="2">
        <v>3</v>
      </c>
      <c r="B867" s="1" t="s">
        <v>131</v>
      </c>
      <c r="C867" s="4">
        <v>13</v>
      </c>
      <c r="D867" s="8">
        <v>3.79</v>
      </c>
      <c r="E867" s="4">
        <v>13</v>
      </c>
      <c r="F867" s="8">
        <v>5.63</v>
      </c>
      <c r="G867" s="4">
        <v>0</v>
      </c>
      <c r="H867" s="8">
        <v>0</v>
      </c>
      <c r="I867" s="4">
        <v>0</v>
      </c>
    </row>
    <row r="868" spans="1:9" x14ac:dyDescent="0.2">
      <c r="A868" s="2">
        <v>3</v>
      </c>
      <c r="B868" s="1" t="s">
        <v>132</v>
      </c>
      <c r="C868" s="4">
        <v>13</v>
      </c>
      <c r="D868" s="8">
        <v>3.79</v>
      </c>
      <c r="E868" s="4">
        <v>13</v>
      </c>
      <c r="F868" s="8">
        <v>5.63</v>
      </c>
      <c r="G868" s="4">
        <v>0</v>
      </c>
      <c r="H868" s="8">
        <v>0</v>
      </c>
      <c r="I868" s="4">
        <v>0</v>
      </c>
    </row>
    <row r="869" spans="1:9" x14ac:dyDescent="0.2">
      <c r="A869" s="2">
        <v>5</v>
      </c>
      <c r="B869" s="1" t="s">
        <v>133</v>
      </c>
      <c r="C869" s="4">
        <v>12</v>
      </c>
      <c r="D869" s="8">
        <v>3.5</v>
      </c>
      <c r="E869" s="4">
        <v>8</v>
      </c>
      <c r="F869" s="8">
        <v>3.46</v>
      </c>
      <c r="G869" s="4">
        <v>4</v>
      </c>
      <c r="H869" s="8">
        <v>3.77</v>
      </c>
      <c r="I869" s="4">
        <v>0</v>
      </c>
    </row>
    <row r="870" spans="1:9" x14ac:dyDescent="0.2">
      <c r="A870" s="2">
        <v>6</v>
      </c>
      <c r="B870" s="1" t="s">
        <v>126</v>
      </c>
      <c r="C870" s="4">
        <v>11</v>
      </c>
      <c r="D870" s="8">
        <v>3.21</v>
      </c>
      <c r="E870" s="4">
        <v>9</v>
      </c>
      <c r="F870" s="8">
        <v>3.9</v>
      </c>
      <c r="G870" s="4">
        <v>2</v>
      </c>
      <c r="H870" s="8">
        <v>1.89</v>
      </c>
      <c r="I870" s="4">
        <v>0</v>
      </c>
    </row>
    <row r="871" spans="1:9" x14ac:dyDescent="0.2">
      <c r="A871" s="2">
        <v>6</v>
      </c>
      <c r="B871" s="1" t="s">
        <v>170</v>
      </c>
      <c r="C871" s="4">
        <v>11</v>
      </c>
      <c r="D871" s="8">
        <v>3.21</v>
      </c>
      <c r="E871" s="4">
        <v>9</v>
      </c>
      <c r="F871" s="8">
        <v>3.9</v>
      </c>
      <c r="G871" s="4">
        <v>2</v>
      </c>
      <c r="H871" s="8">
        <v>1.89</v>
      </c>
      <c r="I871" s="4">
        <v>0</v>
      </c>
    </row>
    <row r="872" spans="1:9" x14ac:dyDescent="0.2">
      <c r="A872" s="2">
        <v>8</v>
      </c>
      <c r="B872" s="1" t="s">
        <v>116</v>
      </c>
      <c r="C872" s="4">
        <v>10</v>
      </c>
      <c r="D872" s="8">
        <v>2.92</v>
      </c>
      <c r="E872" s="4">
        <v>2</v>
      </c>
      <c r="F872" s="8">
        <v>0.87</v>
      </c>
      <c r="G872" s="4">
        <v>8</v>
      </c>
      <c r="H872" s="8">
        <v>7.55</v>
      </c>
      <c r="I872" s="4">
        <v>0</v>
      </c>
    </row>
    <row r="873" spans="1:9" x14ac:dyDescent="0.2">
      <c r="A873" s="2">
        <v>9</v>
      </c>
      <c r="B873" s="1" t="s">
        <v>169</v>
      </c>
      <c r="C873" s="4">
        <v>9</v>
      </c>
      <c r="D873" s="8">
        <v>2.62</v>
      </c>
      <c r="E873" s="4">
        <v>9</v>
      </c>
      <c r="F873" s="8">
        <v>3.9</v>
      </c>
      <c r="G873" s="4">
        <v>0</v>
      </c>
      <c r="H873" s="8">
        <v>0</v>
      </c>
      <c r="I873" s="4">
        <v>0</v>
      </c>
    </row>
    <row r="874" spans="1:9" x14ac:dyDescent="0.2">
      <c r="A874" s="2">
        <v>10</v>
      </c>
      <c r="B874" s="1" t="s">
        <v>161</v>
      </c>
      <c r="C874" s="4">
        <v>8</v>
      </c>
      <c r="D874" s="8">
        <v>2.33</v>
      </c>
      <c r="E874" s="4">
        <v>8</v>
      </c>
      <c r="F874" s="8">
        <v>3.46</v>
      </c>
      <c r="G874" s="4">
        <v>0</v>
      </c>
      <c r="H874" s="8">
        <v>0</v>
      </c>
      <c r="I874" s="4">
        <v>0</v>
      </c>
    </row>
    <row r="875" spans="1:9" x14ac:dyDescent="0.2">
      <c r="A875" s="2">
        <v>11</v>
      </c>
      <c r="B875" s="1" t="s">
        <v>120</v>
      </c>
      <c r="C875" s="4">
        <v>7</v>
      </c>
      <c r="D875" s="8">
        <v>2.04</v>
      </c>
      <c r="E875" s="4">
        <v>4</v>
      </c>
      <c r="F875" s="8">
        <v>1.73</v>
      </c>
      <c r="G875" s="4">
        <v>3</v>
      </c>
      <c r="H875" s="8">
        <v>2.83</v>
      </c>
      <c r="I875" s="4">
        <v>0</v>
      </c>
    </row>
    <row r="876" spans="1:9" x14ac:dyDescent="0.2">
      <c r="A876" s="2">
        <v>11</v>
      </c>
      <c r="B876" s="1" t="s">
        <v>122</v>
      </c>
      <c r="C876" s="4">
        <v>7</v>
      </c>
      <c r="D876" s="8">
        <v>2.04</v>
      </c>
      <c r="E876" s="4">
        <v>3</v>
      </c>
      <c r="F876" s="8">
        <v>1.3</v>
      </c>
      <c r="G876" s="4">
        <v>4</v>
      </c>
      <c r="H876" s="8">
        <v>3.77</v>
      </c>
      <c r="I876" s="4">
        <v>0</v>
      </c>
    </row>
    <row r="877" spans="1:9" x14ac:dyDescent="0.2">
      <c r="A877" s="2">
        <v>11</v>
      </c>
      <c r="B877" s="1" t="s">
        <v>124</v>
      </c>
      <c r="C877" s="4">
        <v>7</v>
      </c>
      <c r="D877" s="8">
        <v>2.04</v>
      </c>
      <c r="E877" s="4">
        <v>4</v>
      </c>
      <c r="F877" s="8">
        <v>1.73</v>
      </c>
      <c r="G877" s="4">
        <v>3</v>
      </c>
      <c r="H877" s="8">
        <v>2.83</v>
      </c>
      <c r="I877" s="4">
        <v>0</v>
      </c>
    </row>
    <row r="878" spans="1:9" x14ac:dyDescent="0.2">
      <c r="A878" s="2">
        <v>11</v>
      </c>
      <c r="B878" s="1" t="s">
        <v>128</v>
      </c>
      <c r="C878" s="4">
        <v>7</v>
      </c>
      <c r="D878" s="8">
        <v>2.04</v>
      </c>
      <c r="E878" s="4">
        <v>7</v>
      </c>
      <c r="F878" s="8">
        <v>3.03</v>
      </c>
      <c r="G878" s="4">
        <v>0</v>
      </c>
      <c r="H878" s="8">
        <v>0</v>
      </c>
      <c r="I878" s="4">
        <v>0</v>
      </c>
    </row>
    <row r="879" spans="1:9" x14ac:dyDescent="0.2">
      <c r="A879" s="2">
        <v>15</v>
      </c>
      <c r="B879" s="1" t="s">
        <v>117</v>
      </c>
      <c r="C879" s="4">
        <v>6</v>
      </c>
      <c r="D879" s="8">
        <v>1.75</v>
      </c>
      <c r="E879" s="4">
        <v>1</v>
      </c>
      <c r="F879" s="8">
        <v>0.43</v>
      </c>
      <c r="G879" s="4">
        <v>5</v>
      </c>
      <c r="H879" s="8">
        <v>4.72</v>
      </c>
      <c r="I879" s="4">
        <v>0</v>
      </c>
    </row>
    <row r="880" spans="1:9" x14ac:dyDescent="0.2">
      <c r="A880" s="2">
        <v>15</v>
      </c>
      <c r="B880" s="1" t="s">
        <v>137</v>
      </c>
      <c r="C880" s="4">
        <v>6</v>
      </c>
      <c r="D880" s="8">
        <v>1.75</v>
      </c>
      <c r="E880" s="4">
        <v>5</v>
      </c>
      <c r="F880" s="8">
        <v>2.16</v>
      </c>
      <c r="G880" s="4">
        <v>1</v>
      </c>
      <c r="H880" s="8">
        <v>0.94</v>
      </c>
      <c r="I880" s="4">
        <v>0</v>
      </c>
    </row>
    <row r="881" spans="1:9" x14ac:dyDescent="0.2">
      <c r="A881" s="2">
        <v>15</v>
      </c>
      <c r="B881" s="1" t="s">
        <v>123</v>
      </c>
      <c r="C881" s="4">
        <v>6</v>
      </c>
      <c r="D881" s="8">
        <v>1.75</v>
      </c>
      <c r="E881" s="4">
        <v>2</v>
      </c>
      <c r="F881" s="8">
        <v>0.87</v>
      </c>
      <c r="G881" s="4">
        <v>4</v>
      </c>
      <c r="H881" s="8">
        <v>3.77</v>
      </c>
      <c r="I881" s="4">
        <v>0</v>
      </c>
    </row>
    <row r="882" spans="1:9" x14ac:dyDescent="0.2">
      <c r="A882" s="2">
        <v>18</v>
      </c>
      <c r="B882" s="1" t="s">
        <v>144</v>
      </c>
      <c r="C882" s="4">
        <v>5</v>
      </c>
      <c r="D882" s="8">
        <v>1.46</v>
      </c>
      <c r="E882" s="4">
        <v>5</v>
      </c>
      <c r="F882" s="8">
        <v>2.16</v>
      </c>
      <c r="G882" s="4">
        <v>0</v>
      </c>
      <c r="H882" s="8">
        <v>0</v>
      </c>
      <c r="I882" s="4">
        <v>0</v>
      </c>
    </row>
    <row r="883" spans="1:9" x14ac:dyDescent="0.2">
      <c r="A883" s="2">
        <v>18</v>
      </c>
      <c r="B883" s="1" t="s">
        <v>119</v>
      </c>
      <c r="C883" s="4">
        <v>5</v>
      </c>
      <c r="D883" s="8">
        <v>1.46</v>
      </c>
      <c r="E883" s="4">
        <v>0</v>
      </c>
      <c r="F883" s="8">
        <v>0</v>
      </c>
      <c r="G883" s="4">
        <v>5</v>
      </c>
      <c r="H883" s="8">
        <v>4.72</v>
      </c>
      <c r="I883" s="4">
        <v>0</v>
      </c>
    </row>
    <row r="884" spans="1:9" x14ac:dyDescent="0.2">
      <c r="A884" s="2">
        <v>18</v>
      </c>
      <c r="B884" s="1" t="s">
        <v>165</v>
      </c>
      <c r="C884" s="4">
        <v>5</v>
      </c>
      <c r="D884" s="8">
        <v>1.46</v>
      </c>
      <c r="E884" s="4">
        <v>1</v>
      </c>
      <c r="F884" s="8">
        <v>0.43</v>
      </c>
      <c r="G884" s="4">
        <v>4</v>
      </c>
      <c r="H884" s="8">
        <v>3.77</v>
      </c>
      <c r="I884" s="4">
        <v>0</v>
      </c>
    </row>
    <row r="885" spans="1:9" x14ac:dyDescent="0.2">
      <c r="A885" s="2">
        <v>18</v>
      </c>
      <c r="B885" s="1" t="s">
        <v>181</v>
      </c>
      <c r="C885" s="4">
        <v>5</v>
      </c>
      <c r="D885" s="8">
        <v>1.46</v>
      </c>
      <c r="E885" s="4">
        <v>2</v>
      </c>
      <c r="F885" s="8">
        <v>0.87</v>
      </c>
      <c r="G885" s="4">
        <v>3</v>
      </c>
      <c r="H885" s="8">
        <v>2.83</v>
      </c>
      <c r="I885" s="4">
        <v>0</v>
      </c>
    </row>
    <row r="886" spans="1:9" x14ac:dyDescent="0.2">
      <c r="A886" s="2">
        <v>18</v>
      </c>
      <c r="B886" s="1" t="s">
        <v>159</v>
      </c>
      <c r="C886" s="4">
        <v>5</v>
      </c>
      <c r="D886" s="8">
        <v>1.46</v>
      </c>
      <c r="E886" s="4">
        <v>3</v>
      </c>
      <c r="F886" s="8">
        <v>1.3</v>
      </c>
      <c r="G886" s="4">
        <v>2</v>
      </c>
      <c r="H886" s="8">
        <v>1.89</v>
      </c>
      <c r="I886" s="4">
        <v>0</v>
      </c>
    </row>
    <row r="887" spans="1:9" x14ac:dyDescent="0.2">
      <c r="A887" s="2">
        <v>18</v>
      </c>
      <c r="B887" s="1" t="s">
        <v>140</v>
      </c>
      <c r="C887" s="4">
        <v>5</v>
      </c>
      <c r="D887" s="8">
        <v>1.46</v>
      </c>
      <c r="E887" s="4">
        <v>5</v>
      </c>
      <c r="F887" s="8">
        <v>2.16</v>
      </c>
      <c r="G887" s="4">
        <v>0</v>
      </c>
      <c r="H887" s="8">
        <v>0</v>
      </c>
      <c r="I887" s="4">
        <v>0</v>
      </c>
    </row>
    <row r="888" spans="1:9" x14ac:dyDescent="0.2">
      <c r="A888" s="1"/>
      <c r="C888" s="4"/>
      <c r="D888" s="8"/>
      <c r="E888" s="4"/>
      <c r="F888" s="8"/>
      <c r="G888" s="4"/>
      <c r="H888" s="8"/>
      <c r="I888" s="4"/>
    </row>
    <row r="889" spans="1:9" x14ac:dyDescent="0.2">
      <c r="A889" s="1" t="s">
        <v>39</v>
      </c>
      <c r="C889" s="4"/>
      <c r="D889" s="8"/>
      <c r="E889" s="4"/>
      <c r="F889" s="8"/>
      <c r="G889" s="4"/>
      <c r="H889" s="8"/>
      <c r="I889" s="4"/>
    </row>
    <row r="890" spans="1:9" x14ac:dyDescent="0.2">
      <c r="A890" s="2">
        <v>1</v>
      </c>
      <c r="B890" s="1" t="s">
        <v>126</v>
      </c>
      <c r="C890" s="4">
        <v>70</v>
      </c>
      <c r="D890" s="8">
        <v>8.7899999999999991</v>
      </c>
      <c r="E890" s="4">
        <v>54</v>
      </c>
      <c r="F890" s="8">
        <v>12.36</v>
      </c>
      <c r="G890" s="4">
        <v>16</v>
      </c>
      <c r="H890" s="8">
        <v>4.6500000000000004</v>
      </c>
      <c r="I890" s="4">
        <v>0</v>
      </c>
    </row>
    <row r="891" spans="1:9" x14ac:dyDescent="0.2">
      <c r="A891" s="2">
        <v>2</v>
      </c>
      <c r="B891" s="1" t="s">
        <v>132</v>
      </c>
      <c r="C891" s="4">
        <v>44</v>
      </c>
      <c r="D891" s="8">
        <v>5.53</v>
      </c>
      <c r="E891" s="4">
        <v>35</v>
      </c>
      <c r="F891" s="8">
        <v>8.01</v>
      </c>
      <c r="G891" s="4">
        <v>9</v>
      </c>
      <c r="H891" s="8">
        <v>2.62</v>
      </c>
      <c r="I891" s="4">
        <v>0</v>
      </c>
    </row>
    <row r="892" spans="1:9" x14ac:dyDescent="0.2">
      <c r="A892" s="2">
        <v>3</v>
      </c>
      <c r="B892" s="1" t="s">
        <v>116</v>
      </c>
      <c r="C892" s="4">
        <v>36</v>
      </c>
      <c r="D892" s="8">
        <v>4.5199999999999996</v>
      </c>
      <c r="E892" s="4">
        <v>11</v>
      </c>
      <c r="F892" s="8">
        <v>2.52</v>
      </c>
      <c r="G892" s="4">
        <v>25</v>
      </c>
      <c r="H892" s="8">
        <v>7.27</v>
      </c>
      <c r="I892" s="4">
        <v>0</v>
      </c>
    </row>
    <row r="893" spans="1:9" x14ac:dyDescent="0.2">
      <c r="A893" s="2">
        <v>4</v>
      </c>
      <c r="B893" s="1" t="s">
        <v>133</v>
      </c>
      <c r="C893" s="4">
        <v>24</v>
      </c>
      <c r="D893" s="8">
        <v>3.02</v>
      </c>
      <c r="E893" s="4">
        <v>18</v>
      </c>
      <c r="F893" s="8">
        <v>4.12</v>
      </c>
      <c r="G893" s="4">
        <v>6</v>
      </c>
      <c r="H893" s="8">
        <v>1.74</v>
      </c>
      <c r="I893" s="4">
        <v>0</v>
      </c>
    </row>
    <row r="894" spans="1:9" x14ac:dyDescent="0.2">
      <c r="A894" s="2">
        <v>5</v>
      </c>
      <c r="B894" s="1" t="s">
        <v>131</v>
      </c>
      <c r="C894" s="4">
        <v>22</v>
      </c>
      <c r="D894" s="8">
        <v>2.76</v>
      </c>
      <c r="E894" s="4">
        <v>22</v>
      </c>
      <c r="F894" s="8">
        <v>5.03</v>
      </c>
      <c r="G894" s="4">
        <v>0</v>
      </c>
      <c r="H894" s="8">
        <v>0</v>
      </c>
      <c r="I894" s="4">
        <v>0</v>
      </c>
    </row>
    <row r="895" spans="1:9" x14ac:dyDescent="0.2">
      <c r="A895" s="2">
        <v>6</v>
      </c>
      <c r="B895" s="1" t="s">
        <v>122</v>
      </c>
      <c r="C895" s="4">
        <v>20</v>
      </c>
      <c r="D895" s="8">
        <v>2.5099999999999998</v>
      </c>
      <c r="E895" s="4">
        <v>12</v>
      </c>
      <c r="F895" s="8">
        <v>2.75</v>
      </c>
      <c r="G895" s="4">
        <v>8</v>
      </c>
      <c r="H895" s="8">
        <v>2.33</v>
      </c>
      <c r="I895" s="4">
        <v>0</v>
      </c>
    </row>
    <row r="896" spans="1:9" x14ac:dyDescent="0.2">
      <c r="A896" s="2">
        <v>6</v>
      </c>
      <c r="B896" s="1" t="s">
        <v>129</v>
      </c>
      <c r="C896" s="4">
        <v>20</v>
      </c>
      <c r="D896" s="8">
        <v>2.5099999999999998</v>
      </c>
      <c r="E896" s="4">
        <v>18</v>
      </c>
      <c r="F896" s="8">
        <v>4.12</v>
      </c>
      <c r="G896" s="4">
        <v>2</v>
      </c>
      <c r="H896" s="8">
        <v>0.57999999999999996</v>
      </c>
      <c r="I896" s="4">
        <v>0</v>
      </c>
    </row>
    <row r="897" spans="1:9" x14ac:dyDescent="0.2">
      <c r="A897" s="2">
        <v>8</v>
      </c>
      <c r="B897" s="1" t="s">
        <v>118</v>
      </c>
      <c r="C897" s="4">
        <v>19</v>
      </c>
      <c r="D897" s="8">
        <v>2.39</v>
      </c>
      <c r="E897" s="4">
        <v>13</v>
      </c>
      <c r="F897" s="8">
        <v>2.97</v>
      </c>
      <c r="G897" s="4">
        <v>6</v>
      </c>
      <c r="H897" s="8">
        <v>1.74</v>
      </c>
      <c r="I897" s="4">
        <v>0</v>
      </c>
    </row>
    <row r="898" spans="1:9" x14ac:dyDescent="0.2">
      <c r="A898" s="2">
        <v>8</v>
      </c>
      <c r="B898" s="1" t="s">
        <v>119</v>
      </c>
      <c r="C898" s="4">
        <v>19</v>
      </c>
      <c r="D898" s="8">
        <v>2.39</v>
      </c>
      <c r="E898" s="4">
        <v>6</v>
      </c>
      <c r="F898" s="8">
        <v>1.37</v>
      </c>
      <c r="G898" s="4">
        <v>13</v>
      </c>
      <c r="H898" s="8">
        <v>3.78</v>
      </c>
      <c r="I898" s="4">
        <v>0</v>
      </c>
    </row>
    <row r="899" spans="1:9" x14ac:dyDescent="0.2">
      <c r="A899" s="2">
        <v>10</v>
      </c>
      <c r="B899" s="1" t="s">
        <v>128</v>
      </c>
      <c r="C899" s="4">
        <v>18</v>
      </c>
      <c r="D899" s="8">
        <v>2.2599999999999998</v>
      </c>
      <c r="E899" s="4">
        <v>15</v>
      </c>
      <c r="F899" s="8">
        <v>3.43</v>
      </c>
      <c r="G899" s="4">
        <v>3</v>
      </c>
      <c r="H899" s="8">
        <v>0.87</v>
      </c>
      <c r="I899" s="4">
        <v>0</v>
      </c>
    </row>
    <row r="900" spans="1:9" x14ac:dyDescent="0.2">
      <c r="A900" s="2">
        <v>10</v>
      </c>
      <c r="B900" s="1" t="s">
        <v>130</v>
      </c>
      <c r="C900" s="4">
        <v>18</v>
      </c>
      <c r="D900" s="8">
        <v>2.2599999999999998</v>
      </c>
      <c r="E900" s="4">
        <v>18</v>
      </c>
      <c r="F900" s="8">
        <v>4.12</v>
      </c>
      <c r="G900" s="4">
        <v>0</v>
      </c>
      <c r="H900" s="8">
        <v>0</v>
      </c>
      <c r="I900" s="4">
        <v>0</v>
      </c>
    </row>
    <row r="901" spans="1:9" x14ac:dyDescent="0.2">
      <c r="A901" s="2">
        <v>12</v>
      </c>
      <c r="B901" s="1" t="s">
        <v>124</v>
      </c>
      <c r="C901" s="4">
        <v>17</v>
      </c>
      <c r="D901" s="8">
        <v>2.14</v>
      </c>
      <c r="E901" s="4">
        <v>5</v>
      </c>
      <c r="F901" s="8">
        <v>1.1399999999999999</v>
      </c>
      <c r="G901" s="4">
        <v>12</v>
      </c>
      <c r="H901" s="8">
        <v>3.49</v>
      </c>
      <c r="I901" s="4">
        <v>0</v>
      </c>
    </row>
    <row r="902" spans="1:9" x14ac:dyDescent="0.2">
      <c r="A902" s="2">
        <v>13</v>
      </c>
      <c r="B902" s="1" t="s">
        <v>120</v>
      </c>
      <c r="C902" s="4">
        <v>15</v>
      </c>
      <c r="D902" s="8">
        <v>1.88</v>
      </c>
      <c r="E902" s="4">
        <v>6</v>
      </c>
      <c r="F902" s="8">
        <v>1.37</v>
      </c>
      <c r="G902" s="4">
        <v>9</v>
      </c>
      <c r="H902" s="8">
        <v>2.62</v>
      </c>
      <c r="I902" s="4">
        <v>0</v>
      </c>
    </row>
    <row r="903" spans="1:9" x14ac:dyDescent="0.2">
      <c r="A903" s="2">
        <v>13</v>
      </c>
      <c r="B903" s="1" t="s">
        <v>121</v>
      </c>
      <c r="C903" s="4">
        <v>15</v>
      </c>
      <c r="D903" s="8">
        <v>1.88</v>
      </c>
      <c r="E903" s="4">
        <v>11</v>
      </c>
      <c r="F903" s="8">
        <v>2.52</v>
      </c>
      <c r="G903" s="4">
        <v>4</v>
      </c>
      <c r="H903" s="8">
        <v>1.1599999999999999</v>
      </c>
      <c r="I903" s="4">
        <v>0</v>
      </c>
    </row>
    <row r="904" spans="1:9" x14ac:dyDescent="0.2">
      <c r="A904" s="2">
        <v>15</v>
      </c>
      <c r="B904" s="1" t="s">
        <v>117</v>
      </c>
      <c r="C904" s="4">
        <v>14</v>
      </c>
      <c r="D904" s="8">
        <v>1.76</v>
      </c>
      <c r="E904" s="4">
        <v>2</v>
      </c>
      <c r="F904" s="8">
        <v>0.46</v>
      </c>
      <c r="G904" s="4">
        <v>12</v>
      </c>
      <c r="H904" s="8">
        <v>3.49</v>
      </c>
      <c r="I904" s="4">
        <v>0</v>
      </c>
    </row>
    <row r="905" spans="1:9" x14ac:dyDescent="0.2">
      <c r="A905" s="2">
        <v>15</v>
      </c>
      <c r="B905" s="1" t="s">
        <v>135</v>
      </c>
      <c r="C905" s="4">
        <v>14</v>
      </c>
      <c r="D905" s="8">
        <v>1.76</v>
      </c>
      <c r="E905" s="4">
        <v>7</v>
      </c>
      <c r="F905" s="8">
        <v>1.6</v>
      </c>
      <c r="G905" s="4">
        <v>7</v>
      </c>
      <c r="H905" s="8">
        <v>2.0299999999999998</v>
      </c>
      <c r="I905" s="4">
        <v>0</v>
      </c>
    </row>
    <row r="906" spans="1:9" x14ac:dyDescent="0.2">
      <c r="A906" s="2">
        <v>17</v>
      </c>
      <c r="B906" s="1" t="s">
        <v>164</v>
      </c>
      <c r="C906" s="4">
        <v>13</v>
      </c>
      <c r="D906" s="8">
        <v>1.63</v>
      </c>
      <c r="E906" s="4">
        <v>0</v>
      </c>
      <c r="F906" s="8">
        <v>0</v>
      </c>
      <c r="G906" s="4">
        <v>3</v>
      </c>
      <c r="H906" s="8">
        <v>0.87</v>
      </c>
      <c r="I906" s="4">
        <v>0</v>
      </c>
    </row>
    <row r="907" spans="1:9" x14ac:dyDescent="0.2">
      <c r="A907" s="2">
        <v>18</v>
      </c>
      <c r="B907" s="1" t="s">
        <v>127</v>
      </c>
      <c r="C907" s="4">
        <v>12</v>
      </c>
      <c r="D907" s="8">
        <v>1.51</v>
      </c>
      <c r="E907" s="4">
        <v>5</v>
      </c>
      <c r="F907" s="8">
        <v>1.1399999999999999</v>
      </c>
      <c r="G907" s="4">
        <v>7</v>
      </c>
      <c r="H907" s="8">
        <v>2.0299999999999998</v>
      </c>
      <c r="I907" s="4">
        <v>0</v>
      </c>
    </row>
    <row r="908" spans="1:9" x14ac:dyDescent="0.2">
      <c r="A908" s="2">
        <v>19</v>
      </c>
      <c r="B908" s="1" t="s">
        <v>144</v>
      </c>
      <c r="C908" s="4">
        <v>11</v>
      </c>
      <c r="D908" s="8">
        <v>1.38</v>
      </c>
      <c r="E908" s="4">
        <v>8</v>
      </c>
      <c r="F908" s="8">
        <v>1.83</v>
      </c>
      <c r="G908" s="4">
        <v>3</v>
      </c>
      <c r="H908" s="8">
        <v>0.87</v>
      </c>
      <c r="I908" s="4">
        <v>0</v>
      </c>
    </row>
    <row r="909" spans="1:9" x14ac:dyDescent="0.2">
      <c r="A909" s="2">
        <v>19</v>
      </c>
      <c r="B909" s="1" t="s">
        <v>134</v>
      </c>
      <c r="C909" s="4">
        <v>11</v>
      </c>
      <c r="D909" s="8">
        <v>1.38</v>
      </c>
      <c r="E909" s="4">
        <v>10</v>
      </c>
      <c r="F909" s="8">
        <v>2.29</v>
      </c>
      <c r="G909" s="4">
        <v>1</v>
      </c>
      <c r="H909" s="8">
        <v>0.28999999999999998</v>
      </c>
      <c r="I909" s="4">
        <v>0</v>
      </c>
    </row>
    <row r="910" spans="1:9" x14ac:dyDescent="0.2">
      <c r="A910" s="1"/>
      <c r="C910" s="4"/>
      <c r="D910" s="8"/>
      <c r="E910" s="4"/>
      <c r="F910" s="8"/>
      <c r="G910" s="4"/>
      <c r="H910" s="8"/>
      <c r="I910" s="4"/>
    </row>
    <row r="911" spans="1:9" x14ac:dyDescent="0.2">
      <c r="A911" s="1" t="s">
        <v>40</v>
      </c>
      <c r="C911" s="4"/>
      <c r="D911" s="8"/>
      <c r="E911" s="4"/>
      <c r="F911" s="8"/>
      <c r="G911" s="4"/>
      <c r="H911" s="8"/>
      <c r="I911" s="4"/>
    </row>
    <row r="912" spans="1:9" x14ac:dyDescent="0.2">
      <c r="A912" s="2">
        <v>1</v>
      </c>
      <c r="B912" s="1" t="s">
        <v>132</v>
      </c>
      <c r="C912" s="4">
        <v>54</v>
      </c>
      <c r="D912" s="8">
        <v>6.42</v>
      </c>
      <c r="E912" s="4">
        <v>46</v>
      </c>
      <c r="F912" s="8">
        <v>11.5</v>
      </c>
      <c r="G912" s="4">
        <v>8</v>
      </c>
      <c r="H912" s="8">
        <v>1.83</v>
      </c>
      <c r="I912" s="4">
        <v>0</v>
      </c>
    </row>
    <row r="913" spans="1:9" x14ac:dyDescent="0.2">
      <c r="A913" s="2">
        <v>2</v>
      </c>
      <c r="B913" s="1" t="s">
        <v>134</v>
      </c>
      <c r="C913" s="4">
        <v>29</v>
      </c>
      <c r="D913" s="8">
        <v>3.45</v>
      </c>
      <c r="E913" s="4">
        <v>24</v>
      </c>
      <c r="F913" s="8">
        <v>6</v>
      </c>
      <c r="G913" s="4">
        <v>5</v>
      </c>
      <c r="H913" s="8">
        <v>1.1399999999999999</v>
      </c>
      <c r="I913" s="4">
        <v>0</v>
      </c>
    </row>
    <row r="914" spans="1:9" x14ac:dyDescent="0.2">
      <c r="A914" s="2">
        <v>3</v>
      </c>
      <c r="B914" s="1" t="s">
        <v>133</v>
      </c>
      <c r="C914" s="4">
        <v>27</v>
      </c>
      <c r="D914" s="8">
        <v>3.21</v>
      </c>
      <c r="E914" s="4">
        <v>18</v>
      </c>
      <c r="F914" s="8">
        <v>4.5</v>
      </c>
      <c r="G914" s="4">
        <v>9</v>
      </c>
      <c r="H914" s="8">
        <v>2.0499999999999998</v>
      </c>
      <c r="I914" s="4">
        <v>0</v>
      </c>
    </row>
    <row r="915" spans="1:9" x14ac:dyDescent="0.2">
      <c r="A915" s="2">
        <v>4</v>
      </c>
      <c r="B915" s="1" t="s">
        <v>124</v>
      </c>
      <c r="C915" s="4">
        <v>26</v>
      </c>
      <c r="D915" s="8">
        <v>3.09</v>
      </c>
      <c r="E915" s="4">
        <v>14</v>
      </c>
      <c r="F915" s="8">
        <v>3.5</v>
      </c>
      <c r="G915" s="4">
        <v>12</v>
      </c>
      <c r="H915" s="8">
        <v>2.74</v>
      </c>
      <c r="I915" s="4">
        <v>0</v>
      </c>
    </row>
    <row r="916" spans="1:9" x14ac:dyDescent="0.2">
      <c r="A916" s="2">
        <v>4</v>
      </c>
      <c r="B916" s="1" t="s">
        <v>126</v>
      </c>
      <c r="C916" s="4">
        <v>26</v>
      </c>
      <c r="D916" s="8">
        <v>3.09</v>
      </c>
      <c r="E916" s="4">
        <v>11</v>
      </c>
      <c r="F916" s="8">
        <v>2.75</v>
      </c>
      <c r="G916" s="4">
        <v>15</v>
      </c>
      <c r="H916" s="8">
        <v>3.42</v>
      </c>
      <c r="I916" s="4">
        <v>0</v>
      </c>
    </row>
    <row r="917" spans="1:9" x14ac:dyDescent="0.2">
      <c r="A917" s="2">
        <v>6</v>
      </c>
      <c r="B917" s="1" t="s">
        <v>128</v>
      </c>
      <c r="C917" s="4">
        <v>24</v>
      </c>
      <c r="D917" s="8">
        <v>2.85</v>
      </c>
      <c r="E917" s="4">
        <v>22</v>
      </c>
      <c r="F917" s="8">
        <v>5.5</v>
      </c>
      <c r="G917" s="4">
        <v>2</v>
      </c>
      <c r="H917" s="8">
        <v>0.46</v>
      </c>
      <c r="I917" s="4">
        <v>0</v>
      </c>
    </row>
    <row r="918" spans="1:9" x14ac:dyDescent="0.2">
      <c r="A918" s="2">
        <v>7</v>
      </c>
      <c r="B918" s="1" t="s">
        <v>122</v>
      </c>
      <c r="C918" s="4">
        <v>21</v>
      </c>
      <c r="D918" s="8">
        <v>2.5</v>
      </c>
      <c r="E918" s="4">
        <v>8</v>
      </c>
      <c r="F918" s="8">
        <v>2</v>
      </c>
      <c r="G918" s="4">
        <v>13</v>
      </c>
      <c r="H918" s="8">
        <v>2.97</v>
      </c>
      <c r="I918" s="4">
        <v>0</v>
      </c>
    </row>
    <row r="919" spans="1:9" x14ac:dyDescent="0.2">
      <c r="A919" s="2">
        <v>8</v>
      </c>
      <c r="B919" s="1" t="s">
        <v>131</v>
      </c>
      <c r="C919" s="4">
        <v>20</v>
      </c>
      <c r="D919" s="8">
        <v>2.38</v>
      </c>
      <c r="E919" s="4">
        <v>20</v>
      </c>
      <c r="F919" s="8">
        <v>5</v>
      </c>
      <c r="G919" s="4">
        <v>0</v>
      </c>
      <c r="H919" s="8">
        <v>0</v>
      </c>
      <c r="I919" s="4">
        <v>0</v>
      </c>
    </row>
    <row r="920" spans="1:9" x14ac:dyDescent="0.2">
      <c r="A920" s="2">
        <v>9</v>
      </c>
      <c r="B920" s="1" t="s">
        <v>121</v>
      </c>
      <c r="C920" s="4">
        <v>19</v>
      </c>
      <c r="D920" s="8">
        <v>2.2599999999999998</v>
      </c>
      <c r="E920" s="4">
        <v>10</v>
      </c>
      <c r="F920" s="8">
        <v>2.5</v>
      </c>
      <c r="G920" s="4">
        <v>9</v>
      </c>
      <c r="H920" s="8">
        <v>2.0499999999999998</v>
      </c>
      <c r="I920" s="4">
        <v>0</v>
      </c>
    </row>
    <row r="921" spans="1:9" x14ac:dyDescent="0.2">
      <c r="A921" s="2">
        <v>10</v>
      </c>
      <c r="B921" s="1" t="s">
        <v>116</v>
      </c>
      <c r="C921" s="4">
        <v>18</v>
      </c>
      <c r="D921" s="8">
        <v>2.14</v>
      </c>
      <c r="E921" s="4">
        <v>0</v>
      </c>
      <c r="F921" s="8">
        <v>0</v>
      </c>
      <c r="G921" s="4">
        <v>18</v>
      </c>
      <c r="H921" s="8">
        <v>4.1100000000000003</v>
      </c>
      <c r="I921" s="4">
        <v>0</v>
      </c>
    </row>
    <row r="922" spans="1:9" x14ac:dyDescent="0.2">
      <c r="A922" s="2">
        <v>11</v>
      </c>
      <c r="B922" s="1" t="s">
        <v>145</v>
      </c>
      <c r="C922" s="4">
        <v>16</v>
      </c>
      <c r="D922" s="8">
        <v>1.9</v>
      </c>
      <c r="E922" s="4">
        <v>5</v>
      </c>
      <c r="F922" s="8">
        <v>1.25</v>
      </c>
      <c r="G922" s="4">
        <v>11</v>
      </c>
      <c r="H922" s="8">
        <v>2.5099999999999998</v>
      </c>
      <c r="I922" s="4">
        <v>0</v>
      </c>
    </row>
    <row r="923" spans="1:9" x14ac:dyDescent="0.2">
      <c r="A923" s="2">
        <v>12</v>
      </c>
      <c r="B923" s="1" t="s">
        <v>138</v>
      </c>
      <c r="C923" s="4">
        <v>15</v>
      </c>
      <c r="D923" s="8">
        <v>1.78</v>
      </c>
      <c r="E923" s="4">
        <v>2</v>
      </c>
      <c r="F923" s="8">
        <v>0.5</v>
      </c>
      <c r="G923" s="4">
        <v>13</v>
      </c>
      <c r="H923" s="8">
        <v>2.97</v>
      </c>
      <c r="I923" s="4">
        <v>0</v>
      </c>
    </row>
    <row r="924" spans="1:9" x14ac:dyDescent="0.2">
      <c r="A924" s="2">
        <v>13</v>
      </c>
      <c r="B924" s="1" t="s">
        <v>135</v>
      </c>
      <c r="C924" s="4">
        <v>14</v>
      </c>
      <c r="D924" s="8">
        <v>1.66</v>
      </c>
      <c r="E924" s="4">
        <v>11</v>
      </c>
      <c r="F924" s="8">
        <v>2.75</v>
      </c>
      <c r="G924" s="4">
        <v>3</v>
      </c>
      <c r="H924" s="8">
        <v>0.68</v>
      </c>
      <c r="I924" s="4">
        <v>0</v>
      </c>
    </row>
    <row r="925" spans="1:9" x14ac:dyDescent="0.2">
      <c r="A925" s="2">
        <v>14</v>
      </c>
      <c r="B925" s="1" t="s">
        <v>118</v>
      </c>
      <c r="C925" s="4">
        <v>13</v>
      </c>
      <c r="D925" s="8">
        <v>1.55</v>
      </c>
      <c r="E925" s="4">
        <v>8</v>
      </c>
      <c r="F925" s="8">
        <v>2</v>
      </c>
      <c r="G925" s="4">
        <v>5</v>
      </c>
      <c r="H925" s="8">
        <v>1.1399999999999999</v>
      </c>
      <c r="I925" s="4">
        <v>0</v>
      </c>
    </row>
    <row r="926" spans="1:9" x14ac:dyDescent="0.2">
      <c r="A926" s="2">
        <v>14</v>
      </c>
      <c r="B926" s="1" t="s">
        <v>119</v>
      </c>
      <c r="C926" s="4">
        <v>13</v>
      </c>
      <c r="D926" s="8">
        <v>1.55</v>
      </c>
      <c r="E926" s="4">
        <v>5</v>
      </c>
      <c r="F926" s="8">
        <v>1.25</v>
      </c>
      <c r="G926" s="4">
        <v>8</v>
      </c>
      <c r="H926" s="8">
        <v>1.83</v>
      </c>
      <c r="I926" s="4">
        <v>0</v>
      </c>
    </row>
    <row r="927" spans="1:9" x14ac:dyDescent="0.2">
      <c r="A927" s="2">
        <v>14</v>
      </c>
      <c r="B927" s="1" t="s">
        <v>129</v>
      </c>
      <c r="C927" s="4">
        <v>13</v>
      </c>
      <c r="D927" s="8">
        <v>1.55</v>
      </c>
      <c r="E927" s="4">
        <v>11</v>
      </c>
      <c r="F927" s="8">
        <v>2.75</v>
      </c>
      <c r="G927" s="4">
        <v>2</v>
      </c>
      <c r="H927" s="8">
        <v>0.46</v>
      </c>
      <c r="I927" s="4">
        <v>0</v>
      </c>
    </row>
    <row r="928" spans="1:9" x14ac:dyDescent="0.2">
      <c r="A928" s="2">
        <v>17</v>
      </c>
      <c r="B928" s="1" t="s">
        <v>120</v>
      </c>
      <c r="C928" s="4">
        <v>12</v>
      </c>
      <c r="D928" s="8">
        <v>1.43</v>
      </c>
      <c r="E928" s="4">
        <v>2</v>
      </c>
      <c r="F928" s="8">
        <v>0.5</v>
      </c>
      <c r="G928" s="4">
        <v>10</v>
      </c>
      <c r="H928" s="8">
        <v>2.2799999999999998</v>
      </c>
      <c r="I928" s="4">
        <v>0</v>
      </c>
    </row>
    <row r="929" spans="1:9" x14ac:dyDescent="0.2">
      <c r="A929" s="2">
        <v>17</v>
      </c>
      <c r="B929" s="1" t="s">
        <v>139</v>
      </c>
      <c r="C929" s="4">
        <v>12</v>
      </c>
      <c r="D929" s="8">
        <v>1.43</v>
      </c>
      <c r="E929" s="4">
        <v>12</v>
      </c>
      <c r="F929" s="8">
        <v>3</v>
      </c>
      <c r="G929" s="4">
        <v>0</v>
      </c>
      <c r="H929" s="8">
        <v>0</v>
      </c>
      <c r="I929" s="4">
        <v>0</v>
      </c>
    </row>
    <row r="930" spans="1:9" x14ac:dyDescent="0.2">
      <c r="A930" s="2">
        <v>17</v>
      </c>
      <c r="B930" s="1" t="s">
        <v>167</v>
      </c>
      <c r="C930" s="4">
        <v>12</v>
      </c>
      <c r="D930" s="8">
        <v>1.43</v>
      </c>
      <c r="E930" s="4">
        <v>9</v>
      </c>
      <c r="F930" s="8">
        <v>2.25</v>
      </c>
      <c r="G930" s="4">
        <v>3</v>
      </c>
      <c r="H930" s="8">
        <v>0.68</v>
      </c>
      <c r="I930" s="4">
        <v>0</v>
      </c>
    </row>
    <row r="931" spans="1:9" x14ac:dyDescent="0.2">
      <c r="A931" s="2">
        <v>20</v>
      </c>
      <c r="B931" s="1" t="s">
        <v>150</v>
      </c>
      <c r="C931" s="4">
        <v>11</v>
      </c>
      <c r="D931" s="8">
        <v>1.31</v>
      </c>
      <c r="E931" s="4">
        <v>7</v>
      </c>
      <c r="F931" s="8">
        <v>1.75</v>
      </c>
      <c r="G931" s="4">
        <v>4</v>
      </c>
      <c r="H931" s="8">
        <v>0.91</v>
      </c>
      <c r="I931" s="4">
        <v>0</v>
      </c>
    </row>
    <row r="932" spans="1:9" x14ac:dyDescent="0.2">
      <c r="A932" s="2">
        <v>20</v>
      </c>
      <c r="B932" s="1" t="s">
        <v>125</v>
      </c>
      <c r="C932" s="4">
        <v>11</v>
      </c>
      <c r="D932" s="8">
        <v>1.31</v>
      </c>
      <c r="E932" s="4">
        <v>1</v>
      </c>
      <c r="F932" s="8">
        <v>0.25</v>
      </c>
      <c r="G932" s="4">
        <v>10</v>
      </c>
      <c r="H932" s="8">
        <v>2.2799999999999998</v>
      </c>
      <c r="I932" s="4">
        <v>0</v>
      </c>
    </row>
    <row r="933" spans="1:9" x14ac:dyDescent="0.2">
      <c r="A933" s="2">
        <v>20</v>
      </c>
      <c r="B933" s="1" t="s">
        <v>127</v>
      </c>
      <c r="C933" s="4">
        <v>11</v>
      </c>
      <c r="D933" s="8">
        <v>1.31</v>
      </c>
      <c r="E933" s="4">
        <v>3</v>
      </c>
      <c r="F933" s="8">
        <v>0.75</v>
      </c>
      <c r="G933" s="4">
        <v>8</v>
      </c>
      <c r="H933" s="8">
        <v>1.83</v>
      </c>
      <c r="I933" s="4">
        <v>0</v>
      </c>
    </row>
    <row r="934" spans="1:9" x14ac:dyDescent="0.2">
      <c r="A934" s="1"/>
      <c r="C934" s="4"/>
      <c r="D934" s="8"/>
      <c r="E934" s="4"/>
      <c r="F934" s="8"/>
      <c r="G934" s="4"/>
      <c r="H934" s="8"/>
      <c r="I934" s="4"/>
    </row>
    <row r="935" spans="1:9" x14ac:dyDescent="0.2">
      <c r="A935" s="1" t="s">
        <v>41</v>
      </c>
      <c r="C935" s="4"/>
      <c r="D935" s="8"/>
      <c r="E935" s="4"/>
      <c r="F935" s="8"/>
      <c r="G935" s="4"/>
      <c r="H935" s="8"/>
      <c r="I935" s="4"/>
    </row>
    <row r="936" spans="1:9" x14ac:dyDescent="0.2">
      <c r="A936" s="2">
        <v>1</v>
      </c>
      <c r="B936" s="1" t="s">
        <v>126</v>
      </c>
      <c r="C936" s="4">
        <v>78</v>
      </c>
      <c r="D936" s="8">
        <v>9.5</v>
      </c>
      <c r="E936" s="4">
        <v>56</v>
      </c>
      <c r="F936" s="8">
        <v>15.18</v>
      </c>
      <c r="G936" s="4">
        <v>22</v>
      </c>
      <c r="H936" s="8">
        <v>4.91</v>
      </c>
      <c r="I936" s="4">
        <v>0</v>
      </c>
    </row>
    <row r="937" spans="1:9" x14ac:dyDescent="0.2">
      <c r="A937" s="2">
        <v>2</v>
      </c>
      <c r="B937" s="1" t="s">
        <v>132</v>
      </c>
      <c r="C937" s="4">
        <v>50</v>
      </c>
      <c r="D937" s="8">
        <v>6.09</v>
      </c>
      <c r="E937" s="4">
        <v>43</v>
      </c>
      <c r="F937" s="8">
        <v>11.65</v>
      </c>
      <c r="G937" s="4">
        <v>7</v>
      </c>
      <c r="H937" s="8">
        <v>1.56</v>
      </c>
      <c r="I937" s="4">
        <v>0</v>
      </c>
    </row>
    <row r="938" spans="1:9" x14ac:dyDescent="0.2">
      <c r="A938" s="2">
        <v>3</v>
      </c>
      <c r="B938" s="1" t="s">
        <v>133</v>
      </c>
      <c r="C938" s="4">
        <v>34</v>
      </c>
      <c r="D938" s="8">
        <v>4.1399999999999997</v>
      </c>
      <c r="E938" s="4">
        <v>26</v>
      </c>
      <c r="F938" s="8">
        <v>7.05</v>
      </c>
      <c r="G938" s="4">
        <v>8</v>
      </c>
      <c r="H938" s="8">
        <v>1.79</v>
      </c>
      <c r="I938" s="4">
        <v>0</v>
      </c>
    </row>
    <row r="939" spans="1:9" x14ac:dyDescent="0.2">
      <c r="A939" s="2">
        <v>4</v>
      </c>
      <c r="B939" s="1" t="s">
        <v>134</v>
      </c>
      <c r="C939" s="4">
        <v>21</v>
      </c>
      <c r="D939" s="8">
        <v>2.56</v>
      </c>
      <c r="E939" s="4">
        <v>19</v>
      </c>
      <c r="F939" s="8">
        <v>5.15</v>
      </c>
      <c r="G939" s="4">
        <v>2</v>
      </c>
      <c r="H939" s="8">
        <v>0.45</v>
      </c>
      <c r="I939" s="4">
        <v>0</v>
      </c>
    </row>
    <row r="940" spans="1:9" x14ac:dyDescent="0.2">
      <c r="A940" s="2">
        <v>5</v>
      </c>
      <c r="B940" s="1" t="s">
        <v>122</v>
      </c>
      <c r="C940" s="4">
        <v>20</v>
      </c>
      <c r="D940" s="8">
        <v>2.44</v>
      </c>
      <c r="E940" s="4">
        <v>6</v>
      </c>
      <c r="F940" s="8">
        <v>1.63</v>
      </c>
      <c r="G940" s="4">
        <v>14</v>
      </c>
      <c r="H940" s="8">
        <v>3.13</v>
      </c>
      <c r="I940" s="4">
        <v>0</v>
      </c>
    </row>
    <row r="941" spans="1:9" x14ac:dyDescent="0.2">
      <c r="A941" s="2">
        <v>5</v>
      </c>
      <c r="B941" s="1" t="s">
        <v>125</v>
      </c>
      <c r="C941" s="4">
        <v>20</v>
      </c>
      <c r="D941" s="8">
        <v>2.44</v>
      </c>
      <c r="E941" s="4">
        <v>2</v>
      </c>
      <c r="F941" s="8">
        <v>0.54</v>
      </c>
      <c r="G941" s="4">
        <v>18</v>
      </c>
      <c r="H941" s="8">
        <v>4.0199999999999996</v>
      </c>
      <c r="I941" s="4">
        <v>0</v>
      </c>
    </row>
    <row r="942" spans="1:9" x14ac:dyDescent="0.2">
      <c r="A942" s="2">
        <v>7</v>
      </c>
      <c r="B942" s="1" t="s">
        <v>131</v>
      </c>
      <c r="C942" s="4">
        <v>19</v>
      </c>
      <c r="D942" s="8">
        <v>2.31</v>
      </c>
      <c r="E942" s="4">
        <v>17</v>
      </c>
      <c r="F942" s="8">
        <v>4.6100000000000003</v>
      </c>
      <c r="G942" s="4">
        <v>2</v>
      </c>
      <c r="H942" s="8">
        <v>0.45</v>
      </c>
      <c r="I942" s="4">
        <v>0</v>
      </c>
    </row>
    <row r="943" spans="1:9" x14ac:dyDescent="0.2">
      <c r="A943" s="2">
        <v>8</v>
      </c>
      <c r="B943" s="1" t="s">
        <v>117</v>
      </c>
      <c r="C943" s="4">
        <v>18</v>
      </c>
      <c r="D943" s="8">
        <v>2.19</v>
      </c>
      <c r="E943" s="4">
        <v>2</v>
      </c>
      <c r="F943" s="8">
        <v>0.54</v>
      </c>
      <c r="G943" s="4">
        <v>16</v>
      </c>
      <c r="H943" s="8">
        <v>3.57</v>
      </c>
      <c r="I943" s="4">
        <v>0</v>
      </c>
    </row>
    <row r="944" spans="1:9" x14ac:dyDescent="0.2">
      <c r="A944" s="2">
        <v>9</v>
      </c>
      <c r="B944" s="1" t="s">
        <v>116</v>
      </c>
      <c r="C944" s="4">
        <v>17</v>
      </c>
      <c r="D944" s="8">
        <v>2.0699999999999998</v>
      </c>
      <c r="E944" s="4">
        <v>2</v>
      </c>
      <c r="F944" s="8">
        <v>0.54</v>
      </c>
      <c r="G944" s="4">
        <v>15</v>
      </c>
      <c r="H944" s="8">
        <v>3.35</v>
      </c>
      <c r="I944" s="4">
        <v>0</v>
      </c>
    </row>
    <row r="945" spans="1:9" x14ac:dyDescent="0.2">
      <c r="A945" s="2">
        <v>10</v>
      </c>
      <c r="B945" s="1" t="s">
        <v>120</v>
      </c>
      <c r="C945" s="4">
        <v>16</v>
      </c>
      <c r="D945" s="8">
        <v>1.95</v>
      </c>
      <c r="E945" s="4">
        <v>6</v>
      </c>
      <c r="F945" s="8">
        <v>1.63</v>
      </c>
      <c r="G945" s="4">
        <v>10</v>
      </c>
      <c r="H945" s="8">
        <v>2.23</v>
      </c>
      <c r="I945" s="4">
        <v>0</v>
      </c>
    </row>
    <row r="946" spans="1:9" x14ac:dyDescent="0.2">
      <c r="A946" s="2">
        <v>10</v>
      </c>
      <c r="B946" s="1" t="s">
        <v>128</v>
      </c>
      <c r="C946" s="4">
        <v>16</v>
      </c>
      <c r="D946" s="8">
        <v>1.95</v>
      </c>
      <c r="E946" s="4">
        <v>15</v>
      </c>
      <c r="F946" s="8">
        <v>4.07</v>
      </c>
      <c r="G946" s="4">
        <v>1</v>
      </c>
      <c r="H946" s="8">
        <v>0.22</v>
      </c>
      <c r="I946" s="4">
        <v>0</v>
      </c>
    </row>
    <row r="947" spans="1:9" x14ac:dyDescent="0.2">
      <c r="A947" s="2">
        <v>12</v>
      </c>
      <c r="B947" s="1" t="s">
        <v>119</v>
      </c>
      <c r="C947" s="4">
        <v>13</v>
      </c>
      <c r="D947" s="8">
        <v>1.58</v>
      </c>
      <c r="E947" s="4">
        <v>3</v>
      </c>
      <c r="F947" s="8">
        <v>0.81</v>
      </c>
      <c r="G947" s="4">
        <v>10</v>
      </c>
      <c r="H947" s="8">
        <v>2.23</v>
      </c>
      <c r="I947" s="4">
        <v>0</v>
      </c>
    </row>
    <row r="948" spans="1:9" x14ac:dyDescent="0.2">
      <c r="A948" s="2">
        <v>12</v>
      </c>
      <c r="B948" s="1" t="s">
        <v>124</v>
      </c>
      <c r="C948" s="4">
        <v>13</v>
      </c>
      <c r="D948" s="8">
        <v>1.58</v>
      </c>
      <c r="E948" s="4">
        <v>8</v>
      </c>
      <c r="F948" s="8">
        <v>2.17</v>
      </c>
      <c r="G948" s="4">
        <v>5</v>
      </c>
      <c r="H948" s="8">
        <v>1.1200000000000001</v>
      </c>
      <c r="I948" s="4">
        <v>0</v>
      </c>
    </row>
    <row r="949" spans="1:9" x14ac:dyDescent="0.2">
      <c r="A949" s="2">
        <v>12</v>
      </c>
      <c r="B949" s="1" t="s">
        <v>147</v>
      </c>
      <c r="C949" s="4">
        <v>13</v>
      </c>
      <c r="D949" s="8">
        <v>1.58</v>
      </c>
      <c r="E949" s="4">
        <v>1</v>
      </c>
      <c r="F949" s="8">
        <v>0.27</v>
      </c>
      <c r="G949" s="4">
        <v>12</v>
      </c>
      <c r="H949" s="8">
        <v>2.68</v>
      </c>
      <c r="I949" s="4">
        <v>0</v>
      </c>
    </row>
    <row r="950" spans="1:9" x14ac:dyDescent="0.2">
      <c r="A950" s="2">
        <v>15</v>
      </c>
      <c r="B950" s="1" t="s">
        <v>135</v>
      </c>
      <c r="C950" s="4">
        <v>12</v>
      </c>
      <c r="D950" s="8">
        <v>1.46</v>
      </c>
      <c r="E950" s="4">
        <v>9</v>
      </c>
      <c r="F950" s="8">
        <v>2.44</v>
      </c>
      <c r="G950" s="4">
        <v>3</v>
      </c>
      <c r="H950" s="8">
        <v>0.67</v>
      </c>
      <c r="I950" s="4">
        <v>0</v>
      </c>
    </row>
    <row r="951" spans="1:9" x14ac:dyDescent="0.2">
      <c r="A951" s="2">
        <v>16</v>
      </c>
      <c r="B951" s="1" t="s">
        <v>182</v>
      </c>
      <c r="C951" s="4">
        <v>10</v>
      </c>
      <c r="D951" s="8">
        <v>1.22</v>
      </c>
      <c r="E951" s="4">
        <v>3</v>
      </c>
      <c r="F951" s="8">
        <v>0.81</v>
      </c>
      <c r="G951" s="4">
        <v>7</v>
      </c>
      <c r="H951" s="8">
        <v>1.56</v>
      </c>
      <c r="I951" s="4">
        <v>0</v>
      </c>
    </row>
    <row r="952" spans="1:9" x14ac:dyDescent="0.2">
      <c r="A952" s="2">
        <v>16</v>
      </c>
      <c r="B952" s="1" t="s">
        <v>123</v>
      </c>
      <c r="C952" s="4">
        <v>10</v>
      </c>
      <c r="D952" s="8">
        <v>1.22</v>
      </c>
      <c r="E952" s="4">
        <v>3</v>
      </c>
      <c r="F952" s="8">
        <v>0.81</v>
      </c>
      <c r="G952" s="4">
        <v>7</v>
      </c>
      <c r="H952" s="8">
        <v>1.56</v>
      </c>
      <c r="I952" s="4">
        <v>0</v>
      </c>
    </row>
    <row r="953" spans="1:9" x14ac:dyDescent="0.2">
      <c r="A953" s="2">
        <v>16</v>
      </c>
      <c r="B953" s="1" t="s">
        <v>138</v>
      </c>
      <c r="C953" s="4">
        <v>10</v>
      </c>
      <c r="D953" s="8">
        <v>1.22</v>
      </c>
      <c r="E953" s="4">
        <v>0</v>
      </c>
      <c r="F953" s="8">
        <v>0</v>
      </c>
      <c r="G953" s="4">
        <v>10</v>
      </c>
      <c r="H953" s="8">
        <v>2.23</v>
      </c>
      <c r="I953" s="4">
        <v>0</v>
      </c>
    </row>
    <row r="954" spans="1:9" x14ac:dyDescent="0.2">
      <c r="A954" s="2">
        <v>16</v>
      </c>
      <c r="B954" s="1" t="s">
        <v>127</v>
      </c>
      <c r="C954" s="4">
        <v>10</v>
      </c>
      <c r="D954" s="8">
        <v>1.22</v>
      </c>
      <c r="E954" s="4">
        <v>8</v>
      </c>
      <c r="F954" s="8">
        <v>2.17</v>
      </c>
      <c r="G954" s="4">
        <v>2</v>
      </c>
      <c r="H954" s="8">
        <v>0.45</v>
      </c>
      <c r="I954" s="4">
        <v>0</v>
      </c>
    </row>
    <row r="955" spans="1:9" x14ac:dyDescent="0.2">
      <c r="A955" s="2">
        <v>20</v>
      </c>
      <c r="B955" s="1" t="s">
        <v>183</v>
      </c>
      <c r="C955" s="4">
        <v>9</v>
      </c>
      <c r="D955" s="8">
        <v>1.1000000000000001</v>
      </c>
      <c r="E955" s="4">
        <v>1</v>
      </c>
      <c r="F955" s="8">
        <v>0.27</v>
      </c>
      <c r="G955" s="4">
        <v>8</v>
      </c>
      <c r="H955" s="8">
        <v>1.79</v>
      </c>
      <c r="I955" s="4">
        <v>0</v>
      </c>
    </row>
    <row r="956" spans="1:9" x14ac:dyDescent="0.2">
      <c r="A956" s="2">
        <v>20</v>
      </c>
      <c r="B956" s="1" t="s">
        <v>136</v>
      </c>
      <c r="C956" s="4">
        <v>9</v>
      </c>
      <c r="D956" s="8">
        <v>1.1000000000000001</v>
      </c>
      <c r="E956" s="4">
        <v>6</v>
      </c>
      <c r="F956" s="8">
        <v>1.63</v>
      </c>
      <c r="G956" s="4">
        <v>3</v>
      </c>
      <c r="H956" s="8">
        <v>0.67</v>
      </c>
      <c r="I956" s="4">
        <v>0</v>
      </c>
    </row>
    <row r="957" spans="1:9" x14ac:dyDescent="0.2">
      <c r="A957" s="2">
        <v>20</v>
      </c>
      <c r="B957" s="1" t="s">
        <v>121</v>
      </c>
      <c r="C957" s="4">
        <v>9</v>
      </c>
      <c r="D957" s="8">
        <v>1.1000000000000001</v>
      </c>
      <c r="E957" s="4">
        <v>6</v>
      </c>
      <c r="F957" s="8">
        <v>1.63</v>
      </c>
      <c r="G957" s="4">
        <v>3</v>
      </c>
      <c r="H957" s="8">
        <v>0.67</v>
      </c>
      <c r="I957" s="4">
        <v>0</v>
      </c>
    </row>
    <row r="958" spans="1:9" x14ac:dyDescent="0.2">
      <c r="A958" s="2">
        <v>20</v>
      </c>
      <c r="B958" s="1" t="s">
        <v>155</v>
      </c>
      <c r="C958" s="4">
        <v>9</v>
      </c>
      <c r="D958" s="8">
        <v>1.1000000000000001</v>
      </c>
      <c r="E958" s="4">
        <v>7</v>
      </c>
      <c r="F958" s="8">
        <v>1.9</v>
      </c>
      <c r="G958" s="4">
        <v>2</v>
      </c>
      <c r="H958" s="8">
        <v>0.45</v>
      </c>
      <c r="I958" s="4">
        <v>0</v>
      </c>
    </row>
    <row r="959" spans="1:9" x14ac:dyDescent="0.2">
      <c r="A959" s="1"/>
      <c r="C959" s="4"/>
      <c r="D959" s="8"/>
      <c r="E959" s="4"/>
      <c r="F959" s="8"/>
      <c r="G959" s="4"/>
      <c r="H959" s="8"/>
      <c r="I959" s="4"/>
    </row>
    <row r="960" spans="1:9" x14ac:dyDescent="0.2">
      <c r="A960" s="1" t="s">
        <v>42</v>
      </c>
      <c r="C960" s="4"/>
      <c r="D960" s="8"/>
      <c r="E960" s="4"/>
      <c r="F960" s="8"/>
      <c r="G960" s="4"/>
      <c r="H960" s="8"/>
      <c r="I960" s="4"/>
    </row>
    <row r="961" spans="1:9" x14ac:dyDescent="0.2">
      <c r="A961" s="2">
        <v>1</v>
      </c>
      <c r="B961" s="1" t="s">
        <v>126</v>
      </c>
      <c r="C961" s="4">
        <v>15</v>
      </c>
      <c r="D961" s="8">
        <v>3.98</v>
      </c>
      <c r="E961" s="4">
        <v>9</v>
      </c>
      <c r="F961" s="8">
        <v>4.74</v>
      </c>
      <c r="G961" s="4">
        <v>5</v>
      </c>
      <c r="H961" s="8">
        <v>2.81</v>
      </c>
      <c r="I961" s="4">
        <v>0</v>
      </c>
    </row>
    <row r="962" spans="1:9" x14ac:dyDescent="0.2">
      <c r="A962" s="2">
        <v>2</v>
      </c>
      <c r="B962" s="1" t="s">
        <v>116</v>
      </c>
      <c r="C962" s="4">
        <v>13</v>
      </c>
      <c r="D962" s="8">
        <v>3.45</v>
      </c>
      <c r="E962" s="4">
        <v>1</v>
      </c>
      <c r="F962" s="8">
        <v>0.53</v>
      </c>
      <c r="G962" s="4">
        <v>12</v>
      </c>
      <c r="H962" s="8">
        <v>6.74</v>
      </c>
      <c r="I962" s="4">
        <v>0</v>
      </c>
    </row>
    <row r="963" spans="1:9" x14ac:dyDescent="0.2">
      <c r="A963" s="2">
        <v>2</v>
      </c>
      <c r="B963" s="1" t="s">
        <v>121</v>
      </c>
      <c r="C963" s="4">
        <v>13</v>
      </c>
      <c r="D963" s="8">
        <v>3.45</v>
      </c>
      <c r="E963" s="4">
        <v>12</v>
      </c>
      <c r="F963" s="8">
        <v>6.32</v>
      </c>
      <c r="G963" s="4">
        <v>1</v>
      </c>
      <c r="H963" s="8">
        <v>0.56000000000000005</v>
      </c>
      <c r="I963" s="4">
        <v>0</v>
      </c>
    </row>
    <row r="964" spans="1:9" x14ac:dyDescent="0.2">
      <c r="A964" s="2">
        <v>4</v>
      </c>
      <c r="B964" s="1" t="s">
        <v>132</v>
      </c>
      <c r="C964" s="4">
        <v>12</v>
      </c>
      <c r="D964" s="8">
        <v>3.18</v>
      </c>
      <c r="E964" s="4">
        <v>11</v>
      </c>
      <c r="F964" s="8">
        <v>5.79</v>
      </c>
      <c r="G964" s="4">
        <v>1</v>
      </c>
      <c r="H964" s="8">
        <v>0.56000000000000005</v>
      </c>
      <c r="I964" s="4">
        <v>0</v>
      </c>
    </row>
    <row r="965" spans="1:9" x14ac:dyDescent="0.2">
      <c r="A965" s="2">
        <v>5</v>
      </c>
      <c r="B965" s="1" t="s">
        <v>159</v>
      </c>
      <c r="C965" s="4">
        <v>11</v>
      </c>
      <c r="D965" s="8">
        <v>2.92</v>
      </c>
      <c r="E965" s="4">
        <v>4</v>
      </c>
      <c r="F965" s="8">
        <v>2.11</v>
      </c>
      <c r="G965" s="4">
        <v>7</v>
      </c>
      <c r="H965" s="8">
        <v>3.93</v>
      </c>
      <c r="I965" s="4">
        <v>0</v>
      </c>
    </row>
    <row r="966" spans="1:9" x14ac:dyDescent="0.2">
      <c r="A966" s="2">
        <v>5</v>
      </c>
      <c r="B966" s="1" t="s">
        <v>131</v>
      </c>
      <c r="C966" s="4">
        <v>11</v>
      </c>
      <c r="D966" s="8">
        <v>2.92</v>
      </c>
      <c r="E966" s="4">
        <v>11</v>
      </c>
      <c r="F966" s="8">
        <v>5.79</v>
      </c>
      <c r="G966" s="4">
        <v>0</v>
      </c>
      <c r="H966" s="8">
        <v>0</v>
      </c>
      <c r="I966" s="4">
        <v>0</v>
      </c>
    </row>
    <row r="967" spans="1:9" x14ac:dyDescent="0.2">
      <c r="A967" s="2">
        <v>7</v>
      </c>
      <c r="B967" s="1" t="s">
        <v>160</v>
      </c>
      <c r="C967" s="4">
        <v>9</v>
      </c>
      <c r="D967" s="8">
        <v>2.39</v>
      </c>
      <c r="E967" s="4">
        <v>3</v>
      </c>
      <c r="F967" s="8">
        <v>1.58</v>
      </c>
      <c r="G967" s="4">
        <v>6</v>
      </c>
      <c r="H967" s="8">
        <v>3.37</v>
      </c>
      <c r="I967" s="4">
        <v>0</v>
      </c>
    </row>
    <row r="968" spans="1:9" x14ac:dyDescent="0.2">
      <c r="A968" s="2">
        <v>7</v>
      </c>
      <c r="B968" s="1" t="s">
        <v>161</v>
      </c>
      <c r="C968" s="4">
        <v>9</v>
      </c>
      <c r="D968" s="8">
        <v>2.39</v>
      </c>
      <c r="E968" s="4">
        <v>6</v>
      </c>
      <c r="F968" s="8">
        <v>3.16</v>
      </c>
      <c r="G968" s="4">
        <v>3</v>
      </c>
      <c r="H968" s="8">
        <v>1.69</v>
      </c>
      <c r="I968" s="4">
        <v>0</v>
      </c>
    </row>
    <row r="969" spans="1:9" x14ac:dyDescent="0.2">
      <c r="A969" s="2">
        <v>9</v>
      </c>
      <c r="B969" s="1" t="s">
        <v>117</v>
      </c>
      <c r="C969" s="4">
        <v>8</v>
      </c>
      <c r="D969" s="8">
        <v>2.12</v>
      </c>
      <c r="E969" s="4">
        <v>1</v>
      </c>
      <c r="F969" s="8">
        <v>0.53</v>
      </c>
      <c r="G969" s="4">
        <v>7</v>
      </c>
      <c r="H969" s="8">
        <v>3.93</v>
      </c>
      <c r="I969" s="4">
        <v>0</v>
      </c>
    </row>
    <row r="970" spans="1:9" x14ac:dyDescent="0.2">
      <c r="A970" s="2">
        <v>9</v>
      </c>
      <c r="B970" s="1" t="s">
        <v>136</v>
      </c>
      <c r="C970" s="4">
        <v>8</v>
      </c>
      <c r="D970" s="8">
        <v>2.12</v>
      </c>
      <c r="E970" s="4">
        <v>5</v>
      </c>
      <c r="F970" s="8">
        <v>2.63</v>
      </c>
      <c r="G970" s="4">
        <v>3</v>
      </c>
      <c r="H970" s="8">
        <v>1.69</v>
      </c>
      <c r="I970" s="4">
        <v>0</v>
      </c>
    </row>
    <row r="971" spans="1:9" x14ac:dyDescent="0.2">
      <c r="A971" s="2">
        <v>9</v>
      </c>
      <c r="B971" s="1" t="s">
        <v>124</v>
      </c>
      <c r="C971" s="4">
        <v>8</v>
      </c>
      <c r="D971" s="8">
        <v>2.12</v>
      </c>
      <c r="E971" s="4">
        <v>5</v>
      </c>
      <c r="F971" s="8">
        <v>2.63</v>
      </c>
      <c r="G971" s="4">
        <v>3</v>
      </c>
      <c r="H971" s="8">
        <v>1.69</v>
      </c>
      <c r="I971" s="4">
        <v>0</v>
      </c>
    </row>
    <row r="972" spans="1:9" x14ac:dyDescent="0.2">
      <c r="A972" s="2">
        <v>9</v>
      </c>
      <c r="B972" s="1" t="s">
        <v>128</v>
      </c>
      <c r="C972" s="4">
        <v>8</v>
      </c>
      <c r="D972" s="8">
        <v>2.12</v>
      </c>
      <c r="E972" s="4">
        <v>7</v>
      </c>
      <c r="F972" s="8">
        <v>3.68</v>
      </c>
      <c r="G972" s="4">
        <v>1</v>
      </c>
      <c r="H972" s="8">
        <v>0.56000000000000005</v>
      </c>
      <c r="I972" s="4">
        <v>0</v>
      </c>
    </row>
    <row r="973" spans="1:9" x14ac:dyDescent="0.2">
      <c r="A973" s="2">
        <v>9</v>
      </c>
      <c r="B973" s="1" t="s">
        <v>130</v>
      </c>
      <c r="C973" s="4">
        <v>8</v>
      </c>
      <c r="D973" s="8">
        <v>2.12</v>
      </c>
      <c r="E973" s="4">
        <v>7</v>
      </c>
      <c r="F973" s="8">
        <v>3.68</v>
      </c>
      <c r="G973" s="4">
        <v>1</v>
      </c>
      <c r="H973" s="8">
        <v>0.56000000000000005</v>
      </c>
      <c r="I973" s="4">
        <v>0</v>
      </c>
    </row>
    <row r="974" spans="1:9" x14ac:dyDescent="0.2">
      <c r="A974" s="2">
        <v>9</v>
      </c>
      <c r="B974" s="1" t="s">
        <v>133</v>
      </c>
      <c r="C974" s="4">
        <v>8</v>
      </c>
      <c r="D974" s="8">
        <v>2.12</v>
      </c>
      <c r="E974" s="4">
        <v>8</v>
      </c>
      <c r="F974" s="8">
        <v>4.21</v>
      </c>
      <c r="G974" s="4">
        <v>0</v>
      </c>
      <c r="H974" s="8">
        <v>0</v>
      </c>
      <c r="I974" s="4">
        <v>0</v>
      </c>
    </row>
    <row r="975" spans="1:9" x14ac:dyDescent="0.2">
      <c r="A975" s="2">
        <v>9</v>
      </c>
      <c r="B975" s="1" t="s">
        <v>135</v>
      </c>
      <c r="C975" s="4">
        <v>8</v>
      </c>
      <c r="D975" s="8">
        <v>2.12</v>
      </c>
      <c r="E975" s="4">
        <v>4</v>
      </c>
      <c r="F975" s="8">
        <v>2.11</v>
      </c>
      <c r="G975" s="4">
        <v>4</v>
      </c>
      <c r="H975" s="8">
        <v>2.25</v>
      </c>
      <c r="I975" s="4">
        <v>0</v>
      </c>
    </row>
    <row r="976" spans="1:9" x14ac:dyDescent="0.2">
      <c r="A976" s="2">
        <v>16</v>
      </c>
      <c r="B976" s="1" t="s">
        <v>122</v>
      </c>
      <c r="C976" s="4">
        <v>7</v>
      </c>
      <c r="D976" s="8">
        <v>1.86</v>
      </c>
      <c r="E976" s="4">
        <v>3</v>
      </c>
      <c r="F976" s="8">
        <v>1.58</v>
      </c>
      <c r="G976" s="4">
        <v>4</v>
      </c>
      <c r="H976" s="8">
        <v>2.25</v>
      </c>
      <c r="I976" s="4">
        <v>0</v>
      </c>
    </row>
    <row r="977" spans="1:9" x14ac:dyDescent="0.2">
      <c r="A977" s="2">
        <v>16</v>
      </c>
      <c r="B977" s="1" t="s">
        <v>129</v>
      </c>
      <c r="C977" s="4">
        <v>7</v>
      </c>
      <c r="D977" s="8">
        <v>1.86</v>
      </c>
      <c r="E977" s="4">
        <v>7</v>
      </c>
      <c r="F977" s="8">
        <v>3.68</v>
      </c>
      <c r="G977" s="4">
        <v>0</v>
      </c>
      <c r="H977" s="8">
        <v>0</v>
      </c>
      <c r="I977" s="4">
        <v>0</v>
      </c>
    </row>
    <row r="978" spans="1:9" x14ac:dyDescent="0.2">
      <c r="A978" s="2">
        <v>18</v>
      </c>
      <c r="B978" s="1" t="s">
        <v>118</v>
      </c>
      <c r="C978" s="4">
        <v>6</v>
      </c>
      <c r="D978" s="8">
        <v>1.59</v>
      </c>
      <c r="E978" s="4">
        <v>5</v>
      </c>
      <c r="F978" s="8">
        <v>2.63</v>
      </c>
      <c r="G978" s="4">
        <v>1</v>
      </c>
      <c r="H978" s="8">
        <v>0.56000000000000005</v>
      </c>
      <c r="I978" s="4">
        <v>0</v>
      </c>
    </row>
    <row r="979" spans="1:9" x14ac:dyDescent="0.2">
      <c r="A979" s="2">
        <v>18</v>
      </c>
      <c r="B979" s="1" t="s">
        <v>145</v>
      </c>
      <c r="C979" s="4">
        <v>6</v>
      </c>
      <c r="D979" s="8">
        <v>1.59</v>
      </c>
      <c r="E979" s="4">
        <v>0</v>
      </c>
      <c r="F979" s="8">
        <v>0</v>
      </c>
      <c r="G979" s="4">
        <v>6</v>
      </c>
      <c r="H979" s="8">
        <v>3.37</v>
      </c>
      <c r="I979" s="4">
        <v>0</v>
      </c>
    </row>
    <row r="980" spans="1:9" x14ac:dyDescent="0.2">
      <c r="A980" s="2">
        <v>18</v>
      </c>
      <c r="B980" s="1" t="s">
        <v>176</v>
      </c>
      <c r="C980" s="4">
        <v>6</v>
      </c>
      <c r="D980" s="8">
        <v>1.59</v>
      </c>
      <c r="E980" s="4">
        <v>2</v>
      </c>
      <c r="F980" s="8">
        <v>1.05</v>
      </c>
      <c r="G980" s="4">
        <v>4</v>
      </c>
      <c r="H980" s="8">
        <v>2.25</v>
      </c>
      <c r="I980" s="4">
        <v>0</v>
      </c>
    </row>
    <row r="981" spans="1:9" x14ac:dyDescent="0.2">
      <c r="A981" s="1"/>
      <c r="C981" s="4"/>
      <c r="D981" s="8"/>
      <c r="E981" s="4"/>
      <c r="F981" s="8"/>
      <c r="G981" s="4"/>
      <c r="H981" s="8"/>
      <c r="I981" s="4"/>
    </row>
    <row r="982" spans="1:9" x14ac:dyDescent="0.2">
      <c r="A982" s="1" t="s">
        <v>43</v>
      </c>
      <c r="C982" s="4"/>
      <c r="D982" s="8"/>
      <c r="E982" s="4"/>
      <c r="F982" s="8"/>
      <c r="G982" s="4"/>
      <c r="H982" s="8"/>
      <c r="I982" s="4"/>
    </row>
    <row r="983" spans="1:9" x14ac:dyDescent="0.2">
      <c r="A983" s="2">
        <v>1</v>
      </c>
      <c r="B983" s="1" t="s">
        <v>132</v>
      </c>
      <c r="C983" s="4">
        <v>42</v>
      </c>
      <c r="D983" s="8">
        <v>5.56</v>
      </c>
      <c r="E983" s="4">
        <v>37</v>
      </c>
      <c r="F983" s="8">
        <v>9.7899999999999991</v>
      </c>
      <c r="G983" s="4">
        <v>5</v>
      </c>
      <c r="H983" s="8">
        <v>1.42</v>
      </c>
      <c r="I983" s="4">
        <v>0</v>
      </c>
    </row>
    <row r="984" spans="1:9" x14ac:dyDescent="0.2">
      <c r="A984" s="2">
        <v>2</v>
      </c>
      <c r="B984" s="1" t="s">
        <v>128</v>
      </c>
      <c r="C984" s="4">
        <v>21</v>
      </c>
      <c r="D984" s="8">
        <v>2.78</v>
      </c>
      <c r="E984" s="4">
        <v>18</v>
      </c>
      <c r="F984" s="8">
        <v>4.76</v>
      </c>
      <c r="G984" s="4">
        <v>3</v>
      </c>
      <c r="H984" s="8">
        <v>0.85</v>
      </c>
      <c r="I984" s="4">
        <v>0</v>
      </c>
    </row>
    <row r="985" spans="1:9" x14ac:dyDescent="0.2">
      <c r="A985" s="2">
        <v>2</v>
      </c>
      <c r="B985" s="1" t="s">
        <v>131</v>
      </c>
      <c r="C985" s="4">
        <v>21</v>
      </c>
      <c r="D985" s="8">
        <v>2.78</v>
      </c>
      <c r="E985" s="4">
        <v>19</v>
      </c>
      <c r="F985" s="8">
        <v>5.03</v>
      </c>
      <c r="G985" s="4">
        <v>2</v>
      </c>
      <c r="H985" s="8">
        <v>0.56999999999999995</v>
      </c>
      <c r="I985" s="4">
        <v>0</v>
      </c>
    </row>
    <row r="986" spans="1:9" x14ac:dyDescent="0.2">
      <c r="A986" s="2">
        <v>4</v>
      </c>
      <c r="B986" s="1" t="s">
        <v>118</v>
      </c>
      <c r="C986" s="4">
        <v>20</v>
      </c>
      <c r="D986" s="8">
        <v>2.65</v>
      </c>
      <c r="E986" s="4">
        <v>12</v>
      </c>
      <c r="F986" s="8">
        <v>3.17</v>
      </c>
      <c r="G986" s="4">
        <v>8</v>
      </c>
      <c r="H986" s="8">
        <v>2.27</v>
      </c>
      <c r="I986" s="4">
        <v>0</v>
      </c>
    </row>
    <row r="987" spans="1:9" x14ac:dyDescent="0.2">
      <c r="A987" s="2">
        <v>5</v>
      </c>
      <c r="B987" s="1" t="s">
        <v>116</v>
      </c>
      <c r="C987" s="4">
        <v>17</v>
      </c>
      <c r="D987" s="8">
        <v>2.25</v>
      </c>
      <c r="E987" s="4">
        <v>3</v>
      </c>
      <c r="F987" s="8">
        <v>0.79</v>
      </c>
      <c r="G987" s="4">
        <v>14</v>
      </c>
      <c r="H987" s="8">
        <v>3.97</v>
      </c>
      <c r="I987" s="4">
        <v>0</v>
      </c>
    </row>
    <row r="988" spans="1:9" x14ac:dyDescent="0.2">
      <c r="A988" s="2">
        <v>5</v>
      </c>
      <c r="B988" s="1" t="s">
        <v>134</v>
      </c>
      <c r="C988" s="4">
        <v>17</v>
      </c>
      <c r="D988" s="8">
        <v>2.25</v>
      </c>
      <c r="E988" s="4">
        <v>16</v>
      </c>
      <c r="F988" s="8">
        <v>4.2300000000000004</v>
      </c>
      <c r="G988" s="4">
        <v>1</v>
      </c>
      <c r="H988" s="8">
        <v>0.28000000000000003</v>
      </c>
      <c r="I988" s="4">
        <v>0</v>
      </c>
    </row>
    <row r="989" spans="1:9" x14ac:dyDescent="0.2">
      <c r="A989" s="2">
        <v>7</v>
      </c>
      <c r="B989" s="1" t="s">
        <v>119</v>
      </c>
      <c r="C989" s="4">
        <v>16</v>
      </c>
      <c r="D989" s="8">
        <v>2.12</v>
      </c>
      <c r="E989" s="4">
        <v>4</v>
      </c>
      <c r="F989" s="8">
        <v>1.06</v>
      </c>
      <c r="G989" s="4">
        <v>12</v>
      </c>
      <c r="H989" s="8">
        <v>3.4</v>
      </c>
      <c r="I989" s="4">
        <v>0</v>
      </c>
    </row>
    <row r="990" spans="1:9" x14ac:dyDescent="0.2">
      <c r="A990" s="2">
        <v>7</v>
      </c>
      <c r="B990" s="1" t="s">
        <v>121</v>
      </c>
      <c r="C990" s="4">
        <v>16</v>
      </c>
      <c r="D990" s="8">
        <v>2.12</v>
      </c>
      <c r="E990" s="4">
        <v>10</v>
      </c>
      <c r="F990" s="8">
        <v>2.65</v>
      </c>
      <c r="G990" s="4">
        <v>6</v>
      </c>
      <c r="H990" s="8">
        <v>1.7</v>
      </c>
      <c r="I990" s="4">
        <v>0</v>
      </c>
    </row>
    <row r="991" spans="1:9" x14ac:dyDescent="0.2">
      <c r="A991" s="2">
        <v>7</v>
      </c>
      <c r="B991" s="1" t="s">
        <v>164</v>
      </c>
      <c r="C991" s="4">
        <v>16</v>
      </c>
      <c r="D991" s="8">
        <v>2.12</v>
      </c>
      <c r="E991" s="4">
        <v>0</v>
      </c>
      <c r="F991" s="8">
        <v>0</v>
      </c>
      <c r="G991" s="4">
        <v>0</v>
      </c>
      <c r="H991" s="8">
        <v>0</v>
      </c>
      <c r="I991" s="4">
        <v>0</v>
      </c>
    </row>
    <row r="992" spans="1:9" x14ac:dyDescent="0.2">
      <c r="A992" s="2">
        <v>10</v>
      </c>
      <c r="B992" s="1" t="s">
        <v>184</v>
      </c>
      <c r="C992" s="4">
        <v>15</v>
      </c>
      <c r="D992" s="8">
        <v>1.99</v>
      </c>
      <c r="E992" s="4">
        <v>8</v>
      </c>
      <c r="F992" s="8">
        <v>2.12</v>
      </c>
      <c r="G992" s="4">
        <v>7</v>
      </c>
      <c r="H992" s="8">
        <v>1.98</v>
      </c>
      <c r="I992" s="4">
        <v>0</v>
      </c>
    </row>
    <row r="993" spans="1:9" x14ac:dyDescent="0.2">
      <c r="A993" s="2">
        <v>11</v>
      </c>
      <c r="B993" s="1" t="s">
        <v>124</v>
      </c>
      <c r="C993" s="4">
        <v>14</v>
      </c>
      <c r="D993" s="8">
        <v>1.85</v>
      </c>
      <c r="E993" s="4">
        <v>7</v>
      </c>
      <c r="F993" s="8">
        <v>1.85</v>
      </c>
      <c r="G993" s="4">
        <v>6</v>
      </c>
      <c r="H993" s="8">
        <v>1.7</v>
      </c>
      <c r="I993" s="4">
        <v>0</v>
      </c>
    </row>
    <row r="994" spans="1:9" x14ac:dyDescent="0.2">
      <c r="A994" s="2">
        <v>11</v>
      </c>
      <c r="B994" s="1" t="s">
        <v>126</v>
      </c>
      <c r="C994" s="4">
        <v>14</v>
      </c>
      <c r="D994" s="8">
        <v>1.85</v>
      </c>
      <c r="E994" s="4">
        <v>10</v>
      </c>
      <c r="F994" s="8">
        <v>2.65</v>
      </c>
      <c r="G994" s="4">
        <v>4</v>
      </c>
      <c r="H994" s="8">
        <v>1.1299999999999999</v>
      </c>
      <c r="I994" s="4">
        <v>0</v>
      </c>
    </row>
    <row r="995" spans="1:9" x14ac:dyDescent="0.2">
      <c r="A995" s="2">
        <v>13</v>
      </c>
      <c r="B995" s="1" t="s">
        <v>120</v>
      </c>
      <c r="C995" s="4">
        <v>13</v>
      </c>
      <c r="D995" s="8">
        <v>1.72</v>
      </c>
      <c r="E995" s="4">
        <v>3</v>
      </c>
      <c r="F995" s="8">
        <v>0.79</v>
      </c>
      <c r="G995" s="4">
        <v>10</v>
      </c>
      <c r="H995" s="8">
        <v>2.83</v>
      </c>
      <c r="I995" s="4">
        <v>0</v>
      </c>
    </row>
    <row r="996" spans="1:9" x14ac:dyDescent="0.2">
      <c r="A996" s="2">
        <v>13</v>
      </c>
      <c r="B996" s="1" t="s">
        <v>165</v>
      </c>
      <c r="C996" s="4">
        <v>13</v>
      </c>
      <c r="D996" s="8">
        <v>1.72</v>
      </c>
      <c r="E996" s="4">
        <v>8</v>
      </c>
      <c r="F996" s="8">
        <v>2.12</v>
      </c>
      <c r="G996" s="4">
        <v>5</v>
      </c>
      <c r="H996" s="8">
        <v>1.42</v>
      </c>
      <c r="I996" s="4">
        <v>0</v>
      </c>
    </row>
    <row r="997" spans="1:9" x14ac:dyDescent="0.2">
      <c r="A997" s="2">
        <v>13</v>
      </c>
      <c r="B997" s="1" t="s">
        <v>122</v>
      </c>
      <c r="C997" s="4">
        <v>13</v>
      </c>
      <c r="D997" s="8">
        <v>1.72</v>
      </c>
      <c r="E997" s="4">
        <v>7</v>
      </c>
      <c r="F997" s="8">
        <v>1.85</v>
      </c>
      <c r="G997" s="4">
        <v>6</v>
      </c>
      <c r="H997" s="8">
        <v>1.7</v>
      </c>
      <c r="I997" s="4">
        <v>0</v>
      </c>
    </row>
    <row r="998" spans="1:9" x14ac:dyDescent="0.2">
      <c r="A998" s="2">
        <v>13</v>
      </c>
      <c r="B998" s="1" t="s">
        <v>125</v>
      </c>
      <c r="C998" s="4">
        <v>13</v>
      </c>
      <c r="D998" s="8">
        <v>1.72</v>
      </c>
      <c r="E998" s="4">
        <v>0</v>
      </c>
      <c r="F998" s="8">
        <v>0</v>
      </c>
      <c r="G998" s="4">
        <v>13</v>
      </c>
      <c r="H998" s="8">
        <v>3.68</v>
      </c>
      <c r="I998" s="4">
        <v>0</v>
      </c>
    </row>
    <row r="999" spans="1:9" x14ac:dyDescent="0.2">
      <c r="A999" s="2">
        <v>13</v>
      </c>
      <c r="B999" s="1" t="s">
        <v>129</v>
      </c>
      <c r="C999" s="4">
        <v>13</v>
      </c>
      <c r="D999" s="8">
        <v>1.72</v>
      </c>
      <c r="E999" s="4">
        <v>13</v>
      </c>
      <c r="F999" s="8">
        <v>3.44</v>
      </c>
      <c r="G999" s="4">
        <v>0</v>
      </c>
      <c r="H999" s="8">
        <v>0</v>
      </c>
      <c r="I999" s="4">
        <v>0</v>
      </c>
    </row>
    <row r="1000" spans="1:9" x14ac:dyDescent="0.2">
      <c r="A1000" s="2">
        <v>18</v>
      </c>
      <c r="B1000" s="1" t="s">
        <v>136</v>
      </c>
      <c r="C1000" s="4">
        <v>11</v>
      </c>
      <c r="D1000" s="8">
        <v>1.46</v>
      </c>
      <c r="E1000" s="4">
        <v>9</v>
      </c>
      <c r="F1000" s="8">
        <v>2.38</v>
      </c>
      <c r="G1000" s="4">
        <v>2</v>
      </c>
      <c r="H1000" s="8">
        <v>0.56999999999999995</v>
      </c>
      <c r="I1000" s="4">
        <v>0</v>
      </c>
    </row>
    <row r="1001" spans="1:9" x14ac:dyDescent="0.2">
      <c r="A1001" s="2">
        <v>18</v>
      </c>
      <c r="B1001" s="1" t="s">
        <v>123</v>
      </c>
      <c r="C1001" s="4">
        <v>11</v>
      </c>
      <c r="D1001" s="8">
        <v>1.46</v>
      </c>
      <c r="E1001" s="4">
        <v>7</v>
      </c>
      <c r="F1001" s="8">
        <v>1.85</v>
      </c>
      <c r="G1001" s="4">
        <v>4</v>
      </c>
      <c r="H1001" s="8">
        <v>1.1299999999999999</v>
      </c>
      <c r="I1001" s="4">
        <v>0</v>
      </c>
    </row>
    <row r="1002" spans="1:9" x14ac:dyDescent="0.2">
      <c r="A1002" s="2">
        <v>20</v>
      </c>
      <c r="B1002" s="1" t="s">
        <v>133</v>
      </c>
      <c r="C1002" s="4">
        <v>10</v>
      </c>
      <c r="D1002" s="8">
        <v>1.32</v>
      </c>
      <c r="E1002" s="4">
        <v>9</v>
      </c>
      <c r="F1002" s="8">
        <v>2.38</v>
      </c>
      <c r="G1002" s="4">
        <v>1</v>
      </c>
      <c r="H1002" s="8">
        <v>0.28000000000000003</v>
      </c>
      <c r="I1002" s="4">
        <v>0</v>
      </c>
    </row>
    <row r="1003" spans="1:9" x14ac:dyDescent="0.2">
      <c r="A1003" s="1"/>
      <c r="C1003" s="4"/>
      <c r="D1003" s="8"/>
      <c r="E1003" s="4"/>
      <c r="F1003" s="8"/>
      <c r="G1003" s="4"/>
      <c r="H1003" s="8"/>
      <c r="I1003" s="4"/>
    </row>
    <row r="1004" spans="1:9" x14ac:dyDescent="0.2">
      <c r="A1004" s="1" t="s">
        <v>44</v>
      </c>
      <c r="C1004" s="4"/>
      <c r="D1004" s="8"/>
      <c r="E1004" s="4"/>
      <c r="F1004" s="8"/>
      <c r="G1004" s="4"/>
      <c r="H1004" s="8"/>
      <c r="I1004" s="4"/>
    </row>
    <row r="1005" spans="1:9" x14ac:dyDescent="0.2">
      <c r="A1005" s="2">
        <v>1</v>
      </c>
      <c r="B1005" s="1" t="s">
        <v>121</v>
      </c>
      <c r="C1005" s="4">
        <v>25</v>
      </c>
      <c r="D1005" s="8">
        <v>8.4700000000000006</v>
      </c>
      <c r="E1005" s="4">
        <v>20</v>
      </c>
      <c r="F1005" s="8">
        <v>9.6199999999999992</v>
      </c>
      <c r="G1005" s="4">
        <v>3</v>
      </c>
      <c r="H1005" s="8">
        <v>3.85</v>
      </c>
      <c r="I1005" s="4">
        <v>2</v>
      </c>
    </row>
    <row r="1006" spans="1:9" x14ac:dyDescent="0.2">
      <c r="A1006" s="2">
        <v>2</v>
      </c>
      <c r="B1006" s="1" t="s">
        <v>157</v>
      </c>
      <c r="C1006" s="4">
        <v>23</v>
      </c>
      <c r="D1006" s="8">
        <v>7.8</v>
      </c>
      <c r="E1006" s="4">
        <v>12</v>
      </c>
      <c r="F1006" s="8">
        <v>5.77</v>
      </c>
      <c r="G1006" s="4">
        <v>8</v>
      </c>
      <c r="H1006" s="8">
        <v>10.26</v>
      </c>
      <c r="I1006" s="4">
        <v>3</v>
      </c>
    </row>
    <row r="1007" spans="1:9" x14ac:dyDescent="0.2">
      <c r="A1007" s="2">
        <v>3</v>
      </c>
      <c r="B1007" s="1" t="s">
        <v>160</v>
      </c>
      <c r="C1007" s="4">
        <v>16</v>
      </c>
      <c r="D1007" s="8">
        <v>5.42</v>
      </c>
      <c r="E1007" s="4">
        <v>14</v>
      </c>
      <c r="F1007" s="8">
        <v>6.73</v>
      </c>
      <c r="G1007" s="4">
        <v>2</v>
      </c>
      <c r="H1007" s="8">
        <v>2.56</v>
      </c>
      <c r="I1007" s="4">
        <v>0</v>
      </c>
    </row>
    <row r="1008" spans="1:9" x14ac:dyDescent="0.2">
      <c r="A1008" s="2">
        <v>4</v>
      </c>
      <c r="B1008" s="1" t="s">
        <v>131</v>
      </c>
      <c r="C1008" s="4">
        <v>12</v>
      </c>
      <c r="D1008" s="8">
        <v>4.07</v>
      </c>
      <c r="E1008" s="4">
        <v>12</v>
      </c>
      <c r="F1008" s="8">
        <v>5.77</v>
      </c>
      <c r="G1008" s="4">
        <v>0</v>
      </c>
      <c r="H1008" s="8">
        <v>0</v>
      </c>
      <c r="I1008" s="4">
        <v>0</v>
      </c>
    </row>
    <row r="1009" spans="1:9" x14ac:dyDescent="0.2">
      <c r="A1009" s="2">
        <v>5</v>
      </c>
      <c r="B1009" s="1" t="s">
        <v>159</v>
      </c>
      <c r="C1009" s="4">
        <v>10</v>
      </c>
      <c r="D1009" s="8">
        <v>3.39</v>
      </c>
      <c r="E1009" s="4">
        <v>4</v>
      </c>
      <c r="F1009" s="8">
        <v>1.92</v>
      </c>
      <c r="G1009" s="4">
        <v>6</v>
      </c>
      <c r="H1009" s="8">
        <v>7.69</v>
      </c>
      <c r="I1009" s="4">
        <v>0</v>
      </c>
    </row>
    <row r="1010" spans="1:9" x14ac:dyDescent="0.2">
      <c r="A1010" s="2">
        <v>6</v>
      </c>
      <c r="B1010" s="1" t="s">
        <v>118</v>
      </c>
      <c r="C1010" s="4">
        <v>9</v>
      </c>
      <c r="D1010" s="8">
        <v>3.05</v>
      </c>
      <c r="E1010" s="4">
        <v>6</v>
      </c>
      <c r="F1010" s="8">
        <v>2.88</v>
      </c>
      <c r="G1010" s="4">
        <v>3</v>
      </c>
      <c r="H1010" s="8">
        <v>3.85</v>
      </c>
      <c r="I1010" s="4">
        <v>0</v>
      </c>
    </row>
    <row r="1011" spans="1:9" x14ac:dyDescent="0.2">
      <c r="A1011" s="2">
        <v>6</v>
      </c>
      <c r="B1011" s="1" t="s">
        <v>132</v>
      </c>
      <c r="C1011" s="4">
        <v>9</v>
      </c>
      <c r="D1011" s="8">
        <v>3.05</v>
      </c>
      <c r="E1011" s="4">
        <v>9</v>
      </c>
      <c r="F1011" s="8">
        <v>4.33</v>
      </c>
      <c r="G1011" s="4">
        <v>0</v>
      </c>
      <c r="H1011" s="8">
        <v>0</v>
      </c>
      <c r="I1011" s="4">
        <v>0</v>
      </c>
    </row>
    <row r="1012" spans="1:9" x14ac:dyDescent="0.2">
      <c r="A1012" s="2">
        <v>8</v>
      </c>
      <c r="B1012" s="1" t="s">
        <v>116</v>
      </c>
      <c r="C1012" s="4">
        <v>8</v>
      </c>
      <c r="D1012" s="8">
        <v>2.71</v>
      </c>
      <c r="E1012" s="4">
        <v>1</v>
      </c>
      <c r="F1012" s="8">
        <v>0.48</v>
      </c>
      <c r="G1012" s="4">
        <v>7</v>
      </c>
      <c r="H1012" s="8">
        <v>8.9700000000000006</v>
      </c>
      <c r="I1012" s="4">
        <v>0</v>
      </c>
    </row>
    <row r="1013" spans="1:9" x14ac:dyDescent="0.2">
      <c r="A1013" s="2">
        <v>8</v>
      </c>
      <c r="B1013" s="1" t="s">
        <v>119</v>
      </c>
      <c r="C1013" s="4">
        <v>8</v>
      </c>
      <c r="D1013" s="8">
        <v>2.71</v>
      </c>
      <c r="E1013" s="4">
        <v>3</v>
      </c>
      <c r="F1013" s="8">
        <v>1.44</v>
      </c>
      <c r="G1013" s="4">
        <v>5</v>
      </c>
      <c r="H1013" s="8">
        <v>6.41</v>
      </c>
      <c r="I1013" s="4">
        <v>0</v>
      </c>
    </row>
    <row r="1014" spans="1:9" x14ac:dyDescent="0.2">
      <c r="A1014" s="2">
        <v>8</v>
      </c>
      <c r="B1014" s="1" t="s">
        <v>185</v>
      </c>
      <c r="C1014" s="4">
        <v>8</v>
      </c>
      <c r="D1014" s="8">
        <v>2.71</v>
      </c>
      <c r="E1014" s="4">
        <v>7</v>
      </c>
      <c r="F1014" s="8">
        <v>3.37</v>
      </c>
      <c r="G1014" s="4">
        <v>1</v>
      </c>
      <c r="H1014" s="8">
        <v>1.28</v>
      </c>
      <c r="I1014" s="4">
        <v>0</v>
      </c>
    </row>
    <row r="1015" spans="1:9" x14ac:dyDescent="0.2">
      <c r="A1015" s="2">
        <v>8</v>
      </c>
      <c r="B1015" s="1" t="s">
        <v>136</v>
      </c>
      <c r="C1015" s="4">
        <v>8</v>
      </c>
      <c r="D1015" s="8">
        <v>2.71</v>
      </c>
      <c r="E1015" s="4">
        <v>7</v>
      </c>
      <c r="F1015" s="8">
        <v>3.37</v>
      </c>
      <c r="G1015" s="4">
        <v>1</v>
      </c>
      <c r="H1015" s="8">
        <v>1.28</v>
      </c>
      <c r="I1015" s="4">
        <v>0</v>
      </c>
    </row>
    <row r="1016" spans="1:9" x14ac:dyDescent="0.2">
      <c r="A1016" s="2">
        <v>12</v>
      </c>
      <c r="B1016" s="1" t="s">
        <v>161</v>
      </c>
      <c r="C1016" s="4">
        <v>7</v>
      </c>
      <c r="D1016" s="8">
        <v>2.37</v>
      </c>
      <c r="E1016" s="4">
        <v>6</v>
      </c>
      <c r="F1016" s="8">
        <v>2.88</v>
      </c>
      <c r="G1016" s="4">
        <v>1</v>
      </c>
      <c r="H1016" s="8">
        <v>1.28</v>
      </c>
      <c r="I1016" s="4">
        <v>0</v>
      </c>
    </row>
    <row r="1017" spans="1:9" x14ac:dyDescent="0.2">
      <c r="A1017" s="2">
        <v>12</v>
      </c>
      <c r="B1017" s="1" t="s">
        <v>129</v>
      </c>
      <c r="C1017" s="4">
        <v>7</v>
      </c>
      <c r="D1017" s="8">
        <v>2.37</v>
      </c>
      <c r="E1017" s="4">
        <v>7</v>
      </c>
      <c r="F1017" s="8">
        <v>3.37</v>
      </c>
      <c r="G1017" s="4">
        <v>0</v>
      </c>
      <c r="H1017" s="8">
        <v>0</v>
      </c>
      <c r="I1017" s="4">
        <v>0</v>
      </c>
    </row>
    <row r="1018" spans="1:9" x14ac:dyDescent="0.2">
      <c r="A1018" s="2">
        <v>14</v>
      </c>
      <c r="B1018" s="1" t="s">
        <v>128</v>
      </c>
      <c r="C1018" s="4">
        <v>6</v>
      </c>
      <c r="D1018" s="8">
        <v>2.0299999999999998</v>
      </c>
      <c r="E1018" s="4">
        <v>6</v>
      </c>
      <c r="F1018" s="8">
        <v>2.88</v>
      </c>
      <c r="G1018" s="4">
        <v>0</v>
      </c>
      <c r="H1018" s="8">
        <v>0</v>
      </c>
      <c r="I1018" s="4">
        <v>0</v>
      </c>
    </row>
    <row r="1019" spans="1:9" x14ac:dyDescent="0.2">
      <c r="A1019" s="2">
        <v>14</v>
      </c>
      <c r="B1019" s="1" t="s">
        <v>139</v>
      </c>
      <c r="C1019" s="4">
        <v>6</v>
      </c>
      <c r="D1019" s="8">
        <v>2.0299999999999998</v>
      </c>
      <c r="E1019" s="4">
        <v>5</v>
      </c>
      <c r="F1019" s="8">
        <v>2.4</v>
      </c>
      <c r="G1019" s="4">
        <v>1</v>
      </c>
      <c r="H1019" s="8">
        <v>1.28</v>
      </c>
      <c r="I1019" s="4">
        <v>0</v>
      </c>
    </row>
    <row r="1020" spans="1:9" x14ac:dyDescent="0.2">
      <c r="A1020" s="2">
        <v>16</v>
      </c>
      <c r="B1020" s="1" t="s">
        <v>137</v>
      </c>
      <c r="C1020" s="4">
        <v>5</v>
      </c>
      <c r="D1020" s="8">
        <v>1.69</v>
      </c>
      <c r="E1020" s="4">
        <v>5</v>
      </c>
      <c r="F1020" s="8">
        <v>2.4</v>
      </c>
      <c r="G1020" s="4">
        <v>0</v>
      </c>
      <c r="H1020" s="8">
        <v>0</v>
      </c>
      <c r="I1020" s="4">
        <v>0</v>
      </c>
    </row>
    <row r="1021" spans="1:9" x14ac:dyDescent="0.2">
      <c r="A1021" s="2">
        <v>16</v>
      </c>
      <c r="B1021" s="1" t="s">
        <v>122</v>
      </c>
      <c r="C1021" s="4">
        <v>5</v>
      </c>
      <c r="D1021" s="8">
        <v>1.69</v>
      </c>
      <c r="E1021" s="4">
        <v>4</v>
      </c>
      <c r="F1021" s="8">
        <v>1.92</v>
      </c>
      <c r="G1021" s="4">
        <v>1</v>
      </c>
      <c r="H1021" s="8">
        <v>1.28</v>
      </c>
      <c r="I1021" s="4">
        <v>0</v>
      </c>
    </row>
    <row r="1022" spans="1:9" x14ac:dyDescent="0.2">
      <c r="A1022" s="2">
        <v>16</v>
      </c>
      <c r="B1022" s="1" t="s">
        <v>134</v>
      </c>
      <c r="C1022" s="4">
        <v>5</v>
      </c>
      <c r="D1022" s="8">
        <v>1.69</v>
      </c>
      <c r="E1022" s="4">
        <v>5</v>
      </c>
      <c r="F1022" s="8">
        <v>2.4</v>
      </c>
      <c r="G1022" s="4">
        <v>0</v>
      </c>
      <c r="H1022" s="8">
        <v>0</v>
      </c>
      <c r="I1022" s="4">
        <v>0</v>
      </c>
    </row>
    <row r="1023" spans="1:9" x14ac:dyDescent="0.2">
      <c r="A1023" s="2">
        <v>19</v>
      </c>
      <c r="B1023" s="1" t="s">
        <v>186</v>
      </c>
      <c r="C1023" s="4">
        <v>4</v>
      </c>
      <c r="D1023" s="8">
        <v>1.36</v>
      </c>
      <c r="E1023" s="4">
        <v>3</v>
      </c>
      <c r="F1023" s="8">
        <v>1.44</v>
      </c>
      <c r="G1023" s="4">
        <v>1</v>
      </c>
      <c r="H1023" s="8">
        <v>1.28</v>
      </c>
      <c r="I1023" s="4">
        <v>0</v>
      </c>
    </row>
    <row r="1024" spans="1:9" x14ac:dyDescent="0.2">
      <c r="A1024" s="2">
        <v>19</v>
      </c>
      <c r="B1024" s="1" t="s">
        <v>169</v>
      </c>
      <c r="C1024" s="4">
        <v>4</v>
      </c>
      <c r="D1024" s="8">
        <v>1.36</v>
      </c>
      <c r="E1024" s="4">
        <v>4</v>
      </c>
      <c r="F1024" s="8">
        <v>1.92</v>
      </c>
      <c r="G1024" s="4">
        <v>0</v>
      </c>
      <c r="H1024" s="8">
        <v>0</v>
      </c>
      <c r="I1024" s="4">
        <v>0</v>
      </c>
    </row>
    <row r="1025" spans="1:9" x14ac:dyDescent="0.2">
      <c r="A1025" s="2">
        <v>19</v>
      </c>
      <c r="B1025" s="1" t="s">
        <v>140</v>
      </c>
      <c r="C1025" s="4">
        <v>4</v>
      </c>
      <c r="D1025" s="8">
        <v>1.36</v>
      </c>
      <c r="E1025" s="4">
        <v>4</v>
      </c>
      <c r="F1025" s="8">
        <v>1.92</v>
      </c>
      <c r="G1025" s="4">
        <v>0</v>
      </c>
      <c r="H1025" s="8">
        <v>0</v>
      </c>
      <c r="I1025" s="4">
        <v>0</v>
      </c>
    </row>
    <row r="1026" spans="1:9" x14ac:dyDescent="0.2">
      <c r="A1026" s="2">
        <v>19</v>
      </c>
      <c r="B1026" s="1" t="s">
        <v>187</v>
      </c>
      <c r="C1026" s="4">
        <v>4</v>
      </c>
      <c r="D1026" s="8">
        <v>1.36</v>
      </c>
      <c r="E1026" s="4">
        <v>3</v>
      </c>
      <c r="F1026" s="8">
        <v>1.44</v>
      </c>
      <c r="G1026" s="4">
        <v>1</v>
      </c>
      <c r="H1026" s="8">
        <v>1.28</v>
      </c>
      <c r="I1026" s="4">
        <v>0</v>
      </c>
    </row>
    <row r="1027" spans="1:9" x14ac:dyDescent="0.2">
      <c r="A1027" s="1"/>
      <c r="C1027" s="4"/>
      <c r="D1027" s="8"/>
      <c r="E1027" s="4"/>
      <c r="F1027" s="8"/>
      <c r="G1027" s="4"/>
      <c r="H1027" s="8"/>
      <c r="I1027" s="4"/>
    </row>
    <row r="1028" spans="1:9" x14ac:dyDescent="0.2">
      <c r="A1028" s="1" t="s">
        <v>45</v>
      </c>
      <c r="C1028" s="4"/>
      <c r="D1028" s="8"/>
      <c r="E1028" s="4"/>
      <c r="F1028" s="8"/>
      <c r="G1028" s="4"/>
      <c r="H1028" s="8"/>
      <c r="I1028" s="4"/>
    </row>
    <row r="1029" spans="1:9" x14ac:dyDescent="0.2">
      <c r="A1029" s="2">
        <v>1</v>
      </c>
      <c r="B1029" s="1" t="s">
        <v>132</v>
      </c>
      <c r="C1029" s="4">
        <v>24</v>
      </c>
      <c r="D1029" s="8">
        <v>5.08</v>
      </c>
      <c r="E1029" s="4">
        <v>24</v>
      </c>
      <c r="F1029" s="8">
        <v>8.14</v>
      </c>
      <c r="G1029" s="4">
        <v>0</v>
      </c>
      <c r="H1029" s="8">
        <v>0</v>
      </c>
      <c r="I1029" s="4">
        <v>0</v>
      </c>
    </row>
    <row r="1030" spans="1:9" x14ac:dyDescent="0.2">
      <c r="A1030" s="2">
        <v>2</v>
      </c>
      <c r="B1030" s="1" t="s">
        <v>118</v>
      </c>
      <c r="C1030" s="4">
        <v>23</v>
      </c>
      <c r="D1030" s="8">
        <v>4.87</v>
      </c>
      <c r="E1030" s="4">
        <v>16</v>
      </c>
      <c r="F1030" s="8">
        <v>5.42</v>
      </c>
      <c r="G1030" s="4">
        <v>7</v>
      </c>
      <c r="H1030" s="8">
        <v>4.1399999999999997</v>
      </c>
      <c r="I1030" s="4">
        <v>0</v>
      </c>
    </row>
    <row r="1031" spans="1:9" x14ac:dyDescent="0.2">
      <c r="A1031" s="2">
        <v>3</v>
      </c>
      <c r="B1031" s="1" t="s">
        <v>121</v>
      </c>
      <c r="C1031" s="4">
        <v>18</v>
      </c>
      <c r="D1031" s="8">
        <v>3.81</v>
      </c>
      <c r="E1031" s="4">
        <v>13</v>
      </c>
      <c r="F1031" s="8">
        <v>4.41</v>
      </c>
      <c r="G1031" s="4">
        <v>5</v>
      </c>
      <c r="H1031" s="8">
        <v>2.96</v>
      </c>
      <c r="I1031" s="4">
        <v>0</v>
      </c>
    </row>
    <row r="1032" spans="1:9" x14ac:dyDescent="0.2">
      <c r="A1032" s="2">
        <v>3</v>
      </c>
      <c r="B1032" s="1" t="s">
        <v>131</v>
      </c>
      <c r="C1032" s="4">
        <v>18</v>
      </c>
      <c r="D1032" s="8">
        <v>3.81</v>
      </c>
      <c r="E1032" s="4">
        <v>18</v>
      </c>
      <c r="F1032" s="8">
        <v>6.1</v>
      </c>
      <c r="G1032" s="4">
        <v>0</v>
      </c>
      <c r="H1032" s="8">
        <v>0</v>
      </c>
      <c r="I1032" s="4">
        <v>0</v>
      </c>
    </row>
    <row r="1033" spans="1:9" x14ac:dyDescent="0.2">
      <c r="A1033" s="2">
        <v>5</v>
      </c>
      <c r="B1033" s="1" t="s">
        <v>116</v>
      </c>
      <c r="C1033" s="4">
        <v>14</v>
      </c>
      <c r="D1033" s="8">
        <v>2.97</v>
      </c>
      <c r="E1033" s="4">
        <v>2</v>
      </c>
      <c r="F1033" s="8">
        <v>0.68</v>
      </c>
      <c r="G1033" s="4">
        <v>12</v>
      </c>
      <c r="H1033" s="8">
        <v>7.1</v>
      </c>
      <c r="I1033" s="4">
        <v>0</v>
      </c>
    </row>
    <row r="1034" spans="1:9" x14ac:dyDescent="0.2">
      <c r="A1034" s="2">
        <v>5</v>
      </c>
      <c r="B1034" s="1" t="s">
        <v>133</v>
      </c>
      <c r="C1034" s="4">
        <v>14</v>
      </c>
      <c r="D1034" s="8">
        <v>2.97</v>
      </c>
      <c r="E1034" s="4">
        <v>14</v>
      </c>
      <c r="F1034" s="8">
        <v>4.75</v>
      </c>
      <c r="G1034" s="4">
        <v>0</v>
      </c>
      <c r="H1034" s="8">
        <v>0</v>
      </c>
      <c r="I1034" s="4">
        <v>0</v>
      </c>
    </row>
    <row r="1035" spans="1:9" x14ac:dyDescent="0.2">
      <c r="A1035" s="2">
        <v>7</v>
      </c>
      <c r="B1035" s="1" t="s">
        <v>134</v>
      </c>
      <c r="C1035" s="4">
        <v>13</v>
      </c>
      <c r="D1035" s="8">
        <v>2.75</v>
      </c>
      <c r="E1035" s="4">
        <v>13</v>
      </c>
      <c r="F1035" s="8">
        <v>4.41</v>
      </c>
      <c r="G1035" s="4">
        <v>0</v>
      </c>
      <c r="H1035" s="8">
        <v>0</v>
      </c>
      <c r="I1035" s="4">
        <v>0</v>
      </c>
    </row>
    <row r="1036" spans="1:9" x14ac:dyDescent="0.2">
      <c r="A1036" s="2">
        <v>8</v>
      </c>
      <c r="B1036" s="1" t="s">
        <v>119</v>
      </c>
      <c r="C1036" s="4">
        <v>10</v>
      </c>
      <c r="D1036" s="8">
        <v>2.12</v>
      </c>
      <c r="E1036" s="4">
        <v>5</v>
      </c>
      <c r="F1036" s="8">
        <v>1.69</v>
      </c>
      <c r="G1036" s="4">
        <v>5</v>
      </c>
      <c r="H1036" s="8">
        <v>2.96</v>
      </c>
      <c r="I1036" s="4">
        <v>0</v>
      </c>
    </row>
    <row r="1037" spans="1:9" x14ac:dyDescent="0.2">
      <c r="A1037" s="2">
        <v>8</v>
      </c>
      <c r="B1037" s="1" t="s">
        <v>136</v>
      </c>
      <c r="C1037" s="4">
        <v>10</v>
      </c>
      <c r="D1037" s="8">
        <v>2.12</v>
      </c>
      <c r="E1037" s="4">
        <v>9</v>
      </c>
      <c r="F1037" s="8">
        <v>3.05</v>
      </c>
      <c r="G1037" s="4">
        <v>1</v>
      </c>
      <c r="H1037" s="8">
        <v>0.59</v>
      </c>
      <c r="I1037" s="4">
        <v>0</v>
      </c>
    </row>
    <row r="1038" spans="1:9" x14ac:dyDescent="0.2">
      <c r="A1038" s="2">
        <v>8</v>
      </c>
      <c r="B1038" s="1" t="s">
        <v>126</v>
      </c>
      <c r="C1038" s="4">
        <v>10</v>
      </c>
      <c r="D1038" s="8">
        <v>2.12</v>
      </c>
      <c r="E1038" s="4">
        <v>5</v>
      </c>
      <c r="F1038" s="8">
        <v>1.69</v>
      </c>
      <c r="G1038" s="4">
        <v>4</v>
      </c>
      <c r="H1038" s="8">
        <v>2.37</v>
      </c>
      <c r="I1038" s="4">
        <v>0</v>
      </c>
    </row>
    <row r="1039" spans="1:9" x14ac:dyDescent="0.2">
      <c r="A1039" s="2">
        <v>11</v>
      </c>
      <c r="B1039" s="1" t="s">
        <v>117</v>
      </c>
      <c r="C1039" s="4">
        <v>9</v>
      </c>
      <c r="D1039" s="8">
        <v>1.91</v>
      </c>
      <c r="E1039" s="4">
        <v>1</v>
      </c>
      <c r="F1039" s="8">
        <v>0.34</v>
      </c>
      <c r="G1039" s="4">
        <v>8</v>
      </c>
      <c r="H1039" s="8">
        <v>4.7300000000000004</v>
      </c>
      <c r="I1039" s="4">
        <v>0</v>
      </c>
    </row>
    <row r="1040" spans="1:9" x14ac:dyDescent="0.2">
      <c r="A1040" s="2">
        <v>11</v>
      </c>
      <c r="B1040" s="1" t="s">
        <v>157</v>
      </c>
      <c r="C1040" s="4">
        <v>9</v>
      </c>
      <c r="D1040" s="8">
        <v>1.91</v>
      </c>
      <c r="E1040" s="4">
        <v>4</v>
      </c>
      <c r="F1040" s="8">
        <v>1.36</v>
      </c>
      <c r="G1040" s="4">
        <v>5</v>
      </c>
      <c r="H1040" s="8">
        <v>2.96</v>
      </c>
      <c r="I1040" s="4">
        <v>0</v>
      </c>
    </row>
    <row r="1041" spans="1:9" x14ac:dyDescent="0.2">
      <c r="A1041" s="2">
        <v>13</v>
      </c>
      <c r="B1041" s="1" t="s">
        <v>179</v>
      </c>
      <c r="C1041" s="4">
        <v>8</v>
      </c>
      <c r="D1041" s="8">
        <v>1.69</v>
      </c>
      <c r="E1041" s="4">
        <v>4</v>
      </c>
      <c r="F1041" s="8">
        <v>1.36</v>
      </c>
      <c r="G1041" s="4">
        <v>4</v>
      </c>
      <c r="H1041" s="8">
        <v>2.37</v>
      </c>
      <c r="I1041" s="4">
        <v>0</v>
      </c>
    </row>
    <row r="1042" spans="1:9" x14ac:dyDescent="0.2">
      <c r="A1042" s="2">
        <v>13</v>
      </c>
      <c r="B1042" s="1" t="s">
        <v>159</v>
      </c>
      <c r="C1042" s="4">
        <v>8</v>
      </c>
      <c r="D1042" s="8">
        <v>1.69</v>
      </c>
      <c r="E1042" s="4">
        <v>3</v>
      </c>
      <c r="F1042" s="8">
        <v>1.02</v>
      </c>
      <c r="G1042" s="4">
        <v>5</v>
      </c>
      <c r="H1042" s="8">
        <v>2.96</v>
      </c>
      <c r="I1042" s="4">
        <v>0</v>
      </c>
    </row>
    <row r="1043" spans="1:9" x14ac:dyDescent="0.2">
      <c r="A1043" s="2">
        <v>13</v>
      </c>
      <c r="B1043" s="1" t="s">
        <v>127</v>
      </c>
      <c r="C1043" s="4">
        <v>8</v>
      </c>
      <c r="D1043" s="8">
        <v>1.69</v>
      </c>
      <c r="E1043" s="4">
        <v>4</v>
      </c>
      <c r="F1043" s="8">
        <v>1.36</v>
      </c>
      <c r="G1043" s="4">
        <v>4</v>
      </c>
      <c r="H1043" s="8">
        <v>2.37</v>
      </c>
      <c r="I1043" s="4">
        <v>0</v>
      </c>
    </row>
    <row r="1044" spans="1:9" x14ac:dyDescent="0.2">
      <c r="A1044" s="2">
        <v>13</v>
      </c>
      <c r="B1044" s="1" t="s">
        <v>129</v>
      </c>
      <c r="C1044" s="4">
        <v>8</v>
      </c>
      <c r="D1044" s="8">
        <v>1.69</v>
      </c>
      <c r="E1044" s="4">
        <v>8</v>
      </c>
      <c r="F1044" s="8">
        <v>2.71</v>
      </c>
      <c r="G1044" s="4">
        <v>0</v>
      </c>
      <c r="H1044" s="8">
        <v>0</v>
      </c>
      <c r="I1044" s="4">
        <v>0</v>
      </c>
    </row>
    <row r="1045" spans="1:9" x14ac:dyDescent="0.2">
      <c r="A1045" s="2">
        <v>17</v>
      </c>
      <c r="B1045" s="1" t="s">
        <v>120</v>
      </c>
      <c r="C1045" s="4">
        <v>7</v>
      </c>
      <c r="D1045" s="8">
        <v>1.48</v>
      </c>
      <c r="E1045" s="4">
        <v>4</v>
      </c>
      <c r="F1045" s="8">
        <v>1.36</v>
      </c>
      <c r="G1045" s="4">
        <v>3</v>
      </c>
      <c r="H1045" s="8">
        <v>1.78</v>
      </c>
      <c r="I1045" s="4">
        <v>0</v>
      </c>
    </row>
    <row r="1046" spans="1:9" x14ac:dyDescent="0.2">
      <c r="A1046" s="2">
        <v>17</v>
      </c>
      <c r="B1046" s="1" t="s">
        <v>122</v>
      </c>
      <c r="C1046" s="4">
        <v>7</v>
      </c>
      <c r="D1046" s="8">
        <v>1.48</v>
      </c>
      <c r="E1046" s="4">
        <v>2</v>
      </c>
      <c r="F1046" s="8">
        <v>0.68</v>
      </c>
      <c r="G1046" s="4">
        <v>5</v>
      </c>
      <c r="H1046" s="8">
        <v>2.96</v>
      </c>
      <c r="I1046" s="4">
        <v>0</v>
      </c>
    </row>
    <row r="1047" spans="1:9" x14ac:dyDescent="0.2">
      <c r="A1047" s="2">
        <v>17</v>
      </c>
      <c r="B1047" s="1" t="s">
        <v>124</v>
      </c>
      <c r="C1047" s="4">
        <v>7</v>
      </c>
      <c r="D1047" s="8">
        <v>1.48</v>
      </c>
      <c r="E1047" s="4">
        <v>6</v>
      </c>
      <c r="F1047" s="8">
        <v>2.0299999999999998</v>
      </c>
      <c r="G1047" s="4">
        <v>1</v>
      </c>
      <c r="H1047" s="8">
        <v>0.59</v>
      </c>
      <c r="I1047" s="4">
        <v>0</v>
      </c>
    </row>
    <row r="1048" spans="1:9" x14ac:dyDescent="0.2">
      <c r="A1048" s="2">
        <v>20</v>
      </c>
      <c r="B1048" s="1" t="s">
        <v>149</v>
      </c>
      <c r="C1048" s="4">
        <v>6</v>
      </c>
      <c r="D1048" s="8">
        <v>1.27</v>
      </c>
      <c r="E1048" s="4">
        <v>3</v>
      </c>
      <c r="F1048" s="8">
        <v>1.02</v>
      </c>
      <c r="G1048" s="4">
        <v>3</v>
      </c>
      <c r="H1048" s="8">
        <v>1.78</v>
      </c>
      <c r="I1048" s="4">
        <v>0</v>
      </c>
    </row>
    <row r="1049" spans="1:9" x14ac:dyDescent="0.2">
      <c r="A1049" s="2">
        <v>20</v>
      </c>
      <c r="B1049" s="1" t="s">
        <v>156</v>
      </c>
      <c r="C1049" s="4">
        <v>6</v>
      </c>
      <c r="D1049" s="8">
        <v>1.27</v>
      </c>
      <c r="E1049" s="4">
        <v>3</v>
      </c>
      <c r="F1049" s="8">
        <v>1.02</v>
      </c>
      <c r="G1049" s="4">
        <v>3</v>
      </c>
      <c r="H1049" s="8">
        <v>1.78</v>
      </c>
      <c r="I1049" s="4">
        <v>0</v>
      </c>
    </row>
    <row r="1050" spans="1:9" x14ac:dyDescent="0.2">
      <c r="A1050" s="2">
        <v>20</v>
      </c>
      <c r="B1050" s="1" t="s">
        <v>144</v>
      </c>
      <c r="C1050" s="4">
        <v>6</v>
      </c>
      <c r="D1050" s="8">
        <v>1.27</v>
      </c>
      <c r="E1050" s="4">
        <v>2</v>
      </c>
      <c r="F1050" s="8">
        <v>0.68</v>
      </c>
      <c r="G1050" s="4">
        <v>4</v>
      </c>
      <c r="H1050" s="8">
        <v>2.37</v>
      </c>
      <c r="I1050" s="4">
        <v>0</v>
      </c>
    </row>
    <row r="1051" spans="1:9" x14ac:dyDescent="0.2">
      <c r="A1051" s="2">
        <v>20</v>
      </c>
      <c r="B1051" s="1" t="s">
        <v>123</v>
      </c>
      <c r="C1051" s="4">
        <v>6</v>
      </c>
      <c r="D1051" s="8">
        <v>1.27</v>
      </c>
      <c r="E1051" s="4">
        <v>4</v>
      </c>
      <c r="F1051" s="8">
        <v>1.36</v>
      </c>
      <c r="G1051" s="4">
        <v>2</v>
      </c>
      <c r="H1051" s="8">
        <v>1.18</v>
      </c>
      <c r="I1051" s="4">
        <v>0</v>
      </c>
    </row>
    <row r="1052" spans="1:9" x14ac:dyDescent="0.2">
      <c r="A1052" s="2">
        <v>20</v>
      </c>
      <c r="B1052" s="1" t="s">
        <v>161</v>
      </c>
      <c r="C1052" s="4">
        <v>6</v>
      </c>
      <c r="D1052" s="8">
        <v>1.27</v>
      </c>
      <c r="E1052" s="4">
        <v>6</v>
      </c>
      <c r="F1052" s="8">
        <v>2.0299999999999998</v>
      </c>
      <c r="G1052" s="4">
        <v>0</v>
      </c>
      <c r="H1052" s="8">
        <v>0</v>
      </c>
      <c r="I1052" s="4">
        <v>0</v>
      </c>
    </row>
    <row r="1053" spans="1:9" x14ac:dyDescent="0.2">
      <c r="A1053" s="2">
        <v>20</v>
      </c>
      <c r="B1053" s="1" t="s">
        <v>135</v>
      </c>
      <c r="C1053" s="4">
        <v>6</v>
      </c>
      <c r="D1053" s="8">
        <v>1.27</v>
      </c>
      <c r="E1053" s="4">
        <v>5</v>
      </c>
      <c r="F1053" s="8">
        <v>1.69</v>
      </c>
      <c r="G1053" s="4">
        <v>1</v>
      </c>
      <c r="H1053" s="8">
        <v>0.59</v>
      </c>
      <c r="I1053" s="4">
        <v>0</v>
      </c>
    </row>
    <row r="1054" spans="1:9" x14ac:dyDescent="0.2">
      <c r="A1054" s="1"/>
      <c r="C1054" s="4"/>
      <c r="D1054" s="8"/>
      <c r="E1054" s="4"/>
      <c r="F1054" s="8"/>
      <c r="G1054" s="4"/>
      <c r="H1054" s="8"/>
      <c r="I1054" s="4"/>
    </row>
  </sheetData>
  <phoneticPr fontId="1"/>
  <pageMargins left="0.70866141732283505" right="0.70866141732283505" top="0.74803149606299202" bottom="0.74803149606299202" header="0.31496062992126" footer="0.31496062992126"/>
  <pageSetup paperSize="12" fitToHeight="0" orientation="portrait" r:id="rId2"/>
  <headerFooter>
    <oddHeader>&amp;C自治体別 事業所数 産業小分類トップ２０</oddHeader>
    <oddFooter>&amp;C&amp;P /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7DDF3-55DA-4B92-9CA8-537EB560BE7A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229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55</v>
      </c>
      <c r="D6" s="8">
        <v>17.46</v>
      </c>
      <c r="E6" s="12">
        <v>35</v>
      </c>
      <c r="F6" s="8">
        <v>15.84</v>
      </c>
      <c r="G6" s="12">
        <v>20</v>
      </c>
      <c r="H6" s="8">
        <v>21.74</v>
      </c>
      <c r="I6" s="12">
        <v>0</v>
      </c>
    </row>
    <row r="7" spans="2:9" ht="15" customHeight="1" x14ac:dyDescent="0.2">
      <c r="B7" t="s">
        <v>48</v>
      </c>
      <c r="C7" s="12">
        <v>14</v>
      </c>
      <c r="D7" s="8">
        <v>4.4400000000000004</v>
      </c>
      <c r="E7" s="12">
        <v>5</v>
      </c>
      <c r="F7" s="8">
        <v>2.2599999999999998</v>
      </c>
      <c r="G7" s="12">
        <v>9</v>
      </c>
      <c r="H7" s="8">
        <v>9.7799999999999994</v>
      </c>
      <c r="I7" s="12">
        <v>0</v>
      </c>
    </row>
    <row r="8" spans="2:9" ht="15" customHeight="1" x14ac:dyDescent="0.2">
      <c r="B8" t="s">
        <v>49</v>
      </c>
      <c r="C8" s="12">
        <v>3</v>
      </c>
      <c r="D8" s="8">
        <v>0.95</v>
      </c>
      <c r="E8" s="12">
        <v>0</v>
      </c>
      <c r="F8" s="8">
        <v>0</v>
      </c>
      <c r="G8" s="12">
        <v>3</v>
      </c>
      <c r="H8" s="8">
        <v>3.26</v>
      </c>
      <c r="I8" s="12">
        <v>0</v>
      </c>
    </row>
    <row r="9" spans="2:9" ht="15" customHeight="1" x14ac:dyDescent="0.2">
      <c r="B9" t="s">
        <v>50</v>
      </c>
      <c r="C9" s="12">
        <v>2</v>
      </c>
      <c r="D9" s="8">
        <v>0.63</v>
      </c>
      <c r="E9" s="12">
        <v>0</v>
      </c>
      <c r="F9" s="8">
        <v>0</v>
      </c>
      <c r="G9" s="12">
        <v>2</v>
      </c>
      <c r="H9" s="8">
        <v>2.17</v>
      </c>
      <c r="I9" s="12">
        <v>0</v>
      </c>
    </row>
    <row r="10" spans="2:9" ht="15" customHeight="1" x14ac:dyDescent="0.2">
      <c r="B10" t="s">
        <v>51</v>
      </c>
      <c r="C10" s="12">
        <v>1</v>
      </c>
      <c r="D10" s="8">
        <v>0.32</v>
      </c>
      <c r="E10" s="12">
        <v>0</v>
      </c>
      <c r="F10" s="8">
        <v>0</v>
      </c>
      <c r="G10" s="12">
        <v>1</v>
      </c>
      <c r="H10" s="8">
        <v>1.0900000000000001</v>
      </c>
      <c r="I10" s="12">
        <v>0</v>
      </c>
    </row>
    <row r="11" spans="2:9" ht="15" customHeight="1" x14ac:dyDescent="0.2">
      <c r="B11" t="s">
        <v>52</v>
      </c>
      <c r="C11" s="12">
        <v>77</v>
      </c>
      <c r="D11" s="8">
        <v>24.44</v>
      </c>
      <c r="E11" s="12">
        <v>49</v>
      </c>
      <c r="F11" s="8">
        <v>22.17</v>
      </c>
      <c r="G11" s="12">
        <v>28</v>
      </c>
      <c r="H11" s="8">
        <v>30.43</v>
      </c>
      <c r="I11" s="12">
        <v>0</v>
      </c>
    </row>
    <row r="12" spans="2:9" ht="15" customHeight="1" x14ac:dyDescent="0.2">
      <c r="B12" t="s">
        <v>53</v>
      </c>
      <c r="C12" s="12">
        <v>1</v>
      </c>
      <c r="D12" s="8">
        <v>0.32</v>
      </c>
      <c r="E12" s="12">
        <v>1</v>
      </c>
      <c r="F12" s="8">
        <v>0.45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54</v>
      </c>
      <c r="C13" s="12">
        <v>10</v>
      </c>
      <c r="D13" s="8">
        <v>3.17</v>
      </c>
      <c r="E13" s="12">
        <v>7</v>
      </c>
      <c r="F13" s="8">
        <v>3.17</v>
      </c>
      <c r="G13" s="12">
        <v>3</v>
      </c>
      <c r="H13" s="8">
        <v>3.26</v>
      </c>
      <c r="I13" s="12">
        <v>0</v>
      </c>
    </row>
    <row r="14" spans="2:9" ht="15" customHeight="1" x14ac:dyDescent="0.2">
      <c r="B14" t="s">
        <v>55</v>
      </c>
      <c r="C14" s="12">
        <v>8</v>
      </c>
      <c r="D14" s="8">
        <v>2.54</v>
      </c>
      <c r="E14" s="12">
        <v>6</v>
      </c>
      <c r="F14" s="8">
        <v>2.71</v>
      </c>
      <c r="G14" s="12">
        <v>2</v>
      </c>
      <c r="H14" s="8">
        <v>2.17</v>
      </c>
      <c r="I14" s="12">
        <v>0</v>
      </c>
    </row>
    <row r="15" spans="2:9" ht="15" customHeight="1" x14ac:dyDescent="0.2">
      <c r="B15" t="s">
        <v>56</v>
      </c>
      <c r="C15" s="12">
        <v>80</v>
      </c>
      <c r="D15" s="8">
        <v>25.4</v>
      </c>
      <c r="E15" s="12">
        <v>67</v>
      </c>
      <c r="F15" s="8">
        <v>30.32</v>
      </c>
      <c r="G15" s="12">
        <v>12</v>
      </c>
      <c r="H15" s="8">
        <v>13.04</v>
      </c>
      <c r="I15" s="12">
        <v>0</v>
      </c>
    </row>
    <row r="16" spans="2:9" ht="15" customHeight="1" x14ac:dyDescent="0.2">
      <c r="B16" t="s">
        <v>57</v>
      </c>
      <c r="C16" s="12">
        <v>31</v>
      </c>
      <c r="D16" s="8">
        <v>9.84</v>
      </c>
      <c r="E16" s="12">
        <v>28</v>
      </c>
      <c r="F16" s="8">
        <v>12.67</v>
      </c>
      <c r="G16" s="12">
        <v>3</v>
      </c>
      <c r="H16" s="8">
        <v>3.26</v>
      </c>
      <c r="I16" s="12">
        <v>0</v>
      </c>
    </row>
    <row r="17" spans="2:9" ht="15" customHeight="1" x14ac:dyDescent="0.2">
      <c r="B17" t="s">
        <v>58</v>
      </c>
      <c r="C17" s="12">
        <v>11</v>
      </c>
      <c r="D17" s="8">
        <v>3.49</v>
      </c>
      <c r="E17" s="12">
        <v>8</v>
      </c>
      <c r="F17" s="8">
        <v>3.62</v>
      </c>
      <c r="G17" s="12">
        <v>3</v>
      </c>
      <c r="H17" s="8">
        <v>3.26</v>
      </c>
      <c r="I17" s="12">
        <v>0</v>
      </c>
    </row>
    <row r="18" spans="2:9" ht="15" customHeight="1" x14ac:dyDescent="0.2">
      <c r="B18" t="s">
        <v>59</v>
      </c>
      <c r="C18" s="12">
        <v>10</v>
      </c>
      <c r="D18" s="8">
        <v>3.17</v>
      </c>
      <c r="E18" s="12">
        <v>8</v>
      </c>
      <c r="F18" s="8">
        <v>3.62</v>
      </c>
      <c r="G18" s="12">
        <v>1</v>
      </c>
      <c r="H18" s="8">
        <v>1.0900000000000001</v>
      </c>
      <c r="I18" s="12">
        <v>0</v>
      </c>
    </row>
    <row r="19" spans="2:9" ht="15" customHeight="1" x14ac:dyDescent="0.2">
      <c r="B19" t="s">
        <v>60</v>
      </c>
      <c r="C19" s="12">
        <v>12</v>
      </c>
      <c r="D19" s="8">
        <v>3.81</v>
      </c>
      <c r="E19" s="12">
        <v>7</v>
      </c>
      <c r="F19" s="8">
        <v>3.17</v>
      </c>
      <c r="G19" s="12">
        <v>5</v>
      </c>
      <c r="H19" s="8">
        <v>5.43</v>
      </c>
      <c r="I19" s="12">
        <v>0</v>
      </c>
    </row>
    <row r="20" spans="2:9" ht="15" customHeight="1" x14ac:dyDescent="0.2">
      <c r="B20" s="9" t="s">
        <v>191</v>
      </c>
      <c r="C20" s="12">
        <f>SUM(LTBL_22302[総数／事業所数])</f>
        <v>315</v>
      </c>
      <c r="E20" s="12">
        <f>SUBTOTAL(109,LTBL_22302[個人／事業所数])</f>
        <v>221</v>
      </c>
      <c r="G20" s="12">
        <f>SUBTOTAL(109,LTBL_22302[法人／事業所数])</f>
        <v>92</v>
      </c>
      <c r="I20" s="12">
        <f>SUBTOTAL(109,LTBL_22302[法人以外の団体／事業所数])</f>
        <v>0</v>
      </c>
    </row>
    <row r="21" spans="2:9" ht="15" customHeight="1" x14ac:dyDescent="0.2">
      <c r="E21" s="11">
        <f>LTBL_22302[[#Totals],[個人／事業所数]]/LTBL_22302[[#Totals],[総数／事業所数]]</f>
        <v>0.70158730158730154</v>
      </c>
      <c r="G21" s="11">
        <f>LTBL_22302[[#Totals],[法人／事業所数]]/LTBL_22302[[#Totals],[総数／事業所数]]</f>
        <v>0.29206349206349208</v>
      </c>
      <c r="I21" s="11">
        <f>LTBL_22302[[#Totals],[法人以外の団体／事業所数]]/LTBL_22302[[#Totals],[総数／事業所数]]</f>
        <v>0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99</v>
      </c>
      <c r="C24" s="12">
        <v>40</v>
      </c>
      <c r="D24" s="8">
        <v>12.7</v>
      </c>
      <c r="E24" s="12">
        <v>31</v>
      </c>
      <c r="F24" s="8">
        <v>14.03</v>
      </c>
      <c r="G24" s="12">
        <v>9</v>
      </c>
      <c r="H24" s="8">
        <v>9.7799999999999994</v>
      </c>
      <c r="I24" s="12">
        <v>0</v>
      </c>
    </row>
    <row r="25" spans="2:9" ht="15" customHeight="1" x14ac:dyDescent="0.2">
      <c r="B25" t="s">
        <v>84</v>
      </c>
      <c r="C25" s="12">
        <v>39</v>
      </c>
      <c r="D25" s="8">
        <v>12.38</v>
      </c>
      <c r="E25" s="12">
        <v>36</v>
      </c>
      <c r="F25" s="8">
        <v>16.29</v>
      </c>
      <c r="G25" s="12">
        <v>3</v>
      </c>
      <c r="H25" s="8">
        <v>3.26</v>
      </c>
      <c r="I25" s="12">
        <v>0</v>
      </c>
    </row>
    <row r="26" spans="2:9" ht="15" customHeight="1" x14ac:dyDescent="0.2">
      <c r="B26" t="s">
        <v>69</v>
      </c>
      <c r="C26" s="12">
        <v>28</v>
      </c>
      <c r="D26" s="8">
        <v>8.89</v>
      </c>
      <c r="E26" s="12">
        <v>20</v>
      </c>
      <c r="F26" s="8">
        <v>9.0500000000000007</v>
      </c>
      <c r="G26" s="12">
        <v>8</v>
      </c>
      <c r="H26" s="8">
        <v>8.6999999999999993</v>
      </c>
      <c r="I26" s="12">
        <v>0</v>
      </c>
    </row>
    <row r="27" spans="2:9" ht="15" customHeight="1" x14ac:dyDescent="0.2">
      <c r="B27" t="s">
        <v>79</v>
      </c>
      <c r="C27" s="12">
        <v>27</v>
      </c>
      <c r="D27" s="8">
        <v>8.57</v>
      </c>
      <c r="E27" s="12">
        <v>13</v>
      </c>
      <c r="F27" s="8">
        <v>5.88</v>
      </c>
      <c r="G27" s="12">
        <v>14</v>
      </c>
      <c r="H27" s="8">
        <v>15.22</v>
      </c>
      <c r="I27" s="12">
        <v>0</v>
      </c>
    </row>
    <row r="28" spans="2:9" ht="15" customHeight="1" x14ac:dyDescent="0.2">
      <c r="B28" t="s">
        <v>85</v>
      </c>
      <c r="C28" s="12">
        <v>26</v>
      </c>
      <c r="D28" s="8">
        <v>8.25</v>
      </c>
      <c r="E28" s="12">
        <v>25</v>
      </c>
      <c r="F28" s="8">
        <v>11.31</v>
      </c>
      <c r="G28" s="12">
        <v>1</v>
      </c>
      <c r="H28" s="8">
        <v>1.0900000000000001</v>
      </c>
      <c r="I28" s="12">
        <v>0</v>
      </c>
    </row>
    <row r="29" spans="2:9" ht="15" customHeight="1" x14ac:dyDescent="0.2">
      <c r="B29" t="s">
        <v>77</v>
      </c>
      <c r="C29" s="12">
        <v>22</v>
      </c>
      <c r="D29" s="8">
        <v>6.98</v>
      </c>
      <c r="E29" s="12">
        <v>19</v>
      </c>
      <c r="F29" s="8">
        <v>8.6</v>
      </c>
      <c r="G29" s="12">
        <v>3</v>
      </c>
      <c r="H29" s="8">
        <v>3.26</v>
      </c>
      <c r="I29" s="12">
        <v>0</v>
      </c>
    </row>
    <row r="30" spans="2:9" ht="15" customHeight="1" x14ac:dyDescent="0.2">
      <c r="B30" t="s">
        <v>70</v>
      </c>
      <c r="C30" s="12">
        <v>20</v>
      </c>
      <c r="D30" s="8">
        <v>6.35</v>
      </c>
      <c r="E30" s="12">
        <v>11</v>
      </c>
      <c r="F30" s="8">
        <v>4.9800000000000004</v>
      </c>
      <c r="G30" s="12">
        <v>9</v>
      </c>
      <c r="H30" s="8">
        <v>9.7799999999999994</v>
      </c>
      <c r="I30" s="12">
        <v>0</v>
      </c>
    </row>
    <row r="31" spans="2:9" ht="15" customHeight="1" x14ac:dyDescent="0.2">
      <c r="B31" t="s">
        <v>86</v>
      </c>
      <c r="C31" s="12">
        <v>11</v>
      </c>
      <c r="D31" s="8">
        <v>3.49</v>
      </c>
      <c r="E31" s="12">
        <v>8</v>
      </c>
      <c r="F31" s="8">
        <v>3.62</v>
      </c>
      <c r="G31" s="12">
        <v>3</v>
      </c>
      <c r="H31" s="8">
        <v>3.26</v>
      </c>
      <c r="I31" s="12">
        <v>0</v>
      </c>
    </row>
    <row r="32" spans="2:9" ht="15" customHeight="1" x14ac:dyDescent="0.2">
      <c r="B32" t="s">
        <v>87</v>
      </c>
      <c r="C32" s="12">
        <v>9</v>
      </c>
      <c r="D32" s="8">
        <v>2.86</v>
      </c>
      <c r="E32" s="12">
        <v>8</v>
      </c>
      <c r="F32" s="8">
        <v>3.62</v>
      </c>
      <c r="G32" s="12">
        <v>1</v>
      </c>
      <c r="H32" s="8">
        <v>1.0900000000000001</v>
      </c>
      <c r="I32" s="12">
        <v>0</v>
      </c>
    </row>
    <row r="33" spans="2:9" ht="15" customHeight="1" x14ac:dyDescent="0.2">
      <c r="B33" t="s">
        <v>71</v>
      </c>
      <c r="C33" s="12">
        <v>7</v>
      </c>
      <c r="D33" s="8">
        <v>2.2200000000000002</v>
      </c>
      <c r="E33" s="12">
        <v>4</v>
      </c>
      <c r="F33" s="8">
        <v>1.81</v>
      </c>
      <c r="G33" s="12">
        <v>3</v>
      </c>
      <c r="H33" s="8">
        <v>3.26</v>
      </c>
      <c r="I33" s="12">
        <v>0</v>
      </c>
    </row>
    <row r="34" spans="2:9" ht="15" customHeight="1" x14ac:dyDescent="0.2">
      <c r="B34" t="s">
        <v>76</v>
      </c>
      <c r="C34" s="12">
        <v>7</v>
      </c>
      <c r="D34" s="8">
        <v>2.2200000000000002</v>
      </c>
      <c r="E34" s="12">
        <v>5</v>
      </c>
      <c r="F34" s="8">
        <v>2.2599999999999998</v>
      </c>
      <c r="G34" s="12">
        <v>2</v>
      </c>
      <c r="H34" s="8">
        <v>2.17</v>
      </c>
      <c r="I34" s="12">
        <v>0</v>
      </c>
    </row>
    <row r="35" spans="2:9" ht="15" customHeight="1" x14ac:dyDescent="0.2">
      <c r="B35" t="s">
        <v>78</v>
      </c>
      <c r="C35" s="12">
        <v>7</v>
      </c>
      <c r="D35" s="8">
        <v>2.2200000000000002</v>
      </c>
      <c r="E35" s="12">
        <v>5</v>
      </c>
      <c r="F35" s="8">
        <v>2.2599999999999998</v>
      </c>
      <c r="G35" s="12">
        <v>2</v>
      </c>
      <c r="H35" s="8">
        <v>2.17</v>
      </c>
      <c r="I35" s="12">
        <v>0</v>
      </c>
    </row>
    <row r="36" spans="2:9" ht="15" customHeight="1" x14ac:dyDescent="0.2">
      <c r="B36" t="s">
        <v>81</v>
      </c>
      <c r="C36" s="12">
        <v>7</v>
      </c>
      <c r="D36" s="8">
        <v>2.2200000000000002</v>
      </c>
      <c r="E36" s="12">
        <v>6</v>
      </c>
      <c r="F36" s="8">
        <v>2.71</v>
      </c>
      <c r="G36" s="12">
        <v>1</v>
      </c>
      <c r="H36" s="8">
        <v>1.0900000000000001</v>
      </c>
      <c r="I36" s="12">
        <v>0</v>
      </c>
    </row>
    <row r="37" spans="2:9" ht="15" customHeight="1" x14ac:dyDescent="0.2">
      <c r="B37" t="s">
        <v>83</v>
      </c>
      <c r="C37" s="12">
        <v>6</v>
      </c>
      <c r="D37" s="8">
        <v>1.9</v>
      </c>
      <c r="E37" s="12">
        <v>4</v>
      </c>
      <c r="F37" s="8">
        <v>1.81</v>
      </c>
      <c r="G37" s="12">
        <v>2</v>
      </c>
      <c r="H37" s="8">
        <v>2.17</v>
      </c>
      <c r="I37" s="12">
        <v>0</v>
      </c>
    </row>
    <row r="38" spans="2:9" ht="15" customHeight="1" x14ac:dyDescent="0.2">
      <c r="B38" t="s">
        <v>100</v>
      </c>
      <c r="C38" s="12">
        <v>5</v>
      </c>
      <c r="D38" s="8">
        <v>1.59</v>
      </c>
      <c r="E38" s="12">
        <v>1</v>
      </c>
      <c r="F38" s="8">
        <v>0.45</v>
      </c>
      <c r="G38" s="12">
        <v>4</v>
      </c>
      <c r="H38" s="8">
        <v>4.3499999999999996</v>
      </c>
      <c r="I38" s="12">
        <v>0</v>
      </c>
    </row>
    <row r="39" spans="2:9" ht="15" customHeight="1" x14ac:dyDescent="0.2">
      <c r="B39" t="s">
        <v>93</v>
      </c>
      <c r="C39" s="12">
        <v>5</v>
      </c>
      <c r="D39" s="8">
        <v>1.59</v>
      </c>
      <c r="E39" s="12">
        <v>4</v>
      </c>
      <c r="F39" s="8">
        <v>1.81</v>
      </c>
      <c r="G39" s="12">
        <v>1</v>
      </c>
      <c r="H39" s="8">
        <v>1.0900000000000001</v>
      </c>
      <c r="I39" s="12">
        <v>0</v>
      </c>
    </row>
    <row r="40" spans="2:9" ht="15" customHeight="1" x14ac:dyDescent="0.2">
      <c r="B40" t="s">
        <v>74</v>
      </c>
      <c r="C40" s="12">
        <v>5</v>
      </c>
      <c r="D40" s="8">
        <v>1.59</v>
      </c>
      <c r="E40" s="12">
        <v>2</v>
      </c>
      <c r="F40" s="8">
        <v>0.9</v>
      </c>
      <c r="G40" s="12">
        <v>3</v>
      </c>
      <c r="H40" s="8">
        <v>3.26</v>
      </c>
      <c r="I40" s="12">
        <v>0</v>
      </c>
    </row>
    <row r="41" spans="2:9" ht="15" customHeight="1" x14ac:dyDescent="0.2">
      <c r="B41" t="s">
        <v>88</v>
      </c>
      <c r="C41" s="12">
        <v>4</v>
      </c>
      <c r="D41" s="8">
        <v>1.27</v>
      </c>
      <c r="E41" s="12">
        <v>3</v>
      </c>
      <c r="F41" s="8">
        <v>1.36</v>
      </c>
      <c r="G41" s="12">
        <v>1</v>
      </c>
      <c r="H41" s="8">
        <v>1.0900000000000001</v>
      </c>
      <c r="I41" s="12">
        <v>0</v>
      </c>
    </row>
    <row r="42" spans="2:9" ht="15" customHeight="1" x14ac:dyDescent="0.2">
      <c r="B42" t="s">
        <v>102</v>
      </c>
      <c r="C42" s="12">
        <v>4</v>
      </c>
      <c r="D42" s="8">
        <v>1.27</v>
      </c>
      <c r="E42" s="12">
        <v>3</v>
      </c>
      <c r="F42" s="8">
        <v>1.36</v>
      </c>
      <c r="G42" s="12">
        <v>1</v>
      </c>
      <c r="H42" s="8">
        <v>1.0900000000000001</v>
      </c>
      <c r="I42" s="12">
        <v>0</v>
      </c>
    </row>
    <row r="43" spans="2:9" ht="15" customHeight="1" x14ac:dyDescent="0.2">
      <c r="B43" t="s">
        <v>98</v>
      </c>
      <c r="C43" s="12">
        <v>3</v>
      </c>
      <c r="D43" s="8">
        <v>0.95</v>
      </c>
      <c r="E43" s="12">
        <v>0</v>
      </c>
      <c r="F43" s="8">
        <v>0</v>
      </c>
      <c r="G43" s="12">
        <v>3</v>
      </c>
      <c r="H43" s="8">
        <v>3.26</v>
      </c>
      <c r="I43" s="12">
        <v>0</v>
      </c>
    </row>
    <row r="44" spans="2:9" ht="15" customHeight="1" x14ac:dyDescent="0.2">
      <c r="B44" t="s">
        <v>91</v>
      </c>
      <c r="C44" s="12">
        <v>3</v>
      </c>
      <c r="D44" s="8">
        <v>0.95</v>
      </c>
      <c r="E44" s="12">
        <v>3</v>
      </c>
      <c r="F44" s="8">
        <v>1.36</v>
      </c>
      <c r="G44" s="12">
        <v>0</v>
      </c>
      <c r="H44" s="8">
        <v>0</v>
      </c>
      <c r="I44" s="12">
        <v>0</v>
      </c>
    </row>
    <row r="45" spans="2:9" ht="15" customHeight="1" x14ac:dyDescent="0.2">
      <c r="B45" t="s">
        <v>108</v>
      </c>
      <c r="C45" s="12">
        <v>3</v>
      </c>
      <c r="D45" s="8">
        <v>0.95</v>
      </c>
      <c r="E45" s="12">
        <v>0</v>
      </c>
      <c r="F45" s="8">
        <v>0</v>
      </c>
      <c r="G45" s="12">
        <v>3</v>
      </c>
      <c r="H45" s="8">
        <v>3.26</v>
      </c>
      <c r="I45" s="12">
        <v>0</v>
      </c>
    </row>
    <row r="46" spans="2:9" ht="15" customHeight="1" x14ac:dyDescent="0.2">
      <c r="B46" t="s">
        <v>80</v>
      </c>
      <c r="C46" s="12">
        <v>3</v>
      </c>
      <c r="D46" s="8">
        <v>0.95</v>
      </c>
      <c r="E46" s="12">
        <v>1</v>
      </c>
      <c r="F46" s="8">
        <v>0.45</v>
      </c>
      <c r="G46" s="12">
        <v>2</v>
      </c>
      <c r="H46" s="8">
        <v>2.17</v>
      </c>
      <c r="I46" s="12">
        <v>0</v>
      </c>
    </row>
    <row r="47" spans="2:9" ht="15" customHeight="1" x14ac:dyDescent="0.2">
      <c r="B47" t="s">
        <v>101</v>
      </c>
      <c r="C47" s="12">
        <v>3</v>
      </c>
      <c r="D47" s="8">
        <v>0.95</v>
      </c>
      <c r="E47" s="12">
        <v>3</v>
      </c>
      <c r="F47" s="8">
        <v>1.36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109</v>
      </c>
      <c r="C48" s="12">
        <v>3</v>
      </c>
      <c r="D48" s="8">
        <v>0.95</v>
      </c>
      <c r="E48" s="12">
        <v>1</v>
      </c>
      <c r="F48" s="8">
        <v>0.45</v>
      </c>
      <c r="G48" s="12">
        <v>2</v>
      </c>
      <c r="H48" s="8">
        <v>2.17</v>
      </c>
      <c r="I48" s="12">
        <v>0</v>
      </c>
    </row>
    <row r="51" spans="2:9" ht="33" customHeight="1" x14ac:dyDescent="0.2">
      <c r="B51" t="s">
        <v>193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2">
      <c r="B52" t="s">
        <v>160</v>
      </c>
      <c r="C52" s="12">
        <v>36</v>
      </c>
      <c r="D52" s="8">
        <v>11.43</v>
      </c>
      <c r="E52" s="12">
        <v>29</v>
      </c>
      <c r="F52" s="8">
        <v>13.12</v>
      </c>
      <c r="G52" s="12">
        <v>7</v>
      </c>
      <c r="H52" s="8">
        <v>7.61</v>
      </c>
      <c r="I52" s="12">
        <v>0</v>
      </c>
    </row>
    <row r="53" spans="2:9" ht="15" customHeight="1" x14ac:dyDescent="0.2">
      <c r="B53" t="s">
        <v>132</v>
      </c>
      <c r="C53" s="12">
        <v>12</v>
      </c>
      <c r="D53" s="8">
        <v>3.81</v>
      </c>
      <c r="E53" s="12">
        <v>12</v>
      </c>
      <c r="F53" s="8">
        <v>5.43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118</v>
      </c>
      <c r="C54" s="12">
        <v>11</v>
      </c>
      <c r="D54" s="8">
        <v>3.49</v>
      </c>
      <c r="E54" s="12">
        <v>9</v>
      </c>
      <c r="F54" s="8">
        <v>4.07</v>
      </c>
      <c r="G54" s="12">
        <v>2</v>
      </c>
      <c r="H54" s="8">
        <v>2.17</v>
      </c>
      <c r="I54" s="12">
        <v>0</v>
      </c>
    </row>
    <row r="55" spans="2:9" ht="15" customHeight="1" x14ac:dyDescent="0.2">
      <c r="B55" t="s">
        <v>139</v>
      </c>
      <c r="C55" s="12">
        <v>10</v>
      </c>
      <c r="D55" s="8">
        <v>3.17</v>
      </c>
      <c r="E55" s="12">
        <v>10</v>
      </c>
      <c r="F55" s="8">
        <v>4.5199999999999996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129</v>
      </c>
      <c r="C56" s="12">
        <v>9</v>
      </c>
      <c r="D56" s="8">
        <v>2.86</v>
      </c>
      <c r="E56" s="12">
        <v>8</v>
      </c>
      <c r="F56" s="8">
        <v>3.62</v>
      </c>
      <c r="G56" s="12">
        <v>1</v>
      </c>
      <c r="H56" s="8">
        <v>1.0900000000000001</v>
      </c>
      <c r="I56" s="12">
        <v>0</v>
      </c>
    </row>
    <row r="57" spans="2:9" ht="15" customHeight="1" x14ac:dyDescent="0.2">
      <c r="B57" t="s">
        <v>116</v>
      </c>
      <c r="C57" s="12">
        <v>8</v>
      </c>
      <c r="D57" s="8">
        <v>2.54</v>
      </c>
      <c r="E57" s="12">
        <v>4</v>
      </c>
      <c r="F57" s="8">
        <v>1.81</v>
      </c>
      <c r="G57" s="12">
        <v>4</v>
      </c>
      <c r="H57" s="8">
        <v>4.3499999999999996</v>
      </c>
      <c r="I57" s="12">
        <v>0</v>
      </c>
    </row>
    <row r="58" spans="2:9" ht="15" customHeight="1" x14ac:dyDescent="0.2">
      <c r="B58" t="s">
        <v>131</v>
      </c>
      <c r="C58" s="12">
        <v>8</v>
      </c>
      <c r="D58" s="8">
        <v>2.54</v>
      </c>
      <c r="E58" s="12">
        <v>8</v>
      </c>
      <c r="F58" s="8">
        <v>3.62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117</v>
      </c>
      <c r="C59" s="12">
        <v>7</v>
      </c>
      <c r="D59" s="8">
        <v>2.2200000000000002</v>
      </c>
      <c r="E59" s="12">
        <v>5</v>
      </c>
      <c r="F59" s="8">
        <v>2.2599999999999998</v>
      </c>
      <c r="G59" s="12">
        <v>2</v>
      </c>
      <c r="H59" s="8">
        <v>2.17</v>
      </c>
      <c r="I59" s="12">
        <v>0</v>
      </c>
    </row>
    <row r="60" spans="2:9" ht="15" customHeight="1" x14ac:dyDescent="0.2">
      <c r="B60" t="s">
        <v>124</v>
      </c>
      <c r="C60" s="12">
        <v>7</v>
      </c>
      <c r="D60" s="8">
        <v>2.2200000000000002</v>
      </c>
      <c r="E60" s="12">
        <v>6</v>
      </c>
      <c r="F60" s="8">
        <v>2.71</v>
      </c>
      <c r="G60" s="12">
        <v>1</v>
      </c>
      <c r="H60" s="8">
        <v>1.0900000000000001</v>
      </c>
      <c r="I60" s="12">
        <v>0</v>
      </c>
    </row>
    <row r="61" spans="2:9" ht="15" customHeight="1" x14ac:dyDescent="0.2">
      <c r="B61" t="s">
        <v>133</v>
      </c>
      <c r="C61" s="12">
        <v>7</v>
      </c>
      <c r="D61" s="8">
        <v>2.2200000000000002</v>
      </c>
      <c r="E61" s="12">
        <v>5</v>
      </c>
      <c r="F61" s="8">
        <v>2.2599999999999998</v>
      </c>
      <c r="G61" s="12">
        <v>2</v>
      </c>
      <c r="H61" s="8">
        <v>2.17</v>
      </c>
      <c r="I61" s="12">
        <v>0</v>
      </c>
    </row>
    <row r="62" spans="2:9" ht="15" customHeight="1" x14ac:dyDescent="0.2">
      <c r="B62" t="s">
        <v>136</v>
      </c>
      <c r="C62" s="12">
        <v>6</v>
      </c>
      <c r="D62" s="8">
        <v>1.9</v>
      </c>
      <c r="E62" s="12">
        <v>6</v>
      </c>
      <c r="F62" s="8">
        <v>2.71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121</v>
      </c>
      <c r="C63" s="12">
        <v>6</v>
      </c>
      <c r="D63" s="8">
        <v>1.9</v>
      </c>
      <c r="E63" s="12">
        <v>4</v>
      </c>
      <c r="F63" s="8">
        <v>1.81</v>
      </c>
      <c r="G63" s="12">
        <v>2</v>
      </c>
      <c r="H63" s="8">
        <v>2.17</v>
      </c>
      <c r="I63" s="12">
        <v>0</v>
      </c>
    </row>
    <row r="64" spans="2:9" ht="15" customHeight="1" x14ac:dyDescent="0.2">
      <c r="B64" t="s">
        <v>123</v>
      </c>
      <c r="C64" s="12">
        <v>6</v>
      </c>
      <c r="D64" s="8">
        <v>1.9</v>
      </c>
      <c r="E64" s="12">
        <v>1</v>
      </c>
      <c r="F64" s="8">
        <v>0.45</v>
      </c>
      <c r="G64" s="12">
        <v>5</v>
      </c>
      <c r="H64" s="8">
        <v>5.43</v>
      </c>
      <c r="I64" s="12">
        <v>0</v>
      </c>
    </row>
    <row r="65" spans="2:9" ht="15" customHeight="1" x14ac:dyDescent="0.2">
      <c r="B65" t="s">
        <v>159</v>
      </c>
      <c r="C65" s="12">
        <v>6</v>
      </c>
      <c r="D65" s="8">
        <v>1.9</v>
      </c>
      <c r="E65" s="12">
        <v>1</v>
      </c>
      <c r="F65" s="8">
        <v>0.45</v>
      </c>
      <c r="G65" s="12">
        <v>5</v>
      </c>
      <c r="H65" s="8">
        <v>5.43</v>
      </c>
      <c r="I65" s="12">
        <v>0</v>
      </c>
    </row>
    <row r="66" spans="2:9" ht="15" customHeight="1" x14ac:dyDescent="0.2">
      <c r="B66" t="s">
        <v>128</v>
      </c>
      <c r="C66" s="12">
        <v>6</v>
      </c>
      <c r="D66" s="8">
        <v>1.9</v>
      </c>
      <c r="E66" s="12">
        <v>6</v>
      </c>
      <c r="F66" s="8">
        <v>2.71</v>
      </c>
      <c r="G66" s="12">
        <v>0</v>
      </c>
      <c r="H66" s="8">
        <v>0</v>
      </c>
      <c r="I66" s="12">
        <v>0</v>
      </c>
    </row>
    <row r="67" spans="2:9" ht="15" customHeight="1" x14ac:dyDescent="0.2">
      <c r="B67" t="s">
        <v>177</v>
      </c>
      <c r="C67" s="12">
        <v>5</v>
      </c>
      <c r="D67" s="8">
        <v>1.59</v>
      </c>
      <c r="E67" s="12">
        <v>2</v>
      </c>
      <c r="F67" s="8">
        <v>0.9</v>
      </c>
      <c r="G67" s="12">
        <v>3</v>
      </c>
      <c r="H67" s="8">
        <v>3.26</v>
      </c>
      <c r="I67" s="12">
        <v>0</v>
      </c>
    </row>
    <row r="68" spans="2:9" ht="15" customHeight="1" x14ac:dyDescent="0.2">
      <c r="B68" t="s">
        <v>119</v>
      </c>
      <c r="C68" s="12">
        <v>5</v>
      </c>
      <c r="D68" s="8">
        <v>1.59</v>
      </c>
      <c r="E68" s="12">
        <v>3</v>
      </c>
      <c r="F68" s="8">
        <v>1.36</v>
      </c>
      <c r="G68" s="12">
        <v>2</v>
      </c>
      <c r="H68" s="8">
        <v>2.17</v>
      </c>
      <c r="I68" s="12">
        <v>0</v>
      </c>
    </row>
    <row r="69" spans="2:9" ht="15" customHeight="1" x14ac:dyDescent="0.2">
      <c r="B69" t="s">
        <v>122</v>
      </c>
      <c r="C69" s="12">
        <v>5</v>
      </c>
      <c r="D69" s="8">
        <v>1.59</v>
      </c>
      <c r="E69" s="12">
        <v>3</v>
      </c>
      <c r="F69" s="8">
        <v>1.36</v>
      </c>
      <c r="G69" s="12">
        <v>2</v>
      </c>
      <c r="H69" s="8">
        <v>2.17</v>
      </c>
      <c r="I69" s="12">
        <v>0</v>
      </c>
    </row>
    <row r="70" spans="2:9" ht="15" customHeight="1" x14ac:dyDescent="0.2">
      <c r="B70" t="s">
        <v>178</v>
      </c>
      <c r="C70" s="12">
        <v>5</v>
      </c>
      <c r="D70" s="8">
        <v>1.59</v>
      </c>
      <c r="E70" s="12">
        <v>3</v>
      </c>
      <c r="F70" s="8">
        <v>1.36</v>
      </c>
      <c r="G70" s="12">
        <v>2</v>
      </c>
      <c r="H70" s="8">
        <v>2.17</v>
      </c>
      <c r="I70" s="12">
        <v>0</v>
      </c>
    </row>
    <row r="71" spans="2:9" ht="15" customHeight="1" x14ac:dyDescent="0.2">
      <c r="B71" t="s">
        <v>134</v>
      </c>
      <c r="C71" s="12">
        <v>5</v>
      </c>
      <c r="D71" s="8">
        <v>1.59</v>
      </c>
      <c r="E71" s="12">
        <v>5</v>
      </c>
      <c r="F71" s="8">
        <v>2.2599999999999998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CD315-74FC-41EC-9C63-BC89D73192E7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230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53</v>
      </c>
      <c r="D6" s="8">
        <v>14.32</v>
      </c>
      <c r="E6" s="12">
        <v>31</v>
      </c>
      <c r="F6" s="8">
        <v>10.99</v>
      </c>
      <c r="G6" s="12">
        <v>22</v>
      </c>
      <c r="H6" s="8">
        <v>25.88</v>
      </c>
      <c r="I6" s="12">
        <v>0</v>
      </c>
    </row>
    <row r="7" spans="2:9" ht="15" customHeight="1" x14ac:dyDescent="0.2">
      <c r="B7" t="s">
        <v>48</v>
      </c>
      <c r="C7" s="12">
        <v>17</v>
      </c>
      <c r="D7" s="8">
        <v>4.59</v>
      </c>
      <c r="E7" s="12">
        <v>7</v>
      </c>
      <c r="F7" s="8">
        <v>2.48</v>
      </c>
      <c r="G7" s="12">
        <v>10</v>
      </c>
      <c r="H7" s="8">
        <v>11.76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0.27</v>
      </c>
      <c r="E8" s="12">
        <v>0</v>
      </c>
      <c r="F8" s="8">
        <v>0</v>
      </c>
      <c r="G8" s="12">
        <v>1</v>
      </c>
      <c r="H8" s="8">
        <v>1.18</v>
      </c>
      <c r="I8" s="12">
        <v>0</v>
      </c>
    </row>
    <row r="9" spans="2:9" ht="15" customHeight="1" x14ac:dyDescent="0.2">
      <c r="B9" t="s">
        <v>50</v>
      </c>
      <c r="C9" s="12">
        <v>0</v>
      </c>
      <c r="D9" s="8">
        <v>0</v>
      </c>
      <c r="E9" s="12">
        <v>0</v>
      </c>
      <c r="F9" s="8">
        <v>0</v>
      </c>
      <c r="G9" s="12">
        <v>0</v>
      </c>
      <c r="H9" s="8">
        <v>0</v>
      </c>
      <c r="I9" s="12">
        <v>0</v>
      </c>
    </row>
    <row r="10" spans="2:9" ht="15" customHeight="1" x14ac:dyDescent="0.2">
      <c r="B10" t="s">
        <v>51</v>
      </c>
      <c r="C10" s="12">
        <v>4</v>
      </c>
      <c r="D10" s="8">
        <v>1.08</v>
      </c>
      <c r="E10" s="12">
        <v>3</v>
      </c>
      <c r="F10" s="8">
        <v>1.06</v>
      </c>
      <c r="G10" s="12">
        <v>1</v>
      </c>
      <c r="H10" s="8">
        <v>1.18</v>
      </c>
      <c r="I10" s="12">
        <v>0</v>
      </c>
    </row>
    <row r="11" spans="2:9" ht="15" customHeight="1" x14ac:dyDescent="0.2">
      <c r="B11" t="s">
        <v>52</v>
      </c>
      <c r="C11" s="12">
        <v>73</v>
      </c>
      <c r="D11" s="8">
        <v>19.73</v>
      </c>
      <c r="E11" s="12">
        <v>53</v>
      </c>
      <c r="F11" s="8">
        <v>18.79</v>
      </c>
      <c r="G11" s="12">
        <v>20</v>
      </c>
      <c r="H11" s="8">
        <v>23.53</v>
      </c>
      <c r="I11" s="12">
        <v>0</v>
      </c>
    </row>
    <row r="12" spans="2:9" ht="15" customHeight="1" x14ac:dyDescent="0.2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54</v>
      </c>
      <c r="C13" s="12">
        <v>18</v>
      </c>
      <c r="D13" s="8">
        <v>4.8600000000000003</v>
      </c>
      <c r="E13" s="12">
        <v>12</v>
      </c>
      <c r="F13" s="8">
        <v>4.26</v>
      </c>
      <c r="G13" s="12">
        <v>6</v>
      </c>
      <c r="H13" s="8">
        <v>7.06</v>
      </c>
      <c r="I13" s="12">
        <v>0</v>
      </c>
    </row>
    <row r="14" spans="2:9" ht="15" customHeight="1" x14ac:dyDescent="0.2">
      <c r="B14" t="s">
        <v>55</v>
      </c>
      <c r="C14" s="12">
        <v>8</v>
      </c>
      <c r="D14" s="8">
        <v>2.16</v>
      </c>
      <c r="E14" s="12">
        <v>7</v>
      </c>
      <c r="F14" s="8">
        <v>2.48</v>
      </c>
      <c r="G14" s="12">
        <v>1</v>
      </c>
      <c r="H14" s="8">
        <v>1.18</v>
      </c>
      <c r="I14" s="12">
        <v>0</v>
      </c>
    </row>
    <row r="15" spans="2:9" ht="15" customHeight="1" x14ac:dyDescent="0.2">
      <c r="B15" t="s">
        <v>56</v>
      </c>
      <c r="C15" s="12">
        <v>119</v>
      </c>
      <c r="D15" s="8">
        <v>32.159999999999997</v>
      </c>
      <c r="E15" s="12">
        <v>110</v>
      </c>
      <c r="F15" s="8">
        <v>39.01</v>
      </c>
      <c r="G15" s="12">
        <v>9</v>
      </c>
      <c r="H15" s="8">
        <v>10.59</v>
      </c>
      <c r="I15" s="12">
        <v>0</v>
      </c>
    </row>
    <row r="16" spans="2:9" ht="15" customHeight="1" x14ac:dyDescent="0.2">
      <c r="B16" t="s">
        <v>57</v>
      </c>
      <c r="C16" s="12">
        <v>46</v>
      </c>
      <c r="D16" s="8">
        <v>12.43</v>
      </c>
      <c r="E16" s="12">
        <v>43</v>
      </c>
      <c r="F16" s="8">
        <v>15.25</v>
      </c>
      <c r="G16" s="12">
        <v>3</v>
      </c>
      <c r="H16" s="8">
        <v>3.53</v>
      </c>
      <c r="I16" s="12">
        <v>0</v>
      </c>
    </row>
    <row r="17" spans="2:9" ht="15" customHeight="1" x14ac:dyDescent="0.2">
      <c r="B17" t="s">
        <v>58</v>
      </c>
      <c r="C17" s="12">
        <v>5</v>
      </c>
      <c r="D17" s="8">
        <v>1.35</v>
      </c>
      <c r="E17" s="12">
        <v>4</v>
      </c>
      <c r="F17" s="8">
        <v>1.42</v>
      </c>
      <c r="G17" s="12">
        <v>1</v>
      </c>
      <c r="H17" s="8">
        <v>1.18</v>
      </c>
      <c r="I17" s="12">
        <v>0</v>
      </c>
    </row>
    <row r="18" spans="2:9" ht="15" customHeight="1" x14ac:dyDescent="0.2">
      <c r="B18" t="s">
        <v>59</v>
      </c>
      <c r="C18" s="12">
        <v>12</v>
      </c>
      <c r="D18" s="8">
        <v>3.24</v>
      </c>
      <c r="E18" s="12">
        <v>7</v>
      </c>
      <c r="F18" s="8">
        <v>2.48</v>
      </c>
      <c r="G18" s="12">
        <v>3</v>
      </c>
      <c r="H18" s="8">
        <v>3.53</v>
      </c>
      <c r="I18" s="12">
        <v>0</v>
      </c>
    </row>
    <row r="19" spans="2:9" ht="15" customHeight="1" x14ac:dyDescent="0.2">
      <c r="B19" t="s">
        <v>60</v>
      </c>
      <c r="C19" s="12">
        <v>14</v>
      </c>
      <c r="D19" s="8">
        <v>3.78</v>
      </c>
      <c r="E19" s="12">
        <v>5</v>
      </c>
      <c r="F19" s="8">
        <v>1.77</v>
      </c>
      <c r="G19" s="12">
        <v>8</v>
      </c>
      <c r="H19" s="8">
        <v>9.41</v>
      </c>
      <c r="I19" s="12">
        <v>1</v>
      </c>
    </row>
    <row r="20" spans="2:9" ht="15" customHeight="1" x14ac:dyDescent="0.2">
      <c r="B20" s="9" t="s">
        <v>191</v>
      </c>
      <c r="C20" s="12">
        <f>SUM(LTBL_22304[総数／事業所数])</f>
        <v>370</v>
      </c>
      <c r="E20" s="12">
        <f>SUBTOTAL(109,LTBL_22304[個人／事業所数])</f>
        <v>282</v>
      </c>
      <c r="G20" s="12">
        <f>SUBTOTAL(109,LTBL_22304[法人／事業所数])</f>
        <v>85</v>
      </c>
      <c r="I20" s="12">
        <f>SUBTOTAL(109,LTBL_22304[法人以外の団体／事業所数])</f>
        <v>1</v>
      </c>
    </row>
    <row r="21" spans="2:9" ht="15" customHeight="1" x14ac:dyDescent="0.2">
      <c r="E21" s="11">
        <f>LTBL_22304[[#Totals],[個人／事業所数]]/LTBL_22304[[#Totals],[総数／事業所数]]</f>
        <v>0.76216216216216215</v>
      </c>
      <c r="G21" s="11">
        <f>LTBL_22304[[#Totals],[法人／事業所数]]/LTBL_22304[[#Totals],[総数／事業所数]]</f>
        <v>0.22972972972972974</v>
      </c>
      <c r="I21" s="11">
        <f>LTBL_22304[[#Totals],[法人以外の団体／事業所数]]/LTBL_22304[[#Totals],[総数／事業所数]]</f>
        <v>2.7027027027027029E-3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99</v>
      </c>
      <c r="C24" s="12">
        <v>86</v>
      </c>
      <c r="D24" s="8">
        <v>23.24</v>
      </c>
      <c r="E24" s="12">
        <v>80</v>
      </c>
      <c r="F24" s="8">
        <v>28.37</v>
      </c>
      <c r="G24" s="12">
        <v>6</v>
      </c>
      <c r="H24" s="8">
        <v>7.06</v>
      </c>
      <c r="I24" s="12">
        <v>0</v>
      </c>
    </row>
    <row r="25" spans="2:9" ht="15" customHeight="1" x14ac:dyDescent="0.2">
      <c r="B25" t="s">
        <v>84</v>
      </c>
      <c r="C25" s="12">
        <v>31</v>
      </c>
      <c r="D25" s="8">
        <v>8.3800000000000008</v>
      </c>
      <c r="E25" s="12">
        <v>28</v>
      </c>
      <c r="F25" s="8">
        <v>9.93</v>
      </c>
      <c r="G25" s="12">
        <v>3</v>
      </c>
      <c r="H25" s="8">
        <v>3.53</v>
      </c>
      <c r="I25" s="12">
        <v>0</v>
      </c>
    </row>
    <row r="26" spans="2:9" ht="15" customHeight="1" x14ac:dyDescent="0.2">
      <c r="B26" t="s">
        <v>79</v>
      </c>
      <c r="C26" s="12">
        <v>29</v>
      </c>
      <c r="D26" s="8">
        <v>7.84</v>
      </c>
      <c r="E26" s="12">
        <v>17</v>
      </c>
      <c r="F26" s="8">
        <v>6.03</v>
      </c>
      <c r="G26" s="12">
        <v>12</v>
      </c>
      <c r="H26" s="8">
        <v>14.12</v>
      </c>
      <c r="I26" s="12">
        <v>0</v>
      </c>
    </row>
    <row r="27" spans="2:9" ht="15" customHeight="1" x14ac:dyDescent="0.2">
      <c r="B27" t="s">
        <v>69</v>
      </c>
      <c r="C27" s="12">
        <v>27</v>
      </c>
      <c r="D27" s="8">
        <v>7.3</v>
      </c>
      <c r="E27" s="12">
        <v>11</v>
      </c>
      <c r="F27" s="8">
        <v>3.9</v>
      </c>
      <c r="G27" s="12">
        <v>16</v>
      </c>
      <c r="H27" s="8">
        <v>18.82</v>
      </c>
      <c r="I27" s="12">
        <v>0</v>
      </c>
    </row>
    <row r="28" spans="2:9" ht="15" customHeight="1" x14ac:dyDescent="0.2">
      <c r="B28" t="s">
        <v>77</v>
      </c>
      <c r="C28" s="12">
        <v>27</v>
      </c>
      <c r="D28" s="8">
        <v>7.3</v>
      </c>
      <c r="E28" s="12">
        <v>25</v>
      </c>
      <c r="F28" s="8">
        <v>8.8699999999999992</v>
      </c>
      <c r="G28" s="12">
        <v>2</v>
      </c>
      <c r="H28" s="8">
        <v>2.35</v>
      </c>
      <c r="I28" s="12">
        <v>0</v>
      </c>
    </row>
    <row r="29" spans="2:9" ht="15" customHeight="1" x14ac:dyDescent="0.2">
      <c r="B29" t="s">
        <v>85</v>
      </c>
      <c r="C29" s="12">
        <v>27</v>
      </c>
      <c r="D29" s="8">
        <v>7.3</v>
      </c>
      <c r="E29" s="12">
        <v>25</v>
      </c>
      <c r="F29" s="8">
        <v>8.8699999999999992</v>
      </c>
      <c r="G29" s="12">
        <v>2</v>
      </c>
      <c r="H29" s="8">
        <v>2.35</v>
      </c>
      <c r="I29" s="12">
        <v>0</v>
      </c>
    </row>
    <row r="30" spans="2:9" ht="15" customHeight="1" x14ac:dyDescent="0.2">
      <c r="B30" t="s">
        <v>101</v>
      </c>
      <c r="C30" s="12">
        <v>17</v>
      </c>
      <c r="D30" s="8">
        <v>4.59</v>
      </c>
      <c r="E30" s="12">
        <v>16</v>
      </c>
      <c r="F30" s="8">
        <v>5.67</v>
      </c>
      <c r="G30" s="12">
        <v>1</v>
      </c>
      <c r="H30" s="8">
        <v>1.18</v>
      </c>
      <c r="I30" s="12">
        <v>0</v>
      </c>
    </row>
    <row r="31" spans="2:9" ht="15" customHeight="1" x14ac:dyDescent="0.2">
      <c r="B31" t="s">
        <v>70</v>
      </c>
      <c r="C31" s="12">
        <v>15</v>
      </c>
      <c r="D31" s="8">
        <v>4.05</v>
      </c>
      <c r="E31" s="12">
        <v>14</v>
      </c>
      <c r="F31" s="8">
        <v>4.96</v>
      </c>
      <c r="G31" s="12">
        <v>1</v>
      </c>
      <c r="H31" s="8">
        <v>1.18</v>
      </c>
      <c r="I31" s="12">
        <v>0</v>
      </c>
    </row>
    <row r="32" spans="2:9" ht="15" customHeight="1" x14ac:dyDescent="0.2">
      <c r="B32" t="s">
        <v>81</v>
      </c>
      <c r="C32" s="12">
        <v>15</v>
      </c>
      <c r="D32" s="8">
        <v>4.05</v>
      </c>
      <c r="E32" s="12">
        <v>11</v>
      </c>
      <c r="F32" s="8">
        <v>3.9</v>
      </c>
      <c r="G32" s="12">
        <v>4</v>
      </c>
      <c r="H32" s="8">
        <v>4.71</v>
      </c>
      <c r="I32" s="12">
        <v>0</v>
      </c>
    </row>
    <row r="33" spans="2:9" ht="15" customHeight="1" x14ac:dyDescent="0.2">
      <c r="B33" t="s">
        <v>71</v>
      </c>
      <c r="C33" s="12">
        <v>11</v>
      </c>
      <c r="D33" s="8">
        <v>2.97</v>
      </c>
      <c r="E33" s="12">
        <v>6</v>
      </c>
      <c r="F33" s="8">
        <v>2.13</v>
      </c>
      <c r="G33" s="12">
        <v>5</v>
      </c>
      <c r="H33" s="8">
        <v>5.88</v>
      </c>
      <c r="I33" s="12">
        <v>0</v>
      </c>
    </row>
    <row r="34" spans="2:9" ht="15" customHeight="1" x14ac:dyDescent="0.2">
      <c r="B34" t="s">
        <v>78</v>
      </c>
      <c r="C34" s="12">
        <v>10</v>
      </c>
      <c r="D34" s="8">
        <v>2.7</v>
      </c>
      <c r="E34" s="12">
        <v>6</v>
      </c>
      <c r="F34" s="8">
        <v>2.13</v>
      </c>
      <c r="G34" s="12">
        <v>4</v>
      </c>
      <c r="H34" s="8">
        <v>4.71</v>
      </c>
      <c r="I34" s="12">
        <v>0</v>
      </c>
    </row>
    <row r="35" spans="2:9" ht="15" customHeight="1" x14ac:dyDescent="0.2">
      <c r="B35" t="s">
        <v>87</v>
      </c>
      <c r="C35" s="12">
        <v>8</v>
      </c>
      <c r="D35" s="8">
        <v>2.16</v>
      </c>
      <c r="E35" s="12">
        <v>7</v>
      </c>
      <c r="F35" s="8">
        <v>2.48</v>
      </c>
      <c r="G35" s="12">
        <v>1</v>
      </c>
      <c r="H35" s="8">
        <v>1.18</v>
      </c>
      <c r="I35" s="12">
        <v>0</v>
      </c>
    </row>
    <row r="36" spans="2:9" ht="15" customHeight="1" x14ac:dyDescent="0.2">
      <c r="B36" t="s">
        <v>86</v>
      </c>
      <c r="C36" s="12">
        <v>5</v>
      </c>
      <c r="D36" s="8">
        <v>1.35</v>
      </c>
      <c r="E36" s="12">
        <v>4</v>
      </c>
      <c r="F36" s="8">
        <v>1.42</v>
      </c>
      <c r="G36" s="12">
        <v>1</v>
      </c>
      <c r="H36" s="8">
        <v>1.18</v>
      </c>
      <c r="I36" s="12">
        <v>0</v>
      </c>
    </row>
    <row r="37" spans="2:9" ht="15" customHeight="1" x14ac:dyDescent="0.2">
      <c r="B37" t="s">
        <v>88</v>
      </c>
      <c r="C37" s="12">
        <v>5</v>
      </c>
      <c r="D37" s="8">
        <v>1.35</v>
      </c>
      <c r="E37" s="12">
        <v>5</v>
      </c>
      <c r="F37" s="8">
        <v>1.77</v>
      </c>
      <c r="G37" s="12">
        <v>0</v>
      </c>
      <c r="H37" s="8">
        <v>0</v>
      </c>
      <c r="I37" s="12">
        <v>0</v>
      </c>
    </row>
    <row r="38" spans="2:9" ht="15" customHeight="1" x14ac:dyDescent="0.2">
      <c r="B38" t="s">
        <v>100</v>
      </c>
      <c r="C38" s="12">
        <v>4</v>
      </c>
      <c r="D38" s="8">
        <v>1.08</v>
      </c>
      <c r="E38" s="12">
        <v>0</v>
      </c>
      <c r="F38" s="8">
        <v>0</v>
      </c>
      <c r="G38" s="12">
        <v>4</v>
      </c>
      <c r="H38" s="8">
        <v>4.71</v>
      </c>
      <c r="I38" s="12">
        <v>0</v>
      </c>
    </row>
    <row r="39" spans="2:9" ht="15" customHeight="1" x14ac:dyDescent="0.2">
      <c r="B39" t="s">
        <v>92</v>
      </c>
      <c r="C39" s="12">
        <v>4</v>
      </c>
      <c r="D39" s="8">
        <v>1.08</v>
      </c>
      <c r="E39" s="12">
        <v>2</v>
      </c>
      <c r="F39" s="8">
        <v>0.71</v>
      </c>
      <c r="G39" s="12">
        <v>2</v>
      </c>
      <c r="H39" s="8">
        <v>2.35</v>
      </c>
      <c r="I39" s="12">
        <v>0</v>
      </c>
    </row>
    <row r="40" spans="2:9" ht="15" customHeight="1" x14ac:dyDescent="0.2">
      <c r="B40" t="s">
        <v>82</v>
      </c>
      <c r="C40" s="12">
        <v>4</v>
      </c>
      <c r="D40" s="8">
        <v>1.08</v>
      </c>
      <c r="E40" s="12">
        <v>4</v>
      </c>
      <c r="F40" s="8">
        <v>1.42</v>
      </c>
      <c r="G40" s="12">
        <v>0</v>
      </c>
      <c r="H40" s="8">
        <v>0</v>
      </c>
      <c r="I40" s="12">
        <v>0</v>
      </c>
    </row>
    <row r="41" spans="2:9" ht="15" customHeight="1" x14ac:dyDescent="0.2">
      <c r="B41" t="s">
        <v>83</v>
      </c>
      <c r="C41" s="12">
        <v>4</v>
      </c>
      <c r="D41" s="8">
        <v>1.08</v>
      </c>
      <c r="E41" s="12">
        <v>3</v>
      </c>
      <c r="F41" s="8">
        <v>1.06</v>
      </c>
      <c r="G41" s="12">
        <v>1</v>
      </c>
      <c r="H41" s="8">
        <v>1.18</v>
      </c>
      <c r="I41" s="12">
        <v>0</v>
      </c>
    </row>
    <row r="42" spans="2:9" ht="15" customHeight="1" x14ac:dyDescent="0.2">
      <c r="B42" t="s">
        <v>90</v>
      </c>
      <c r="C42" s="12">
        <v>4</v>
      </c>
      <c r="D42" s="8">
        <v>1.08</v>
      </c>
      <c r="E42" s="12">
        <v>0</v>
      </c>
      <c r="F42" s="8">
        <v>0</v>
      </c>
      <c r="G42" s="12">
        <v>2</v>
      </c>
      <c r="H42" s="8">
        <v>2.35</v>
      </c>
      <c r="I42" s="12">
        <v>0</v>
      </c>
    </row>
    <row r="43" spans="2:9" ht="15" customHeight="1" x14ac:dyDescent="0.2">
      <c r="B43" t="s">
        <v>102</v>
      </c>
      <c r="C43" s="12">
        <v>4</v>
      </c>
      <c r="D43" s="8">
        <v>1.08</v>
      </c>
      <c r="E43" s="12">
        <v>0</v>
      </c>
      <c r="F43" s="8">
        <v>0</v>
      </c>
      <c r="G43" s="12">
        <v>4</v>
      </c>
      <c r="H43" s="8">
        <v>4.71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160</v>
      </c>
      <c r="C47" s="12">
        <v>66</v>
      </c>
      <c r="D47" s="8">
        <v>17.84</v>
      </c>
      <c r="E47" s="12">
        <v>62</v>
      </c>
      <c r="F47" s="8">
        <v>21.99</v>
      </c>
      <c r="G47" s="12">
        <v>4</v>
      </c>
      <c r="H47" s="8">
        <v>4.71</v>
      </c>
      <c r="I47" s="12">
        <v>0</v>
      </c>
    </row>
    <row r="48" spans="2:9" ht="15" customHeight="1" x14ac:dyDescent="0.2">
      <c r="B48" t="s">
        <v>121</v>
      </c>
      <c r="C48" s="12">
        <v>16</v>
      </c>
      <c r="D48" s="8">
        <v>4.32</v>
      </c>
      <c r="E48" s="12">
        <v>15</v>
      </c>
      <c r="F48" s="8">
        <v>5.32</v>
      </c>
      <c r="G48" s="12">
        <v>1</v>
      </c>
      <c r="H48" s="8">
        <v>1.18</v>
      </c>
      <c r="I48" s="12">
        <v>0</v>
      </c>
    </row>
    <row r="49" spans="2:9" ht="15" customHeight="1" x14ac:dyDescent="0.2">
      <c r="B49" t="s">
        <v>169</v>
      </c>
      <c r="C49" s="12">
        <v>15</v>
      </c>
      <c r="D49" s="8">
        <v>4.05</v>
      </c>
      <c r="E49" s="12">
        <v>15</v>
      </c>
      <c r="F49" s="8">
        <v>5.32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170</v>
      </c>
      <c r="C50" s="12">
        <v>15</v>
      </c>
      <c r="D50" s="8">
        <v>4.05</v>
      </c>
      <c r="E50" s="12">
        <v>14</v>
      </c>
      <c r="F50" s="8">
        <v>4.96</v>
      </c>
      <c r="G50" s="12">
        <v>1</v>
      </c>
      <c r="H50" s="8">
        <v>1.18</v>
      </c>
      <c r="I50" s="12">
        <v>0</v>
      </c>
    </row>
    <row r="51" spans="2:9" ht="15" customHeight="1" x14ac:dyDescent="0.2">
      <c r="B51" t="s">
        <v>132</v>
      </c>
      <c r="C51" s="12">
        <v>13</v>
      </c>
      <c r="D51" s="8">
        <v>3.51</v>
      </c>
      <c r="E51" s="12">
        <v>13</v>
      </c>
      <c r="F51" s="8">
        <v>4.6100000000000003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126</v>
      </c>
      <c r="C52" s="12">
        <v>12</v>
      </c>
      <c r="D52" s="8">
        <v>3.24</v>
      </c>
      <c r="E52" s="12">
        <v>10</v>
      </c>
      <c r="F52" s="8">
        <v>3.55</v>
      </c>
      <c r="G52" s="12">
        <v>2</v>
      </c>
      <c r="H52" s="8">
        <v>2.35</v>
      </c>
      <c r="I52" s="12">
        <v>0</v>
      </c>
    </row>
    <row r="53" spans="2:9" ht="15" customHeight="1" x14ac:dyDescent="0.2">
      <c r="B53" t="s">
        <v>124</v>
      </c>
      <c r="C53" s="12">
        <v>11</v>
      </c>
      <c r="D53" s="8">
        <v>2.97</v>
      </c>
      <c r="E53" s="12">
        <v>8</v>
      </c>
      <c r="F53" s="8">
        <v>2.84</v>
      </c>
      <c r="G53" s="12">
        <v>3</v>
      </c>
      <c r="H53" s="8">
        <v>3.53</v>
      </c>
      <c r="I53" s="12">
        <v>0</v>
      </c>
    </row>
    <row r="54" spans="2:9" ht="15" customHeight="1" x14ac:dyDescent="0.2">
      <c r="B54" t="s">
        <v>118</v>
      </c>
      <c r="C54" s="12">
        <v>9</v>
      </c>
      <c r="D54" s="8">
        <v>2.4300000000000002</v>
      </c>
      <c r="E54" s="12">
        <v>4</v>
      </c>
      <c r="F54" s="8">
        <v>1.42</v>
      </c>
      <c r="G54" s="12">
        <v>5</v>
      </c>
      <c r="H54" s="8">
        <v>5.88</v>
      </c>
      <c r="I54" s="12">
        <v>0</v>
      </c>
    </row>
    <row r="55" spans="2:9" ht="15" customHeight="1" x14ac:dyDescent="0.2">
      <c r="B55" t="s">
        <v>122</v>
      </c>
      <c r="C55" s="12">
        <v>9</v>
      </c>
      <c r="D55" s="8">
        <v>2.4300000000000002</v>
      </c>
      <c r="E55" s="12">
        <v>6</v>
      </c>
      <c r="F55" s="8">
        <v>2.13</v>
      </c>
      <c r="G55" s="12">
        <v>3</v>
      </c>
      <c r="H55" s="8">
        <v>3.53</v>
      </c>
      <c r="I55" s="12">
        <v>0</v>
      </c>
    </row>
    <row r="56" spans="2:9" ht="15" customHeight="1" x14ac:dyDescent="0.2">
      <c r="B56" t="s">
        <v>128</v>
      </c>
      <c r="C56" s="12">
        <v>9</v>
      </c>
      <c r="D56" s="8">
        <v>2.4300000000000002</v>
      </c>
      <c r="E56" s="12">
        <v>8</v>
      </c>
      <c r="F56" s="8">
        <v>2.84</v>
      </c>
      <c r="G56" s="12">
        <v>1</v>
      </c>
      <c r="H56" s="8">
        <v>1.18</v>
      </c>
      <c r="I56" s="12">
        <v>0</v>
      </c>
    </row>
    <row r="57" spans="2:9" ht="15" customHeight="1" x14ac:dyDescent="0.2">
      <c r="B57" t="s">
        <v>131</v>
      </c>
      <c r="C57" s="12">
        <v>9</v>
      </c>
      <c r="D57" s="8">
        <v>2.4300000000000002</v>
      </c>
      <c r="E57" s="12">
        <v>9</v>
      </c>
      <c r="F57" s="8">
        <v>3.19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116</v>
      </c>
      <c r="C58" s="12">
        <v>8</v>
      </c>
      <c r="D58" s="8">
        <v>2.16</v>
      </c>
      <c r="E58" s="12">
        <v>2</v>
      </c>
      <c r="F58" s="8">
        <v>0.71</v>
      </c>
      <c r="G58" s="12">
        <v>6</v>
      </c>
      <c r="H58" s="8">
        <v>7.06</v>
      </c>
      <c r="I58" s="12">
        <v>0</v>
      </c>
    </row>
    <row r="59" spans="2:9" ht="15" customHeight="1" x14ac:dyDescent="0.2">
      <c r="B59" t="s">
        <v>117</v>
      </c>
      <c r="C59" s="12">
        <v>8</v>
      </c>
      <c r="D59" s="8">
        <v>2.16</v>
      </c>
      <c r="E59" s="12">
        <v>4</v>
      </c>
      <c r="F59" s="8">
        <v>1.42</v>
      </c>
      <c r="G59" s="12">
        <v>4</v>
      </c>
      <c r="H59" s="8">
        <v>4.71</v>
      </c>
      <c r="I59" s="12">
        <v>0</v>
      </c>
    </row>
    <row r="60" spans="2:9" ht="15" customHeight="1" x14ac:dyDescent="0.2">
      <c r="B60" t="s">
        <v>119</v>
      </c>
      <c r="C60" s="12">
        <v>8</v>
      </c>
      <c r="D60" s="8">
        <v>2.16</v>
      </c>
      <c r="E60" s="12">
        <v>5</v>
      </c>
      <c r="F60" s="8">
        <v>1.77</v>
      </c>
      <c r="G60" s="12">
        <v>3</v>
      </c>
      <c r="H60" s="8">
        <v>3.53</v>
      </c>
      <c r="I60" s="12">
        <v>0</v>
      </c>
    </row>
    <row r="61" spans="2:9" ht="15" customHeight="1" x14ac:dyDescent="0.2">
      <c r="B61" t="s">
        <v>159</v>
      </c>
      <c r="C61" s="12">
        <v>8</v>
      </c>
      <c r="D61" s="8">
        <v>2.16</v>
      </c>
      <c r="E61" s="12">
        <v>2</v>
      </c>
      <c r="F61" s="8">
        <v>0.71</v>
      </c>
      <c r="G61" s="12">
        <v>6</v>
      </c>
      <c r="H61" s="8">
        <v>7.06</v>
      </c>
      <c r="I61" s="12">
        <v>0</v>
      </c>
    </row>
    <row r="62" spans="2:9" ht="15" customHeight="1" x14ac:dyDescent="0.2">
      <c r="B62" t="s">
        <v>161</v>
      </c>
      <c r="C62" s="12">
        <v>7</v>
      </c>
      <c r="D62" s="8">
        <v>1.89</v>
      </c>
      <c r="E62" s="12">
        <v>7</v>
      </c>
      <c r="F62" s="8">
        <v>2.48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139</v>
      </c>
      <c r="C63" s="12">
        <v>7</v>
      </c>
      <c r="D63" s="8">
        <v>1.89</v>
      </c>
      <c r="E63" s="12">
        <v>7</v>
      </c>
      <c r="F63" s="8">
        <v>2.48</v>
      </c>
      <c r="G63" s="12">
        <v>0</v>
      </c>
      <c r="H63" s="8">
        <v>0</v>
      </c>
      <c r="I63" s="12">
        <v>0</v>
      </c>
    </row>
    <row r="64" spans="2:9" ht="15" customHeight="1" x14ac:dyDescent="0.2">
      <c r="B64" t="s">
        <v>163</v>
      </c>
      <c r="C64" s="12">
        <v>5</v>
      </c>
      <c r="D64" s="8">
        <v>1.35</v>
      </c>
      <c r="E64" s="12">
        <v>3</v>
      </c>
      <c r="F64" s="8">
        <v>1.06</v>
      </c>
      <c r="G64" s="12">
        <v>2</v>
      </c>
      <c r="H64" s="8">
        <v>2.35</v>
      </c>
      <c r="I64" s="12">
        <v>0</v>
      </c>
    </row>
    <row r="65" spans="2:9" ht="15" customHeight="1" x14ac:dyDescent="0.2">
      <c r="B65" t="s">
        <v>134</v>
      </c>
      <c r="C65" s="12">
        <v>5</v>
      </c>
      <c r="D65" s="8">
        <v>1.35</v>
      </c>
      <c r="E65" s="12">
        <v>5</v>
      </c>
      <c r="F65" s="8">
        <v>1.77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135</v>
      </c>
      <c r="C66" s="12">
        <v>5</v>
      </c>
      <c r="D66" s="8">
        <v>1.35</v>
      </c>
      <c r="E66" s="12">
        <v>5</v>
      </c>
      <c r="F66" s="8">
        <v>1.77</v>
      </c>
      <c r="G66" s="12">
        <v>0</v>
      </c>
      <c r="H66" s="8">
        <v>0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FB0AB-A593-4C2B-BE3D-58A821932A74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231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33</v>
      </c>
      <c r="D6" s="8">
        <v>10.029999999999999</v>
      </c>
      <c r="E6" s="12">
        <v>20</v>
      </c>
      <c r="F6" s="8">
        <v>8.3699999999999992</v>
      </c>
      <c r="G6" s="12">
        <v>13</v>
      </c>
      <c r="H6" s="8">
        <v>14.94</v>
      </c>
      <c r="I6" s="12">
        <v>0</v>
      </c>
    </row>
    <row r="7" spans="2:9" ht="15" customHeight="1" x14ac:dyDescent="0.2">
      <c r="B7" t="s">
        <v>48</v>
      </c>
      <c r="C7" s="12">
        <v>22</v>
      </c>
      <c r="D7" s="8">
        <v>6.69</v>
      </c>
      <c r="E7" s="12">
        <v>13</v>
      </c>
      <c r="F7" s="8">
        <v>5.44</v>
      </c>
      <c r="G7" s="12">
        <v>9</v>
      </c>
      <c r="H7" s="8">
        <v>10.34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0.3</v>
      </c>
      <c r="E8" s="12">
        <v>0</v>
      </c>
      <c r="F8" s="8">
        <v>0</v>
      </c>
      <c r="G8" s="12">
        <v>1</v>
      </c>
      <c r="H8" s="8">
        <v>1.1499999999999999</v>
      </c>
      <c r="I8" s="12">
        <v>0</v>
      </c>
    </row>
    <row r="9" spans="2:9" ht="15" customHeight="1" x14ac:dyDescent="0.2">
      <c r="B9" t="s">
        <v>50</v>
      </c>
      <c r="C9" s="12">
        <v>4</v>
      </c>
      <c r="D9" s="8">
        <v>1.22</v>
      </c>
      <c r="E9" s="12">
        <v>1</v>
      </c>
      <c r="F9" s="8">
        <v>0.42</v>
      </c>
      <c r="G9" s="12">
        <v>3</v>
      </c>
      <c r="H9" s="8">
        <v>3.45</v>
      </c>
      <c r="I9" s="12">
        <v>0</v>
      </c>
    </row>
    <row r="10" spans="2:9" ht="15" customHeight="1" x14ac:dyDescent="0.2">
      <c r="B10" t="s">
        <v>51</v>
      </c>
      <c r="C10" s="12">
        <v>2</v>
      </c>
      <c r="D10" s="8">
        <v>0.61</v>
      </c>
      <c r="E10" s="12">
        <v>0</v>
      </c>
      <c r="F10" s="8">
        <v>0</v>
      </c>
      <c r="G10" s="12">
        <v>1</v>
      </c>
      <c r="H10" s="8">
        <v>1.1499999999999999</v>
      </c>
      <c r="I10" s="12">
        <v>1</v>
      </c>
    </row>
    <row r="11" spans="2:9" ht="15" customHeight="1" x14ac:dyDescent="0.2">
      <c r="B11" t="s">
        <v>52</v>
      </c>
      <c r="C11" s="12">
        <v>86</v>
      </c>
      <c r="D11" s="8">
        <v>26.14</v>
      </c>
      <c r="E11" s="12">
        <v>52</v>
      </c>
      <c r="F11" s="8">
        <v>21.76</v>
      </c>
      <c r="G11" s="12">
        <v>34</v>
      </c>
      <c r="H11" s="8">
        <v>39.08</v>
      </c>
      <c r="I11" s="12">
        <v>0</v>
      </c>
    </row>
    <row r="12" spans="2:9" ht="15" customHeight="1" x14ac:dyDescent="0.2">
      <c r="B12" t="s">
        <v>53</v>
      </c>
      <c r="C12" s="12">
        <v>2</v>
      </c>
      <c r="D12" s="8">
        <v>0.61</v>
      </c>
      <c r="E12" s="12">
        <v>1</v>
      </c>
      <c r="F12" s="8">
        <v>0.42</v>
      </c>
      <c r="G12" s="12">
        <v>1</v>
      </c>
      <c r="H12" s="8">
        <v>1.1499999999999999</v>
      </c>
      <c r="I12" s="12">
        <v>0</v>
      </c>
    </row>
    <row r="13" spans="2:9" ht="15" customHeight="1" x14ac:dyDescent="0.2">
      <c r="B13" t="s">
        <v>54</v>
      </c>
      <c r="C13" s="12">
        <v>8</v>
      </c>
      <c r="D13" s="8">
        <v>2.4300000000000002</v>
      </c>
      <c r="E13" s="12">
        <v>3</v>
      </c>
      <c r="F13" s="8">
        <v>1.26</v>
      </c>
      <c r="G13" s="12">
        <v>5</v>
      </c>
      <c r="H13" s="8">
        <v>5.75</v>
      </c>
      <c r="I13" s="12">
        <v>0</v>
      </c>
    </row>
    <row r="14" spans="2:9" ht="15" customHeight="1" x14ac:dyDescent="0.2">
      <c r="B14" t="s">
        <v>55</v>
      </c>
      <c r="C14" s="12">
        <v>8</v>
      </c>
      <c r="D14" s="8">
        <v>2.4300000000000002</v>
      </c>
      <c r="E14" s="12">
        <v>7</v>
      </c>
      <c r="F14" s="8">
        <v>2.93</v>
      </c>
      <c r="G14" s="12">
        <v>1</v>
      </c>
      <c r="H14" s="8">
        <v>1.1499999999999999</v>
      </c>
      <c r="I14" s="12">
        <v>0</v>
      </c>
    </row>
    <row r="15" spans="2:9" ht="15" customHeight="1" x14ac:dyDescent="0.2">
      <c r="B15" t="s">
        <v>56</v>
      </c>
      <c r="C15" s="12">
        <v>88</v>
      </c>
      <c r="D15" s="8">
        <v>26.75</v>
      </c>
      <c r="E15" s="12">
        <v>84</v>
      </c>
      <c r="F15" s="8">
        <v>35.15</v>
      </c>
      <c r="G15" s="12">
        <v>4</v>
      </c>
      <c r="H15" s="8">
        <v>4.5999999999999996</v>
      </c>
      <c r="I15" s="12">
        <v>0</v>
      </c>
    </row>
    <row r="16" spans="2:9" ht="15" customHeight="1" x14ac:dyDescent="0.2">
      <c r="B16" t="s">
        <v>57</v>
      </c>
      <c r="C16" s="12">
        <v>42</v>
      </c>
      <c r="D16" s="8">
        <v>12.77</v>
      </c>
      <c r="E16" s="12">
        <v>34</v>
      </c>
      <c r="F16" s="8">
        <v>14.23</v>
      </c>
      <c r="G16" s="12">
        <v>8</v>
      </c>
      <c r="H16" s="8">
        <v>9.1999999999999993</v>
      </c>
      <c r="I16" s="12">
        <v>0</v>
      </c>
    </row>
    <row r="17" spans="2:9" ht="15" customHeight="1" x14ac:dyDescent="0.2">
      <c r="B17" t="s">
        <v>58</v>
      </c>
      <c r="C17" s="12">
        <v>17</v>
      </c>
      <c r="D17" s="8">
        <v>5.17</v>
      </c>
      <c r="E17" s="12">
        <v>13</v>
      </c>
      <c r="F17" s="8">
        <v>5.44</v>
      </c>
      <c r="G17" s="12">
        <v>4</v>
      </c>
      <c r="H17" s="8">
        <v>4.5999999999999996</v>
      </c>
      <c r="I17" s="12">
        <v>0</v>
      </c>
    </row>
    <row r="18" spans="2:9" ht="15" customHeight="1" x14ac:dyDescent="0.2">
      <c r="B18" t="s">
        <v>59</v>
      </c>
      <c r="C18" s="12">
        <v>8</v>
      </c>
      <c r="D18" s="8">
        <v>2.4300000000000002</v>
      </c>
      <c r="E18" s="12">
        <v>6</v>
      </c>
      <c r="F18" s="8">
        <v>2.5099999999999998</v>
      </c>
      <c r="G18" s="12">
        <v>2</v>
      </c>
      <c r="H18" s="8">
        <v>2.2999999999999998</v>
      </c>
      <c r="I18" s="12">
        <v>0</v>
      </c>
    </row>
    <row r="19" spans="2:9" ht="15" customHeight="1" x14ac:dyDescent="0.2">
      <c r="B19" t="s">
        <v>60</v>
      </c>
      <c r="C19" s="12">
        <v>8</v>
      </c>
      <c r="D19" s="8">
        <v>2.4300000000000002</v>
      </c>
      <c r="E19" s="12">
        <v>5</v>
      </c>
      <c r="F19" s="8">
        <v>2.09</v>
      </c>
      <c r="G19" s="12">
        <v>1</v>
      </c>
      <c r="H19" s="8">
        <v>1.1499999999999999</v>
      </c>
      <c r="I19" s="12">
        <v>1</v>
      </c>
    </row>
    <row r="20" spans="2:9" ht="15" customHeight="1" x14ac:dyDescent="0.2">
      <c r="B20" s="9" t="s">
        <v>191</v>
      </c>
      <c r="C20" s="12">
        <f>SUM(LTBL_22305[総数／事業所数])</f>
        <v>329</v>
      </c>
      <c r="E20" s="12">
        <f>SUBTOTAL(109,LTBL_22305[個人／事業所数])</f>
        <v>239</v>
      </c>
      <c r="G20" s="12">
        <f>SUBTOTAL(109,LTBL_22305[法人／事業所数])</f>
        <v>87</v>
      </c>
      <c r="I20" s="12">
        <f>SUBTOTAL(109,LTBL_22305[法人以外の団体／事業所数])</f>
        <v>2</v>
      </c>
    </row>
    <row r="21" spans="2:9" ht="15" customHeight="1" x14ac:dyDescent="0.2">
      <c r="E21" s="11">
        <f>LTBL_22305[[#Totals],[個人／事業所数]]/LTBL_22305[[#Totals],[総数／事業所数]]</f>
        <v>0.7264437689969605</v>
      </c>
      <c r="G21" s="11">
        <f>LTBL_22305[[#Totals],[法人／事業所数]]/LTBL_22305[[#Totals],[総数／事業所数]]</f>
        <v>0.26443768996960487</v>
      </c>
      <c r="I21" s="11">
        <f>LTBL_22305[[#Totals],[法人以外の団体／事業所数]]/LTBL_22305[[#Totals],[総数／事業所数]]</f>
        <v>6.0790273556231003E-3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99</v>
      </c>
      <c r="C24" s="12">
        <v>51</v>
      </c>
      <c r="D24" s="8">
        <v>15.5</v>
      </c>
      <c r="E24" s="12">
        <v>49</v>
      </c>
      <c r="F24" s="8">
        <v>20.5</v>
      </c>
      <c r="G24" s="12">
        <v>2</v>
      </c>
      <c r="H24" s="8">
        <v>2.2999999999999998</v>
      </c>
      <c r="I24" s="12">
        <v>0</v>
      </c>
    </row>
    <row r="25" spans="2:9" ht="15" customHeight="1" x14ac:dyDescent="0.2">
      <c r="B25" t="s">
        <v>84</v>
      </c>
      <c r="C25" s="12">
        <v>36</v>
      </c>
      <c r="D25" s="8">
        <v>10.94</v>
      </c>
      <c r="E25" s="12">
        <v>34</v>
      </c>
      <c r="F25" s="8">
        <v>14.23</v>
      </c>
      <c r="G25" s="12">
        <v>2</v>
      </c>
      <c r="H25" s="8">
        <v>2.2999999999999998</v>
      </c>
      <c r="I25" s="12">
        <v>0</v>
      </c>
    </row>
    <row r="26" spans="2:9" ht="15" customHeight="1" x14ac:dyDescent="0.2">
      <c r="B26" t="s">
        <v>85</v>
      </c>
      <c r="C26" s="12">
        <v>31</v>
      </c>
      <c r="D26" s="8">
        <v>9.42</v>
      </c>
      <c r="E26" s="12">
        <v>28</v>
      </c>
      <c r="F26" s="8">
        <v>11.72</v>
      </c>
      <c r="G26" s="12">
        <v>3</v>
      </c>
      <c r="H26" s="8">
        <v>3.45</v>
      </c>
      <c r="I26" s="12">
        <v>0</v>
      </c>
    </row>
    <row r="27" spans="2:9" ht="15" customHeight="1" x14ac:dyDescent="0.2">
      <c r="B27" t="s">
        <v>77</v>
      </c>
      <c r="C27" s="12">
        <v>30</v>
      </c>
      <c r="D27" s="8">
        <v>9.1199999999999992</v>
      </c>
      <c r="E27" s="12">
        <v>25</v>
      </c>
      <c r="F27" s="8">
        <v>10.46</v>
      </c>
      <c r="G27" s="12">
        <v>5</v>
      </c>
      <c r="H27" s="8">
        <v>5.75</v>
      </c>
      <c r="I27" s="12">
        <v>0</v>
      </c>
    </row>
    <row r="28" spans="2:9" ht="15" customHeight="1" x14ac:dyDescent="0.2">
      <c r="B28" t="s">
        <v>79</v>
      </c>
      <c r="C28" s="12">
        <v>21</v>
      </c>
      <c r="D28" s="8">
        <v>6.38</v>
      </c>
      <c r="E28" s="12">
        <v>10</v>
      </c>
      <c r="F28" s="8">
        <v>4.18</v>
      </c>
      <c r="G28" s="12">
        <v>11</v>
      </c>
      <c r="H28" s="8">
        <v>12.64</v>
      </c>
      <c r="I28" s="12">
        <v>0</v>
      </c>
    </row>
    <row r="29" spans="2:9" ht="15" customHeight="1" x14ac:dyDescent="0.2">
      <c r="B29" t="s">
        <v>86</v>
      </c>
      <c r="C29" s="12">
        <v>17</v>
      </c>
      <c r="D29" s="8">
        <v>5.17</v>
      </c>
      <c r="E29" s="12">
        <v>13</v>
      </c>
      <c r="F29" s="8">
        <v>5.44</v>
      </c>
      <c r="G29" s="12">
        <v>4</v>
      </c>
      <c r="H29" s="8">
        <v>4.5999999999999996</v>
      </c>
      <c r="I29" s="12">
        <v>0</v>
      </c>
    </row>
    <row r="30" spans="2:9" ht="15" customHeight="1" x14ac:dyDescent="0.2">
      <c r="B30" t="s">
        <v>69</v>
      </c>
      <c r="C30" s="12">
        <v>13</v>
      </c>
      <c r="D30" s="8">
        <v>3.95</v>
      </c>
      <c r="E30" s="12">
        <v>6</v>
      </c>
      <c r="F30" s="8">
        <v>2.5099999999999998</v>
      </c>
      <c r="G30" s="12">
        <v>7</v>
      </c>
      <c r="H30" s="8">
        <v>8.0500000000000007</v>
      </c>
      <c r="I30" s="12">
        <v>0</v>
      </c>
    </row>
    <row r="31" spans="2:9" ht="15" customHeight="1" x14ac:dyDescent="0.2">
      <c r="B31" t="s">
        <v>70</v>
      </c>
      <c r="C31" s="12">
        <v>12</v>
      </c>
      <c r="D31" s="8">
        <v>3.65</v>
      </c>
      <c r="E31" s="12">
        <v>9</v>
      </c>
      <c r="F31" s="8">
        <v>3.77</v>
      </c>
      <c r="G31" s="12">
        <v>3</v>
      </c>
      <c r="H31" s="8">
        <v>3.45</v>
      </c>
      <c r="I31" s="12">
        <v>0</v>
      </c>
    </row>
    <row r="32" spans="2:9" ht="15" customHeight="1" x14ac:dyDescent="0.2">
      <c r="B32" t="s">
        <v>76</v>
      </c>
      <c r="C32" s="12">
        <v>10</v>
      </c>
      <c r="D32" s="8">
        <v>3.04</v>
      </c>
      <c r="E32" s="12">
        <v>6</v>
      </c>
      <c r="F32" s="8">
        <v>2.5099999999999998</v>
      </c>
      <c r="G32" s="12">
        <v>4</v>
      </c>
      <c r="H32" s="8">
        <v>4.5999999999999996</v>
      </c>
      <c r="I32" s="12">
        <v>0</v>
      </c>
    </row>
    <row r="33" spans="2:9" ht="15" customHeight="1" x14ac:dyDescent="0.2">
      <c r="B33" t="s">
        <v>78</v>
      </c>
      <c r="C33" s="12">
        <v>9</v>
      </c>
      <c r="D33" s="8">
        <v>2.74</v>
      </c>
      <c r="E33" s="12">
        <v>3</v>
      </c>
      <c r="F33" s="8">
        <v>1.26</v>
      </c>
      <c r="G33" s="12">
        <v>6</v>
      </c>
      <c r="H33" s="8">
        <v>6.9</v>
      </c>
      <c r="I33" s="12">
        <v>0</v>
      </c>
    </row>
    <row r="34" spans="2:9" ht="15" customHeight="1" x14ac:dyDescent="0.2">
      <c r="B34" t="s">
        <v>71</v>
      </c>
      <c r="C34" s="12">
        <v>8</v>
      </c>
      <c r="D34" s="8">
        <v>2.4300000000000002</v>
      </c>
      <c r="E34" s="12">
        <v>5</v>
      </c>
      <c r="F34" s="8">
        <v>2.09</v>
      </c>
      <c r="G34" s="12">
        <v>3</v>
      </c>
      <c r="H34" s="8">
        <v>3.45</v>
      </c>
      <c r="I34" s="12">
        <v>0</v>
      </c>
    </row>
    <row r="35" spans="2:9" ht="15" customHeight="1" x14ac:dyDescent="0.2">
      <c r="B35" t="s">
        <v>81</v>
      </c>
      <c r="C35" s="12">
        <v>7</v>
      </c>
      <c r="D35" s="8">
        <v>2.13</v>
      </c>
      <c r="E35" s="12">
        <v>3</v>
      </c>
      <c r="F35" s="8">
        <v>1.26</v>
      </c>
      <c r="G35" s="12">
        <v>4</v>
      </c>
      <c r="H35" s="8">
        <v>4.5999999999999996</v>
      </c>
      <c r="I35" s="12">
        <v>0</v>
      </c>
    </row>
    <row r="36" spans="2:9" ht="15" customHeight="1" x14ac:dyDescent="0.2">
      <c r="B36" t="s">
        <v>101</v>
      </c>
      <c r="C36" s="12">
        <v>7</v>
      </c>
      <c r="D36" s="8">
        <v>2.13</v>
      </c>
      <c r="E36" s="12">
        <v>4</v>
      </c>
      <c r="F36" s="8">
        <v>1.67</v>
      </c>
      <c r="G36" s="12">
        <v>3</v>
      </c>
      <c r="H36" s="8">
        <v>3.45</v>
      </c>
      <c r="I36" s="12">
        <v>0</v>
      </c>
    </row>
    <row r="37" spans="2:9" ht="15" customHeight="1" x14ac:dyDescent="0.2">
      <c r="B37" t="s">
        <v>87</v>
      </c>
      <c r="C37" s="12">
        <v>7</v>
      </c>
      <c r="D37" s="8">
        <v>2.13</v>
      </c>
      <c r="E37" s="12">
        <v>6</v>
      </c>
      <c r="F37" s="8">
        <v>2.5099999999999998</v>
      </c>
      <c r="G37" s="12">
        <v>1</v>
      </c>
      <c r="H37" s="8">
        <v>1.1499999999999999</v>
      </c>
      <c r="I37" s="12">
        <v>0</v>
      </c>
    </row>
    <row r="38" spans="2:9" ht="15" customHeight="1" x14ac:dyDescent="0.2">
      <c r="B38" t="s">
        <v>83</v>
      </c>
      <c r="C38" s="12">
        <v>6</v>
      </c>
      <c r="D38" s="8">
        <v>1.82</v>
      </c>
      <c r="E38" s="12">
        <v>5</v>
      </c>
      <c r="F38" s="8">
        <v>2.09</v>
      </c>
      <c r="G38" s="12">
        <v>1</v>
      </c>
      <c r="H38" s="8">
        <v>1.1499999999999999</v>
      </c>
      <c r="I38" s="12">
        <v>0</v>
      </c>
    </row>
    <row r="39" spans="2:9" ht="15" customHeight="1" x14ac:dyDescent="0.2">
      <c r="B39" t="s">
        <v>100</v>
      </c>
      <c r="C39" s="12">
        <v>5</v>
      </c>
      <c r="D39" s="8">
        <v>1.52</v>
      </c>
      <c r="E39" s="12">
        <v>2</v>
      </c>
      <c r="F39" s="8">
        <v>0.84</v>
      </c>
      <c r="G39" s="12">
        <v>3</v>
      </c>
      <c r="H39" s="8">
        <v>3.45</v>
      </c>
      <c r="I39" s="12">
        <v>0</v>
      </c>
    </row>
    <row r="40" spans="2:9" ht="15" customHeight="1" x14ac:dyDescent="0.2">
      <c r="B40" t="s">
        <v>88</v>
      </c>
      <c r="C40" s="12">
        <v>5</v>
      </c>
      <c r="D40" s="8">
        <v>1.52</v>
      </c>
      <c r="E40" s="12">
        <v>4</v>
      </c>
      <c r="F40" s="8">
        <v>1.67</v>
      </c>
      <c r="G40" s="12">
        <v>1</v>
      </c>
      <c r="H40" s="8">
        <v>1.1499999999999999</v>
      </c>
      <c r="I40" s="12">
        <v>0</v>
      </c>
    </row>
    <row r="41" spans="2:9" ht="15" customHeight="1" x14ac:dyDescent="0.2">
      <c r="B41" t="s">
        <v>92</v>
      </c>
      <c r="C41" s="12">
        <v>4</v>
      </c>
      <c r="D41" s="8">
        <v>1.22</v>
      </c>
      <c r="E41" s="12">
        <v>4</v>
      </c>
      <c r="F41" s="8">
        <v>1.67</v>
      </c>
      <c r="G41" s="12">
        <v>0</v>
      </c>
      <c r="H41" s="8">
        <v>0</v>
      </c>
      <c r="I41" s="12">
        <v>0</v>
      </c>
    </row>
    <row r="42" spans="2:9" ht="15" customHeight="1" x14ac:dyDescent="0.2">
      <c r="B42" t="s">
        <v>74</v>
      </c>
      <c r="C42" s="12">
        <v>4</v>
      </c>
      <c r="D42" s="8">
        <v>1.22</v>
      </c>
      <c r="E42" s="12">
        <v>1</v>
      </c>
      <c r="F42" s="8">
        <v>0.42</v>
      </c>
      <c r="G42" s="12">
        <v>3</v>
      </c>
      <c r="H42" s="8">
        <v>3.45</v>
      </c>
      <c r="I42" s="12">
        <v>0</v>
      </c>
    </row>
    <row r="43" spans="2:9" ht="15" customHeight="1" x14ac:dyDescent="0.2">
      <c r="B43" t="s">
        <v>89</v>
      </c>
      <c r="C43" s="12">
        <v>4</v>
      </c>
      <c r="D43" s="8">
        <v>1.22</v>
      </c>
      <c r="E43" s="12">
        <v>2</v>
      </c>
      <c r="F43" s="8">
        <v>0.84</v>
      </c>
      <c r="G43" s="12">
        <v>2</v>
      </c>
      <c r="H43" s="8">
        <v>2.2999999999999998</v>
      </c>
      <c r="I43" s="12">
        <v>0</v>
      </c>
    </row>
    <row r="44" spans="2:9" ht="15" customHeight="1" x14ac:dyDescent="0.2">
      <c r="B44" t="s">
        <v>110</v>
      </c>
      <c r="C44" s="12">
        <v>4</v>
      </c>
      <c r="D44" s="8">
        <v>1.22</v>
      </c>
      <c r="E44" s="12">
        <v>3</v>
      </c>
      <c r="F44" s="8">
        <v>1.26</v>
      </c>
      <c r="G44" s="12">
        <v>1</v>
      </c>
      <c r="H44" s="8">
        <v>1.1499999999999999</v>
      </c>
      <c r="I44" s="12">
        <v>0</v>
      </c>
    </row>
    <row r="45" spans="2:9" ht="15" customHeight="1" x14ac:dyDescent="0.2">
      <c r="B45" t="s">
        <v>95</v>
      </c>
      <c r="C45" s="12">
        <v>4</v>
      </c>
      <c r="D45" s="8">
        <v>1.22</v>
      </c>
      <c r="E45" s="12">
        <v>2</v>
      </c>
      <c r="F45" s="8">
        <v>0.84</v>
      </c>
      <c r="G45" s="12">
        <v>2</v>
      </c>
      <c r="H45" s="8">
        <v>2.2999999999999998</v>
      </c>
      <c r="I45" s="12">
        <v>0</v>
      </c>
    </row>
    <row r="48" spans="2:9" ht="33" customHeight="1" x14ac:dyDescent="0.2">
      <c r="B48" t="s">
        <v>193</v>
      </c>
      <c r="C48" s="10" t="s">
        <v>62</v>
      </c>
      <c r="D48" s="10" t="s">
        <v>63</v>
      </c>
      <c r="E48" s="10" t="s">
        <v>64</v>
      </c>
      <c r="F48" s="10" t="s">
        <v>65</v>
      </c>
      <c r="G48" s="10" t="s">
        <v>66</v>
      </c>
      <c r="H48" s="10" t="s">
        <v>67</v>
      </c>
      <c r="I48" s="10" t="s">
        <v>68</v>
      </c>
    </row>
    <row r="49" spans="2:9" ht="15" customHeight="1" x14ac:dyDescent="0.2">
      <c r="B49" t="s">
        <v>160</v>
      </c>
      <c r="C49" s="12">
        <v>47</v>
      </c>
      <c r="D49" s="8">
        <v>14.29</v>
      </c>
      <c r="E49" s="12">
        <v>45</v>
      </c>
      <c r="F49" s="8">
        <v>18.829999999999998</v>
      </c>
      <c r="G49" s="12">
        <v>2</v>
      </c>
      <c r="H49" s="8">
        <v>2.2999999999999998</v>
      </c>
      <c r="I49" s="12">
        <v>0</v>
      </c>
    </row>
    <row r="50" spans="2:9" ht="15" customHeight="1" x14ac:dyDescent="0.2">
      <c r="B50" t="s">
        <v>131</v>
      </c>
      <c r="C50" s="12">
        <v>15</v>
      </c>
      <c r="D50" s="8">
        <v>4.5599999999999996</v>
      </c>
      <c r="E50" s="12">
        <v>15</v>
      </c>
      <c r="F50" s="8">
        <v>6.28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128</v>
      </c>
      <c r="C51" s="12">
        <v>12</v>
      </c>
      <c r="D51" s="8">
        <v>3.65</v>
      </c>
      <c r="E51" s="12">
        <v>10</v>
      </c>
      <c r="F51" s="8">
        <v>4.18</v>
      </c>
      <c r="G51" s="12">
        <v>2</v>
      </c>
      <c r="H51" s="8">
        <v>2.2999999999999998</v>
      </c>
      <c r="I51" s="12">
        <v>0</v>
      </c>
    </row>
    <row r="52" spans="2:9" ht="15" customHeight="1" x14ac:dyDescent="0.2">
      <c r="B52" t="s">
        <v>121</v>
      </c>
      <c r="C52" s="12">
        <v>11</v>
      </c>
      <c r="D52" s="8">
        <v>3.34</v>
      </c>
      <c r="E52" s="12">
        <v>9</v>
      </c>
      <c r="F52" s="8">
        <v>3.77</v>
      </c>
      <c r="G52" s="12">
        <v>2</v>
      </c>
      <c r="H52" s="8">
        <v>2.2999999999999998</v>
      </c>
      <c r="I52" s="12">
        <v>0</v>
      </c>
    </row>
    <row r="53" spans="2:9" ht="15" customHeight="1" x14ac:dyDescent="0.2">
      <c r="B53" t="s">
        <v>132</v>
      </c>
      <c r="C53" s="12">
        <v>11</v>
      </c>
      <c r="D53" s="8">
        <v>3.34</v>
      </c>
      <c r="E53" s="12">
        <v>11</v>
      </c>
      <c r="F53" s="8">
        <v>4.5999999999999996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133</v>
      </c>
      <c r="C54" s="12">
        <v>10</v>
      </c>
      <c r="D54" s="8">
        <v>3.04</v>
      </c>
      <c r="E54" s="12">
        <v>7</v>
      </c>
      <c r="F54" s="8">
        <v>2.93</v>
      </c>
      <c r="G54" s="12">
        <v>3</v>
      </c>
      <c r="H54" s="8">
        <v>3.45</v>
      </c>
      <c r="I54" s="12">
        <v>0</v>
      </c>
    </row>
    <row r="55" spans="2:9" ht="15" customHeight="1" x14ac:dyDescent="0.2">
      <c r="B55" t="s">
        <v>136</v>
      </c>
      <c r="C55" s="12">
        <v>9</v>
      </c>
      <c r="D55" s="8">
        <v>2.74</v>
      </c>
      <c r="E55" s="12">
        <v>8</v>
      </c>
      <c r="F55" s="8">
        <v>3.35</v>
      </c>
      <c r="G55" s="12">
        <v>1</v>
      </c>
      <c r="H55" s="8">
        <v>1.1499999999999999</v>
      </c>
      <c r="I55" s="12">
        <v>0</v>
      </c>
    </row>
    <row r="56" spans="2:9" ht="15" customHeight="1" x14ac:dyDescent="0.2">
      <c r="B56" t="s">
        <v>122</v>
      </c>
      <c r="C56" s="12">
        <v>8</v>
      </c>
      <c r="D56" s="8">
        <v>2.4300000000000002</v>
      </c>
      <c r="E56" s="12">
        <v>3</v>
      </c>
      <c r="F56" s="8">
        <v>1.26</v>
      </c>
      <c r="G56" s="12">
        <v>5</v>
      </c>
      <c r="H56" s="8">
        <v>5.75</v>
      </c>
      <c r="I56" s="12">
        <v>0</v>
      </c>
    </row>
    <row r="57" spans="2:9" ht="15" customHeight="1" x14ac:dyDescent="0.2">
      <c r="B57" t="s">
        <v>161</v>
      </c>
      <c r="C57" s="12">
        <v>8</v>
      </c>
      <c r="D57" s="8">
        <v>2.4300000000000002</v>
      </c>
      <c r="E57" s="12">
        <v>8</v>
      </c>
      <c r="F57" s="8">
        <v>3.35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139</v>
      </c>
      <c r="C58" s="12">
        <v>7</v>
      </c>
      <c r="D58" s="8">
        <v>2.13</v>
      </c>
      <c r="E58" s="12">
        <v>7</v>
      </c>
      <c r="F58" s="8">
        <v>2.93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170</v>
      </c>
      <c r="C59" s="12">
        <v>7</v>
      </c>
      <c r="D59" s="8">
        <v>2.13</v>
      </c>
      <c r="E59" s="12">
        <v>4</v>
      </c>
      <c r="F59" s="8">
        <v>1.67</v>
      </c>
      <c r="G59" s="12">
        <v>3</v>
      </c>
      <c r="H59" s="8">
        <v>3.45</v>
      </c>
      <c r="I59" s="12">
        <v>0</v>
      </c>
    </row>
    <row r="60" spans="2:9" ht="15" customHeight="1" x14ac:dyDescent="0.2">
      <c r="B60" t="s">
        <v>123</v>
      </c>
      <c r="C60" s="12">
        <v>6</v>
      </c>
      <c r="D60" s="8">
        <v>1.82</v>
      </c>
      <c r="E60" s="12">
        <v>4</v>
      </c>
      <c r="F60" s="8">
        <v>1.67</v>
      </c>
      <c r="G60" s="12">
        <v>2</v>
      </c>
      <c r="H60" s="8">
        <v>2.2999999999999998</v>
      </c>
      <c r="I60" s="12">
        <v>0</v>
      </c>
    </row>
    <row r="61" spans="2:9" ht="15" customHeight="1" x14ac:dyDescent="0.2">
      <c r="B61" t="s">
        <v>153</v>
      </c>
      <c r="C61" s="12">
        <v>6</v>
      </c>
      <c r="D61" s="8">
        <v>1.82</v>
      </c>
      <c r="E61" s="12">
        <v>6</v>
      </c>
      <c r="F61" s="8">
        <v>2.5099999999999998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116</v>
      </c>
      <c r="C62" s="12">
        <v>5</v>
      </c>
      <c r="D62" s="8">
        <v>1.52</v>
      </c>
      <c r="E62" s="12">
        <v>1</v>
      </c>
      <c r="F62" s="8">
        <v>0.42</v>
      </c>
      <c r="G62" s="12">
        <v>4</v>
      </c>
      <c r="H62" s="8">
        <v>4.5999999999999996</v>
      </c>
      <c r="I62" s="12">
        <v>0</v>
      </c>
    </row>
    <row r="63" spans="2:9" ht="15" customHeight="1" x14ac:dyDescent="0.2">
      <c r="B63" t="s">
        <v>124</v>
      </c>
      <c r="C63" s="12">
        <v>5</v>
      </c>
      <c r="D63" s="8">
        <v>1.52</v>
      </c>
      <c r="E63" s="12">
        <v>4</v>
      </c>
      <c r="F63" s="8">
        <v>1.67</v>
      </c>
      <c r="G63" s="12">
        <v>1</v>
      </c>
      <c r="H63" s="8">
        <v>1.1499999999999999</v>
      </c>
      <c r="I63" s="12">
        <v>0</v>
      </c>
    </row>
    <row r="64" spans="2:9" ht="15" customHeight="1" x14ac:dyDescent="0.2">
      <c r="B64" t="s">
        <v>140</v>
      </c>
      <c r="C64" s="12">
        <v>5</v>
      </c>
      <c r="D64" s="8">
        <v>1.52</v>
      </c>
      <c r="E64" s="12">
        <v>2</v>
      </c>
      <c r="F64" s="8">
        <v>0.84</v>
      </c>
      <c r="G64" s="12">
        <v>3</v>
      </c>
      <c r="H64" s="8">
        <v>3.45</v>
      </c>
      <c r="I64" s="12">
        <v>0</v>
      </c>
    </row>
    <row r="65" spans="2:9" ht="15" customHeight="1" x14ac:dyDescent="0.2">
      <c r="B65" t="s">
        <v>135</v>
      </c>
      <c r="C65" s="12">
        <v>5</v>
      </c>
      <c r="D65" s="8">
        <v>1.52</v>
      </c>
      <c r="E65" s="12">
        <v>4</v>
      </c>
      <c r="F65" s="8">
        <v>1.67</v>
      </c>
      <c r="G65" s="12">
        <v>1</v>
      </c>
      <c r="H65" s="8">
        <v>1.1499999999999999</v>
      </c>
      <c r="I65" s="12">
        <v>0</v>
      </c>
    </row>
    <row r="66" spans="2:9" ht="15" customHeight="1" x14ac:dyDescent="0.2">
      <c r="B66" t="s">
        <v>118</v>
      </c>
      <c r="C66" s="12">
        <v>4</v>
      </c>
      <c r="D66" s="8">
        <v>1.22</v>
      </c>
      <c r="E66" s="12">
        <v>3</v>
      </c>
      <c r="F66" s="8">
        <v>1.26</v>
      </c>
      <c r="G66" s="12">
        <v>1</v>
      </c>
      <c r="H66" s="8">
        <v>1.1499999999999999</v>
      </c>
      <c r="I66" s="12">
        <v>0</v>
      </c>
    </row>
    <row r="67" spans="2:9" ht="15" customHeight="1" x14ac:dyDescent="0.2">
      <c r="B67" t="s">
        <v>144</v>
      </c>
      <c r="C67" s="12">
        <v>4</v>
      </c>
      <c r="D67" s="8">
        <v>1.22</v>
      </c>
      <c r="E67" s="12">
        <v>4</v>
      </c>
      <c r="F67" s="8">
        <v>1.67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179</v>
      </c>
      <c r="C68" s="12">
        <v>4</v>
      </c>
      <c r="D68" s="8">
        <v>1.22</v>
      </c>
      <c r="E68" s="12">
        <v>1</v>
      </c>
      <c r="F68" s="8">
        <v>0.42</v>
      </c>
      <c r="G68" s="12">
        <v>3</v>
      </c>
      <c r="H68" s="8">
        <v>3.45</v>
      </c>
      <c r="I68" s="12">
        <v>0</v>
      </c>
    </row>
    <row r="69" spans="2:9" ht="15" customHeight="1" x14ac:dyDescent="0.2">
      <c r="B69" t="s">
        <v>137</v>
      </c>
      <c r="C69" s="12">
        <v>4</v>
      </c>
      <c r="D69" s="8">
        <v>1.22</v>
      </c>
      <c r="E69" s="12">
        <v>0</v>
      </c>
      <c r="F69" s="8">
        <v>0</v>
      </c>
      <c r="G69" s="12">
        <v>4</v>
      </c>
      <c r="H69" s="8">
        <v>4.5999999999999996</v>
      </c>
      <c r="I69" s="12">
        <v>0</v>
      </c>
    </row>
    <row r="70" spans="2:9" ht="15" customHeight="1" x14ac:dyDescent="0.2">
      <c r="B70" t="s">
        <v>180</v>
      </c>
      <c r="C70" s="12">
        <v>4</v>
      </c>
      <c r="D70" s="8">
        <v>1.22</v>
      </c>
      <c r="E70" s="12">
        <v>4</v>
      </c>
      <c r="F70" s="8">
        <v>1.67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134</v>
      </c>
      <c r="C71" s="12">
        <v>4</v>
      </c>
      <c r="D71" s="8">
        <v>1.22</v>
      </c>
      <c r="E71" s="12">
        <v>4</v>
      </c>
      <c r="F71" s="8">
        <v>1.67</v>
      </c>
      <c r="G71" s="12">
        <v>0</v>
      </c>
      <c r="H71" s="8">
        <v>0</v>
      </c>
      <c r="I71" s="12">
        <v>0</v>
      </c>
    </row>
    <row r="73" spans="2:9" ht="15" customHeight="1" x14ac:dyDescent="0.2">
      <c r="B73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A95AB-828B-4959-AF45-3F82CFC6046A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232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46</v>
      </c>
      <c r="D6" s="8">
        <v>13.41</v>
      </c>
      <c r="E6" s="12">
        <v>23</v>
      </c>
      <c r="F6" s="8">
        <v>9.9600000000000009</v>
      </c>
      <c r="G6" s="12">
        <v>23</v>
      </c>
      <c r="H6" s="8">
        <v>21.7</v>
      </c>
      <c r="I6" s="12">
        <v>0</v>
      </c>
    </row>
    <row r="7" spans="2:9" ht="15" customHeight="1" x14ac:dyDescent="0.2">
      <c r="B7" t="s">
        <v>48</v>
      </c>
      <c r="C7" s="12">
        <v>28</v>
      </c>
      <c r="D7" s="8">
        <v>8.16</v>
      </c>
      <c r="E7" s="12">
        <v>12</v>
      </c>
      <c r="F7" s="8">
        <v>5.19</v>
      </c>
      <c r="G7" s="12">
        <v>16</v>
      </c>
      <c r="H7" s="8">
        <v>15.09</v>
      </c>
      <c r="I7" s="12">
        <v>0</v>
      </c>
    </row>
    <row r="8" spans="2:9" ht="15" customHeight="1" x14ac:dyDescent="0.2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1</v>
      </c>
      <c r="D9" s="8">
        <v>0.28999999999999998</v>
      </c>
      <c r="E9" s="12">
        <v>0</v>
      </c>
      <c r="F9" s="8">
        <v>0</v>
      </c>
      <c r="G9" s="12">
        <v>1</v>
      </c>
      <c r="H9" s="8">
        <v>0.94</v>
      </c>
      <c r="I9" s="12">
        <v>0</v>
      </c>
    </row>
    <row r="10" spans="2:9" ht="15" customHeight="1" x14ac:dyDescent="0.2">
      <c r="B10" t="s">
        <v>51</v>
      </c>
      <c r="C10" s="12">
        <v>3</v>
      </c>
      <c r="D10" s="8">
        <v>0.87</v>
      </c>
      <c r="E10" s="12">
        <v>1</v>
      </c>
      <c r="F10" s="8">
        <v>0.43</v>
      </c>
      <c r="G10" s="12">
        <v>1</v>
      </c>
      <c r="H10" s="8">
        <v>0.94</v>
      </c>
      <c r="I10" s="12">
        <v>1</v>
      </c>
    </row>
    <row r="11" spans="2:9" ht="15" customHeight="1" x14ac:dyDescent="0.2">
      <c r="B11" t="s">
        <v>52</v>
      </c>
      <c r="C11" s="12">
        <v>85</v>
      </c>
      <c r="D11" s="8">
        <v>24.78</v>
      </c>
      <c r="E11" s="12">
        <v>57</v>
      </c>
      <c r="F11" s="8">
        <v>24.68</v>
      </c>
      <c r="G11" s="12">
        <v>28</v>
      </c>
      <c r="H11" s="8">
        <v>26.42</v>
      </c>
      <c r="I11" s="12">
        <v>0</v>
      </c>
    </row>
    <row r="12" spans="2:9" ht="15" customHeight="1" x14ac:dyDescent="0.2">
      <c r="B12" t="s">
        <v>53</v>
      </c>
      <c r="C12" s="12">
        <v>1</v>
      </c>
      <c r="D12" s="8">
        <v>0.28999999999999998</v>
      </c>
      <c r="E12" s="12">
        <v>0</v>
      </c>
      <c r="F12" s="8">
        <v>0</v>
      </c>
      <c r="G12" s="12">
        <v>1</v>
      </c>
      <c r="H12" s="8">
        <v>0.94</v>
      </c>
      <c r="I12" s="12">
        <v>0</v>
      </c>
    </row>
    <row r="13" spans="2:9" ht="15" customHeight="1" x14ac:dyDescent="0.2">
      <c r="B13" t="s">
        <v>54</v>
      </c>
      <c r="C13" s="12">
        <v>21</v>
      </c>
      <c r="D13" s="8">
        <v>6.12</v>
      </c>
      <c r="E13" s="12">
        <v>14</v>
      </c>
      <c r="F13" s="8">
        <v>6.06</v>
      </c>
      <c r="G13" s="12">
        <v>7</v>
      </c>
      <c r="H13" s="8">
        <v>6.6</v>
      </c>
      <c r="I13" s="12">
        <v>0</v>
      </c>
    </row>
    <row r="14" spans="2:9" ht="15" customHeight="1" x14ac:dyDescent="0.2">
      <c r="B14" t="s">
        <v>55</v>
      </c>
      <c r="C14" s="12">
        <v>4</v>
      </c>
      <c r="D14" s="8">
        <v>1.17</v>
      </c>
      <c r="E14" s="12">
        <v>4</v>
      </c>
      <c r="F14" s="8">
        <v>1.73</v>
      </c>
      <c r="G14" s="12">
        <v>0</v>
      </c>
      <c r="H14" s="8">
        <v>0</v>
      </c>
      <c r="I14" s="12">
        <v>0</v>
      </c>
    </row>
    <row r="15" spans="2:9" ht="15" customHeight="1" x14ac:dyDescent="0.2">
      <c r="B15" t="s">
        <v>56</v>
      </c>
      <c r="C15" s="12">
        <v>70</v>
      </c>
      <c r="D15" s="8">
        <v>20.41</v>
      </c>
      <c r="E15" s="12">
        <v>60</v>
      </c>
      <c r="F15" s="8">
        <v>25.97</v>
      </c>
      <c r="G15" s="12">
        <v>10</v>
      </c>
      <c r="H15" s="8">
        <v>9.43</v>
      </c>
      <c r="I15" s="12">
        <v>0</v>
      </c>
    </row>
    <row r="16" spans="2:9" ht="15" customHeight="1" x14ac:dyDescent="0.2">
      <c r="B16" t="s">
        <v>57</v>
      </c>
      <c r="C16" s="12">
        <v>49</v>
      </c>
      <c r="D16" s="8">
        <v>14.29</v>
      </c>
      <c r="E16" s="12">
        <v>41</v>
      </c>
      <c r="F16" s="8">
        <v>17.75</v>
      </c>
      <c r="G16" s="12">
        <v>4</v>
      </c>
      <c r="H16" s="8">
        <v>3.77</v>
      </c>
      <c r="I16" s="12">
        <v>0</v>
      </c>
    </row>
    <row r="17" spans="2:9" ht="15" customHeight="1" x14ac:dyDescent="0.2">
      <c r="B17" t="s">
        <v>58</v>
      </c>
      <c r="C17" s="12">
        <v>13</v>
      </c>
      <c r="D17" s="8">
        <v>3.79</v>
      </c>
      <c r="E17" s="12">
        <v>9</v>
      </c>
      <c r="F17" s="8">
        <v>3.9</v>
      </c>
      <c r="G17" s="12">
        <v>4</v>
      </c>
      <c r="H17" s="8">
        <v>3.77</v>
      </c>
      <c r="I17" s="12">
        <v>0</v>
      </c>
    </row>
    <row r="18" spans="2:9" ht="15" customHeight="1" x14ac:dyDescent="0.2">
      <c r="B18" t="s">
        <v>59</v>
      </c>
      <c r="C18" s="12">
        <v>9</v>
      </c>
      <c r="D18" s="8">
        <v>2.62</v>
      </c>
      <c r="E18" s="12">
        <v>5</v>
      </c>
      <c r="F18" s="8">
        <v>2.16</v>
      </c>
      <c r="G18" s="12">
        <v>4</v>
      </c>
      <c r="H18" s="8">
        <v>3.77</v>
      </c>
      <c r="I18" s="12">
        <v>0</v>
      </c>
    </row>
    <row r="19" spans="2:9" ht="15" customHeight="1" x14ac:dyDescent="0.2">
      <c r="B19" t="s">
        <v>60</v>
      </c>
      <c r="C19" s="12">
        <v>13</v>
      </c>
      <c r="D19" s="8">
        <v>3.79</v>
      </c>
      <c r="E19" s="12">
        <v>5</v>
      </c>
      <c r="F19" s="8">
        <v>2.16</v>
      </c>
      <c r="G19" s="12">
        <v>7</v>
      </c>
      <c r="H19" s="8">
        <v>6.6</v>
      </c>
      <c r="I19" s="12">
        <v>0</v>
      </c>
    </row>
    <row r="20" spans="2:9" ht="15" customHeight="1" x14ac:dyDescent="0.2">
      <c r="B20" s="9" t="s">
        <v>191</v>
      </c>
      <c r="C20" s="12">
        <f>SUM(LTBL_22306[総数／事業所数])</f>
        <v>343</v>
      </c>
      <c r="E20" s="12">
        <f>SUBTOTAL(109,LTBL_22306[個人／事業所数])</f>
        <v>231</v>
      </c>
      <c r="G20" s="12">
        <f>SUBTOTAL(109,LTBL_22306[法人／事業所数])</f>
        <v>106</v>
      </c>
      <c r="I20" s="12">
        <f>SUBTOTAL(109,LTBL_22306[法人以外の団体／事業所数])</f>
        <v>1</v>
      </c>
    </row>
    <row r="21" spans="2:9" ht="15" customHeight="1" x14ac:dyDescent="0.2">
      <c r="E21" s="11">
        <f>LTBL_22306[[#Totals],[個人／事業所数]]/LTBL_22306[[#Totals],[総数／事業所数]]</f>
        <v>0.67346938775510201</v>
      </c>
      <c r="G21" s="11">
        <f>LTBL_22306[[#Totals],[法人／事業所数]]/LTBL_22306[[#Totals],[総数／事業所数]]</f>
        <v>0.30903790087463556</v>
      </c>
      <c r="I21" s="11">
        <f>LTBL_22306[[#Totals],[法人以外の団体／事業所数]]/LTBL_22306[[#Totals],[総数／事業所数]]</f>
        <v>2.9154518950437317E-3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99</v>
      </c>
      <c r="C24" s="12">
        <v>38</v>
      </c>
      <c r="D24" s="8">
        <v>11.08</v>
      </c>
      <c r="E24" s="12">
        <v>32</v>
      </c>
      <c r="F24" s="8">
        <v>13.85</v>
      </c>
      <c r="G24" s="12">
        <v>6</v>
      </c>
      <c r="H24" s="8">
        <v>5.66</v>
      </c>
      <c r="I24" s="12">
        <v>0</v>
      </c>
    </row>
    <row r="25" spans="2:9" ht="15" customHeight="1" x14ac:dyDescent="0.2">
      <c r="B25" t="s">
        <v>85</v>
      </c>
      <c r="C25" s="12">
        <v>35</v>
      </c>
      <c r="D25" s="8">
        <v>10.199999999999999</v>
      </c>
      <c r="E25" s="12">
        <v>32</v>
      </c>
      <c r="F25" s="8">
        <v>13.85</v>
      </c>
      <c r="G25" s="12">
        <v>0</v>
      </c>
      <c r="H25" s="8">
        <v>0</v>
      </c>
      <c r="I25" s="12">
        <v>0</v>
      </c>
    </row>
    <row r="26" spans="2:9" ht="15" customHeight="1" x14ac:dyDescent="0.2">
      <c r="B26" t="s">
        <v>79</v>
      </c>
      <c r="C26" s="12">
        <v>29</v>
      </c>
      <c r="D26" s="8">
        <v>8.4499999999999993</v>
      </c>
      <c r="E26" s="12">
        <v>18</v>
      </c>
      <c r="F26" s="8">
        <v>7.79</v>
      </c>
      <c r="G26" s="12">
        <v>11</v>
      </c>
      <c r="H26" s="8">
        <v>10.38</v>
      </c>
      <c r="I26" s="12">
        <v>0</v>
      </c>
    </row>
    <row r="27" spans="2:9" ht="15" customHeight="1" x14ac:dyDescent="0.2">
      <c r="B27" t="s">
        <v>84</v>
      </c>
      <c r="C27" s="12">
        <v>29</v>
      </c>
      <c r="D27" s="8">
        <v>8.4499999999999993</v>
      </c>
      <c r="E27" s="12">
        <v>26</v>
      </c>
      <c r="F27" s="8">
        <v>11.26</v>
      </c>
      <c r="G27" s="12">
        <v>3</v>
      </c>
      <c r="H27" s="8">
        <v>2.83</v>
      </c>
      <c r="I27" s="12">
        <v>0</v>
      </c>
    </row>
    <row r="28" spans="2:9" ht="15" customHeight="1" x14ac:dyDescent="0.2">
      <c r="B28" t="s">
        <v>77</v>
      </c>
      <c r="C28" s="12">
        <v>24</v>
      </c>
      <c r="D28" s="8">
        <v>7</v>
      </c>
      <c r="E28" s="12">
        <v>22</v>
      </c>
      <c r="F28" s="8">
        <v>9.52</v>
      </c>
      <c r="G28" s="12">
        <v>2</v>
      </c>
      <c r="H28" s="8">
        <v>1.89</v>
      </c>
      <c r="I28" s="12">
        <v>0</v>
      </c>
    </row>
    <row r="29" spans="2:9" ht="15" customHeight="1" x14ac:dyDescent="0.2">
      <c r="B29" t="s">
        <v>69</v>
      </c>
      <c r="C29" s="12">
        <v>20</v>
      </c>
      <c r="D29" s="8">
        <v>5.83</v>
      </c>
      <c r="E29" s="12">
        <v>6</v>
      </c>
      <c r="F29" s="8">
        <v>2.6</v>
      </c>
      <c r="G29" s="12">
        <v>14</v>
      </c>
      <c r="H29" s="8">
        <v>13.21</v>
      </c>
      <c r="I29" s="12">
        <v>0</v>
      </c>
    </row>
    <row r="30" spans="2:9" ht="15" customHeight="1" x14ac:dyDescent="0.2">
      <c r="B30" t="s">
        <v>81</v>
      </c>
      <c r="C30" s="12">
        <v>15</v>
      </c>
      <c r="D30" s="8">
        <v>4.37</v>
      </c>
      <c r="E30" s="12">
        <v>13</v>
      </c>
      <c r="F30" s="8">
        <v>5.63</v>
      </c>
      <c r="G30" s="12">
        <v>2</v>
      </c>
      <c r="H30" s="8">
        <v>1.89</v>
      </c>
      <c r="I30" s="12">
        <v>0</v>
      </c>
    </row>
    <row r="31" spans="2:9" ht="15" customHeight="1" x14ac:dyDescent="0.2">
      <c r="B31" t="s">
        <v>70</v>
      </c>
      <c r="C31" s="12">
        <v>14</v>
      </c>
      <c r="D31" s="8">
        <v>4.08</v>
      </c>
      <c r="E31" s="12">
        <v>13</v>
      </c>
      <c r="F31" s="8">
        <v>5.63</v>
      </c>
      <c r="G31" s="12">
        <v>1</v>
      </c>
      <c r="H31" s="8">
        <v>0.94</v>
      </c>
      <c r="I31" s="12">
        <v>0</v>
      </c>
    </row>
    <row r="32" spans="2:9" ht="15" customHeight="1" x14ac:dyDescent="0.2">
      <c r="B32" t="s">
        <v>86</v>
      </c>
      <c r="C32" s="12">
        <v>13</v>
      </c>
      <c r="D32" s="8">
        <v>3.79</v>
      </c>
      <c r="E32" s="12">
        <v>9</v>
      </c>
      <c r="F32" s="8">
        <v>3.9</v>
      </c>
      <c r="G32" s="12">
        <v>4</v>
      </c>
      <c r="H32" s="8">
        <v>3.77</v>
      </c>
      <c r="I32" s="12">
        <v>0</v>
      </c>
    </row>
    <row r="33" spans="2:9" ht="15" customHeight="1" x14ac:dyDescent="0.2">
      <c r="B33" t="s">
        <v>71</v>
      </c>
      <c r="C33" s="12">
        <v>12</v>
      </c>
      <c r="D33" s="8">
        <v>3.5</v>
      </c>
      <c r="E33" s="12">
        <v>4</v>
      </c>
      <c r="F33" s="8">
        <v>1.73</v>
      </c>
      <c r="G33" s="12">
        <v>8</v>
      </c>
      <c r="H33" s="8">
        <v>7.55</v>
      </c>
      <c r="I33" s="12">
        <v>0</v>
      </c>
    </row>
    <row r="34" spans="2:9" ht="15" customHeight="1" x14ac:dyDescent="0.2">
      <c r="B34" t="s">
        <v>101</v>
      </c>
      <c r="C34" s="12">
        <v>11</v>
      </c>
      <c r="D34" s="8">
        <v>3.21</v>
      </c>
      <c r="E34" s="12">
        <v>9</v>
      </c>
      <c r="F34" s="8">
        <v>3.9</v>
      </c>
      <c r="G34" s="12">
        <v>2</v>
      </c>
      <c r="H34" s="8">
        <v>1.89</v>
      </c>
      <c r="I34" s="12">
        <v>0</v>
      </c>
    </row>
    <row r="35" spans="2:9" ht="15" customHeight="1" x14ac:dyDescent="0.2">
      <c r="B35" t="s">
        <v>78</v>
      </c>
      <c r="C35" s="12">
        <v>10</v>
      </c>
      <c r="D35" s="8">
        <v>2.92</v>
      </c>
      <c r="E35" s="12">
        <v>6</v>
      </c>
      <c r="F35" s="8">
        <v>2.6</v>
      </c>
      <c r="G35" s="12">
        <v>4</v>
      </c>
      <c r="H35" s="8">
        <v>3.77</v>
      </c>
      <c r="I35" s="12">
        <v>0</v>
      </c>
    </row>
    <row r="36" spans="2:9" ht="15" customHeight="1" x14ac:dyDescent="0.2">
      <c r="B36" t="s">
        <v>93</v>
      </c>
      <c r="C36" s="12">
        <v>7</v>
      </c>
      <c r="D36" s="8">
        <v>2.04</v>
      </c>
      <c r="E36" s="12">
        <v>3</v>
      </c>
      <c r="F36" s="8">
        <v>1.3</v>
      </c>
      <c r="G36" s="12">
        <v>4</v>
      </c>
      <c r="H36" s="8">
        <v>3.77</v>
      </c>
      <c r="I36" s="12">
        <v>0</v>
      </c>
    </row>
    <row r="37" spans="2:9" ht="15" customHeight="1" x14ac:dyDescent="0.2">
      <c r="B37" t="s">
        <v>100</v>
      </c>
      <c r="C37" s="12">
        <v>6</v>
      </c>
      <c r="D37" s="8">
        <v>1.75</v>
      </c>
      <c r="E37" s="12">
        <v>1</v>
      </c>
      <c r="F37" s="8">
        <v>0.43</v>
      </c>
      <c r="G37" s="12">
        <v>5</v>
      </c>
      <c r="H37" s="8">
        <v>4.72</v>
      </c>
      <c r="I37" s="12">
        <v>0</v>
      </c>
    </row>
    <row r="38" spans="2:9" ht="15" customHeight="1" x14ac:dyDescent="0.2">
      <c r="B38" t="s">
        <v>76</v>
      </c>
      <c r="C38" s="12">
        <v>6</v>
      </c>
      <c r="D38" s="8">
        <v>1.75</v>
      </c>
      <c r="E38" s="12">
        <v>5</v>
      </c>
      <c r="F38" s="8">
        <v>2.16</v>
      </c>
      <c r="G38" s="12">
        <v>1</v>
      </c>
      <c r="H38" s="8">
        <v>0.94</v>
      </c>
      <c r="I38" s="12">
        <v>0</v>
      </c>
    </row>
    <row r="39" spans="2:9" ht="15" customHeight="1" x14ac:dyDescent="0.2">
      <c r="B39" t="s">
        <v>87</v>
      </c>
      <c r="C39" s="12">
        <v>6</v>
      </c>
      <c r="D39" s="8">
        <v>1.75</v>
      </c>
      <c r="E39" s="12">
        <v>5</v>
      </c>
      <c r="F39" s="8">
        <v>2.16</v>
      </c>
      <c r="G39" s="12">
        <v>1</v>
      </c>
      <c r="H39" s="8">
        <v>0.94</v>
      </c>
      <c r="I39" s="12">
        <v>0</v>
      </c>
    </row>
    <row r="40" spans="2:9" ht="15" customHeight="1" x14ac:dyDescent="0.2">
      <c r="B40" t="s">
        <v>94</v>
      </c>
      <c r="C40" s="12">
        <v>5</v>
      </c>
      <c r="D40" s="8">
        <v>1.46</v>
      </c>
      <c r="E40" s="12">
        <v>3</v>
      </c>
      <c r="F40" s="8">
        <v>1.3</v>
      </c>
      <c r="G40" s="12">
        <v>2</v>
      </c>
      <c r="H40" s="8">
        <v>1.89</v>
      </c>
      <c r="I40" s="12">
        <v>0</v>
      </c>
    </row>
    <row r="41" spans="2:9" ht="15" customHeight="1" x14ac:dyDescent="0.2">
      <c r="B41" t="s">
        <v>80</v>
      </c>
      <c r="C41" s="12">
        <v>5</v>
      </c>
      <c r="D41" s="8">
        <v>1.46</v>
      </c>
      <c r="E41" s="12">
        <v>1</v>
      </c>
      <c r="F41" s="8">
        <v>0.43</v>
      </c>
      <c r="G41" s="12">
        <v>4</v>
      </c>
      <c r="H41" s="8">
        <v>3.77</v>
      </c>
      <c r="I41" s="12">
        <v>0</v>
      </c>
    </row>
    <row r="42" spans="2:9" ht="15" customHeight="1" x14ac:dyDescent="0.2">
      <c r="B42" t="s">
        <v>111</v>
      </c>
      <c r="C42" s="12">
        <v>5</v>
      </c>
      <c r="D42" s="8">
        <v>1.46</v>
      </c>
      <c r="E42" s="12">
        <v>1</v>
      </c>
      <c r="F42" s="8">
        <v>0.43</v>
      </c>
      <c r="G42" s="12">
        <v>3</v>
      </c>
      <c r="H42" s="8">
        <v>2.83</v>
      </c>
      <c r="I42" s="12">
        <v>0</v>
      </c>
    </row>
    <row r="43" spans="2:9" ht="15" customHeight="1" x14ac:dyDescent="0.2">
      <c r="B43" t="s">
        <v>74</v>
      </c>
      <c r="C43" s="12">
        <v>4</v>
      </c>
      <c r="D43" s="8">
        <v>1.17</v>
      </c>
      <c r="E43" s="12">
        <v>1</v>
      </c>
      <c r="F43" s="8">
        <v>0.43</v>
      </c>
      <c r="G43" s="12">
        <v>3</v>
      </c>
      <c r="H43" s="8">
        <v>2.83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160</v>
      </c>
      <c r="C47" s="12">
        <v>28</v>
      </c>
      <c r="D47" s="8">
        <v>8.16</v>
      </c>
      <c r="E47" s="12">
        <v>22</v>
      </c>
      <c r="F47" s="8">
        <v>9.52</v>
      </c>
      <c r="G47" s="12">
        <v>6</v>
      </c>
      <c r="H47" s="8">
        <v>5.66</v>
      </c>
      <c r="I47" s="12">
        <v>0</v>
      </c>
    </row>
    <row r="48" spans="2:9" ht="15" customHeight="1" x14ac:dyDescent="0.2">
      <c r="B48" t="s">
        <v>121</v>
      </c>
      <c r="C48" s="12">
        <v>15</v>
      </c>
      <c r="D48" s="8">
        <v>4.37</v>
      </c>
      <c r="E48" s="12">
        <v>13</v>
      </c>
      <c r="F48" s="8">
        <v>5.63</v>
      </c>
      <c r="G48" s="12">
        <v>2</v>
      </c>
      <c r="H48" s="8">
        <v>1.89</v>
      </c>
      <c r="I48" s="12">
        <v>0</v>
      </c>
    </row>
    <row r="49" spans="2:9" ht="15" customHeight="1" x14ac:dyDescent="0.2">
      <c r="B49" t="s">
        <v>131</v>
      </c>
      <c r="C49" s="12">
        <v>13</v>
      </c>
      <c r="D49" s="8">
        <v>3.79</v>
      </c>
      <c r="E49" s="12">
        <v>13</v>
      </c>
      <c r="F49" s="8">
        <v>5.63</v>
      </c>
      <c r="G49" s="12">
        <v>0</v>
      </c>
      <c r="H49" s="8">
        <v>0</v>
      </c>
      <c r="I49" s="12">
        <v>0</v>
      </c>
    </row>
    <row r="50" spans="2:9" ht="15" customHeight="1" x14ac:dyDescent="0.2">
      <c r="B50" t="s">
        <v>132</v>
      </c>
      <c r="C50" s="12">
        <v>13</v>
      </c>
      <c r="D50" s="8">
        <v>3.79</v>
      </c>
      <c r="E50" s="12">
        <v>13</v>
      </c>
      <c r="F50" s="8">
        <v>5.63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133</v>
      </c>
      <c r="C51" s="12">
        <v>12</v>
      </c>
      <c r="D51" s="8">
        <v>3.5</v>
      </c>
      <c r="E51" s="12">
        <v>8</v>
      </c>
      <c r="F51" s="8">
        <v>3.46</v>
      </c>
      <c r="G51" s="12">
        <v>4</v>
      </c>
      <c r="H51" s="8">
        <v>3.77</v>
      </c>
      <c r="I51" s="12">
        <v>0</v>
      </c>
    </row>
    <row r="52" spans="2:9" ht="15" customHeight="1" x14ac:dyDescent="0.2">
      <c r="B52" t="s">
        <v>126</v>
      </c>
      <c r="C52" s="12">
        <v>11</v>
      </c>
      <c r="D52" s="8">
        <v>3.21</v>
      </c>
      <c r="E52" s="12">
        <v>9</v>
      </c>
      <c r="F52" s="8">
        <v>3.9</v>
      </c>
      <c r="G52" s="12">
        <v>2</v>
      </c>
      <c r="H52" s="8">
        <v>1.89</v>
      </c>
      <c r="I52" s="12">
        <v>0</v>
      </c>
    </row>
    <row r="53" spans="2:9" ht="15" customHeight="1" x14ac:dyDescent="0.2">
      <c r="B53" t="s">
        <v>170</v>
      </c>
      <c r="C53" s="12">
        <v>11</v>
      </c>
      <c r="D53" s="8">
        <v>3.21</v>
      </c>
      <c r="E53" s="12">
        <v>9</v>
      </c>
      <c r="F53" s="8">
        <v>3.9</v>
      </c>
      <c r="G53" s="12">
        <v>2</v>
      </c>
      <c r="H53" s="8">
        <v>1.89</v>
      </c>
      <c r="I53" s="12">
        <v>0</v>
      </c>
    </row>
    <row r="54" spans="2:9" ht="15" customHeight="1" x14ac:dyDescent="0.2">
      <c r="B54" t="s">
        <v>116</v>
      </c>
      <c r="C54" s="12">
        <v>10</v>
      </c>
      <c r="D54" s="8">
        <v>2.92</v>
      </c>
      <c r="E54" s="12">
        <v>2</v>
      </c>
      <c r="F54" s="8">
        <v>0.87</v>
      </c>
      <c r="G54" s="12">
        <v>8</v>
      </c>
      <c r="H54" s="8">
        <v>7.55</v>
      </c>
      <c r="I54" s="12">
        <v>0</v>
      </c>
    </row>
    <row r="55" spans="2:9" ht="15" customHeight="1" x14ac:dyDescent="0.2">
      <c r="B55" t="s">
        <v>169</v>
      </c>
      <c r="C55" s="12">
        <v>9</v>
      </c>
      <c r="D55" s="8">
        <v>2.62</v>
      </c>
      <c r="E55" s="12">
        <v>9</v>
      </c>
      <c r="F55" s="8">
        <v>3.9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161</v>
      </c>
      <c r="C56" s="12">
        <v>8</v>
      </c>
      <c r="D56" s="8">
        <v>2.33</v>
      </c>
      <c r="E56" s="12">
        <v>8</v>
      </c>
      <c r="F56" s="8">
        <v>3.46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120</v>
      </c>
      <c r="C57" s="12">
        <v>7</v>
      </c>
      <c r="D57" s="8">
        <v>2.04</v>
      </c>
      <c r="E57" s="12">
        <v>4</v>
      </c>
      <c r="F57" s="8">
        <v>1.73</v>
      </c>
      <c r="G57" s="12">
        <v>3</v>
      </c>
      <c r="H57" s="8">
        <v>2.83</v>
      </c>
      <c r="I57" s="12">
        <v>0</v>
      </c>
    </row>
    <row r="58" spans="2:9" ht="15" customHeight="1" x14ac:dyDescent="0.2">
      <c r="B58" t="s">
        <v>122</v>
      </c>
      <c r="C58" s="12">
        <v>7</v>
      </c>
      <c r="D58" s="8">
        <v>2.04</v>
      </c>
      <c r="E58" s="12">
        <v>3</v>
      </c>
      <c r="F58" s="8">
        <v>1.3</v>
      </c>
      <c r="G58" s="12">
        <v>4</v>
      </c>
      <c r="H58" s="8">
        <v>3.77</v>
      </c>
      <c r="I58" s="12">
        <v>0</v>
      </c>
    </row>
    <row r="59" spans="2:9" ht="15" customHeight="1" x14ac:dyDescent="0.2">
      <c r="B59" t="s">
        <v>124</v>
      </c>
      <c r="C59" s="12">
        <v>7</v>
      </c>
      <c r="D59" s="8">
        <v>2.04</v>
      </c>
      <c r="E59" s="12">
        <v>4</v>
      </c>
      <c r="F59" s="8">
        <v>1.73</v>
      </c>
      <c r="G59" s="12">
        <v>3</v>
      </c>
      <c r="H59" s="8">
        <v>2.83</v>
      </c>
      <c r="I59" s="12">
        <v>0</v>
      </c>
    </row>
    <row r="60" spans="2:9" ht="15" customHeight="1" x14ac:dyDescent="0.2">
      <c r="B60" t="s">
        <v>128</v>
      </c>
      <c r="C60" s="12">
        <v>7</v>
      </c>
      <c r="D60" s="8">
        <v>2.04</v>
      </c>
      <c r="E60" s="12">
        <v>7</v>
      </c>
      <c r="F60" s="8">
        <v>3.03</v>
      </c>
      <c r="G60" s="12">
        <v>0</v>
      </c>
      <c r="H60" s="8">
        <v>0</v>
      </c>
      <c r="I60" s="12">
        <v>0</v>
      </c>
    </row>
    <row r="61" spans="2:9" ht="15" customHeight="1" x14ac:dyDescent="0.2">
      <c r="B61" t="s">
        <v>117</v>
      </c>
      <c r="C61" s="12">
        <v>6</v>
      </c>
      <c r="D61" s="8">
        <v>1.75</v>
      </c>
      <c r="E61" s="12">
        <v>1</v>
      </c>
      <c r="F61" s="8">
        <v>0.43</v>
      </c>
      <c r="G61" s="12">
        <v>5</v>
      </c>
      <c r="H61" s="8">
        <v>4.72</v>
      </c>
      <c r="I61" s="12">
        <v>0</v>
      </c>
    </row>
    <row r="62" spans="2:9" ht="15" customHeight="1" x14ac:dyDescent="0.2">
      <c r="B62" t="s">
        <v>137</v>
      </c>
      <c r="C62" s="12">
        <v>6</v>
      </c>
      <c r="D62" s="8">
        <v>1.75</v>
      </c>
      <c r="E62" s="12">
        <v>5</v>
      </c>
      <c r="F62" s="8">
        <v>2.16</v>
      </c>
      <c r="G62" s="12">
        <v>1</v>
      </c>
      <c r="H62" s="8">
        <v>0.94</v>
      </c>
      <c r="I62" s="12">
        <v>0</v>
      </c>
    </row>
    <row r="63" spans="2:9" ht="15" customHeight="1" x14ac:dyDescent="0.2">
      <c r="B63" t="s">
        <v>123</v>
      </c>
      <c r="C63" s="12">
        <v>6</v>
      </c>
      <c r="D63" s="8">
        <v>1.75</v>
      </c>
      <c r="E63" s="12">
        <v>2</v>
      </c>
      <c r="F63" s="8">
        <v>0.87</v>
      </c>
      <c r="G63" s="12">
        <v>4</v>
      </c>
      <c r="H63" s="8">
        <v>3.77</v>
      </c>
      <c r="I63" s="12">
        <v>0</v>
      </c>
    </row>
    <row r="64" spans="2:9" ht="15" customHeight="1" x14ac:dyDescent="0.2">
      <c r="B64" t="s">
        <v>144</v>
      </c>
      <c r="C64" s="12">
        <v>5</v>
      </c>
      <c r="D64" s="8">
        <v>1.46</v>
      </c>
      <c r="E64" s="12">
        <v>5</v>
      </c>
      <c r="F64" s="8">
        <v>2.16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119</v>
      </c>
      <c r="C65" s="12">
        <v>5</v>
      </c>
      <c r="D65" s="8">
        <v>1.46</v>
      </c>
      <c r="E65" s="12">
        <v>0</v>
      </c>
      <c r="F65" s="8">
        <v>0</v>
      </c>
      <c r="G65" s="12">
        <v>5</v>
      </c>
      <c r="H65" s="8">
        <v>4.72</v>
      </c>
      <c r="I65" s="12">
        <v>0</v>
      </c>
    </row>
    <row r="66" spans="2:9" ht="15" customHeight="1" x14ac:dyDescent="0.2">
      <c r="B66" t="s">
        <v>165</v>
      </c>
      <c r="C66" s="12">
        <v>5</v>
      </c>
      <c r="D66" s="8">
        <v>1.46</v>
      </c>
      <c r="E66" s="12">
        <v>1</v>
      </c>
      <c r="F66" s="8">
        <v>0.43</v>
      </c>
      <c r="G66" s="12">
        <v>4</v>
      </c>
      <c r="H66" s="8">
        <v>3.77</v>
      </c>
      <c r="I66" s="12">
        <v>0</v>
      </c>
    </row>
    <row r="67" spans="2:9" ht="15" customHeight="1" x14ac:dyDescent="0.2">
      <c r="B67" t="s">
        <v>181</v>
      </c>
      <c r="C67" s="12">
        <v>5</v>
      </c>
      <c r="D67" s="8">
        <v>1.46</v>
      </c>
      <c r="E67" s="12">
        <v>2</v>
      </c>
      <c r="F67" s="8">
        <v>0.87</v>
      </c>
      <c r="G67" s="12">
        <v>3</v>
      </c>
      <c r="H67" s="8">
        <v>2.83</v>
      </c>
      <c r="I67" s="12">
        <v>0</v>
      </c>
    </row>
    <row r="68" spans="2:9" ht="15" customHeight="1" x14ac:dyDescent="0.2">
      <c r="B68" t="s">
        <v>159</v>
      </c>
      <c r="C68" s="12">
        <v>5</v>
      </c>
      <c r="D68" s="8">
        <v>1.46</v>
      </c>
      <c r="E68" s="12">
        <v>3</v>
      </c>
      <c r="F68" s="8">
        <v>1.3</v>
      </c>
      <c r="G68" s="12">
        <v>2</v>
      </c>
      <c r="H68" s="8">
        <v>1.89</v>
      </c>
      <c r="I68" s="12">
        <v>0</v>
      </c>
    </row>
    <row r="69" spans="2:9" ht="15" customHeight="1" x14ac:dyDescent="0.2">
      <c r="B69" t="s">
        <v>140</v>
      </c>
      <c r="C69" s="12">
        <v>5</v>
      </c>
      <c r="D69" s="8">
        <v>1.46</v>
      </c>
      <c r="E69" s="12">
        <v>5</v>
      </c>
      <c r="F69" s="8">
        <v>2.16</v>
      </c>
      <c r="G69" s="12">
        <v>0</v>
      </c>
      <c r="H69" s="8">
        <v>0</v>
      </c>
      <c r="I69" s="12">
        <v>0</v>
      </c>
    </row>
    <row r="71" spans="2:9" ht="15" customHeight="1" x14ac:dyDescent="0.2">
      <c r="B71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8C072-608D-4106-ABFF-676A1219D0EA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233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167</v>
      </c>
      <c r="D6" s="8">
        <v>20.98</v>
      </c>
      <c r="E6" s="12">
        <v>66</v>
      </c>
      <c r="F6" s="8">
        <v>15.1</v>
      </c>
      <c r="G6" s="12">
        <v>101</v>
      </c>
      <c r="H6" s="8">
        <v>29.36</v>
      </c>
      <c r="I6" s="12">
        <v>0</v>
      </c>
    </row>
    <row r="7" spans="2:9" ht="15" customHeight="1" x14ac:dyDescent="0.2">
      <c r="B7" t="s">
        <v>48</v>
      </c>
      <c r="C7" s="12">
        <v>71</v>
      </c>
      <c r="D7" s="8">
        <v>8.92</v>
      </c>
      <c r="E7" s="12">
        <v>28</v>
      </c>
      <c r="F7" s="8">
        <v>6.41</v>
      </c>
      <c r="G7" s="12">
        <v>43</v>
      </c>
      <c r="H7" s="8">
        <v>12.5</v>
      </c>
      <c r="I7" s="12">
        <v>0</v>
      </c>
    </row>
    <row r="8" spans="2:9" ht="15" customHeight="1" x14ac:dyDescent="0.2">
      <c r="B8" t="s">
        <v>49</v>
      </c>
      <c r="C8" s="12">
        <v>2</v>
      </c>
      <c r="D8" s="8">
        <v>0.25</v>
      </c>
      <c r="E8" s="12">
        <v>0</v>
      </c>
      <c r="F8" s="8">
        <v>0</v>
      </c>
      <c r="G8" s="12">
        <v>2</v>
      </c>
      <c r="H8" s="8">
        <v>0.57999999999999996</v>
      </c>
      <c r="I8" s="12">
        <v>0</v>
      </c>
    </row>
    <row r="9" spans="2:9" ht="15" customHeight="1" x14ac:dyDescent="0.2">
      <c r="B9" t="s">
        <v>50</v>
      </c>
      <c r="C9" s="12">
        <v>2</v>
      </c>
      <c r="D9" s="8">
        <v>0.25</v>
      </c>
      <c r="E9" s="12">
        <v>0</v>
      </c>
      <c r="F9" s="8">
        <v>0</v>
      </c>
      <c r="G9" s="12">
        <v>2</v>
      </c>
      <c r="H9" s="8">
        <v>0.57999999999999996</v>
      </c>
      <c r="I9" s="12">
        <v>0</v>
      </c>
    </row>
    <row r="10" spans="2:9" ht="15" customHeight="1" x14ac:dyDescent="0.2">
      <c r="B10" t="s">
        <v>51</v>
      </c>
      <c r="C10" s="12">
        <v>6</v>
      </c>
      <c r="D10" s="8">
        <v>0.75</v>
      </c>
      <c r="E10" s="12">
        <v>1</v>
      </c>
      <c r="F10" s="8">
        <v>0.23</v>
      </c>
      <c r="G10" s="12">
        <v>4</v>
      </c>
      <c r="H10" s="8">
        <v>1.1599999999999999</v>
      </c>
      <c r="I10" s="12">
        <v>1</v>
      </c>
    </row>
    <row r="11" spans="2:9" ht="15" customHeight="1" x14ac:dyDescent="0.2">
      <c r="B11" t="s">
        <v>52</v>
      </c>
      <c r="C11" s="12">
        <v>137</v>
      </c>
      <c r="D11" s="8">
        <v>17.21</v>
      </c>
      <c r="E11" s="12">
        <v>64</v>
      </c>
      <c r="F11" s="8">
        <v>14.65</v>
      </c>
      <c r="G11" s="12">
        <v>73</v>
      </c>
      <c r="H11" s="8">
        <v>21.22</v>
      </c>
      <c r="I11" s="12">
        <v>0</v>
      </c>
    </row>
    <row r="12" spans="2:9" ht="15" customHeight="1" x14ac:dyDescent="0.2">
      <c r="B12" t="s">
        <v>53</v>
      </c>
      <c r="C12" s="12">
        <v>4</v>
      </c>
      <c r="D12" s="8">
        <v>0.5</v>
      </c>
      <c r="E12" s="12">
        <v>1</v>
      </c>
      <c r="F12" s="8">
        <v>0.23</v>
      </c>
      <c r="G12" s="12">
        <v>3</v>
      </c>
      <c r="H12" s="8">
        <v>0.87</v>
      </c>
      <c r="I12" s="12">
        <v>0</v>
      </c>
    </row>
    <row r="13" spans="2:9" ht="15" customHeight="1" x14ac:dyDescent="0.2">
      <c r="B13" t="s">
        <v>54</v>
      </c>
      <c r="C13" s="12">
        <v>88</v>
      </c>
      <c r="D13" s="8">
        <v>11.06</v>
      </c>
      <c r="E13" s="12">
        <v>57</v>
      </c>
      <c r="F13" s="8">
        <v>13.04</v>
      </c>
      <c r="G13" s="12">
        <v>31</v>
      </c>
      <c r="H13" s="8">
        <v>9.01</v>
      </c>
      <c r="I13" s="12">
        <v>0</v>
      </c>
    </row>
    <row r="14" spans="2:9" ht="15" customHeight="1" x14ac:dyDescent="0.2">
      <c r="B14" t="s">
        <v>55</v>
      </c>
      <c r="C14" s="12">
        <v>34</v>
      </c>
      <c r="D14" s="8">
        <v>4.2699999999999996</v>
      </c>
      <c r="E14" s="12">
        <v>14</v>
      </c>
      <c r="F14" s="8">
        <v>3.2</v>
      </c>
      <c r="G14" s="12">
        <v>19</v>
      </c>
      <c r="H14" s="8">
        <v>5.52</v>
      </c>
      <c r="I14" s="12">
        <v>0</v>
      </c>
    </row>
    <row r="15" spans="2:9" ht="15" customHeight="1" x14ac:dyDescent="0.2">
      <c r="B15" t="s">
        <v>56</v>
      </c>
      <c r="C15" s="12">
        <v>82</v>
      </c>
      <c r="D15" s="8">
        <v>10.3</v>
      </c>
      <c r="E15" s="12">
        <v>72</v>
      </c>
      <c r="F15" s="8">
        <v>16.48</v>
      </c>
      <c r="G15" s="12">
        <v>10</v>
      </c>
      <c r="H15" s="8">
        <v>2.91</v>
      </c>
      <c r="I15" s="12">
        <v>0</v>
      </c>
    </row>
    <row r="16" spans="2:9" ht="15" customHeight="1" x14ac:dyDescent="0.2">
      <c r="B16" t="s">
        <v>57</v>
      </c>
      <c r="C16" s="12">
        <v>95</v>
      </c>
      <c r="D16" s="8">
        <v>11.93</v>
      </c>
      <c r="E16" s="12">
        <v>76</v>
      </c>
      <c r="F16" s="8">
        <v>17.39</v>
      </c>
      <c r="G16" s="12">
        <v>19</v>
      </c>
      <c r="H16" s="8">
        <v>5.52</v>
      </c>
      <c r="I16" s="12">
        <v>0</v>
      </c>
    </row>
    <row r="17" spans="2:9" ht="15" customHeight="1" x14ac:dyDescent="0.2">
      <c r="B17" t="s">
        <v>58</v>
      </c>
      <c r="C17" s="12">
        <v>37</v>
      </c>
      <c r="D17" s="8">
        <v>4.6500000000000004</v>
      </c>
      <c r="E17" s="12">
        <v>26</v>
      </c>
      <c r="F17" s="8">
        <v>5.95</v>
      </c>
      <c r="G17" s="12">
        <v>10</v>
      </c>
      <c r="H17" s="8">
        <v>2.91</v>
      </c>
      <c r="I17" s="12">
        <v>0</v>
      </c>
    </row>
    <row r="18" spans="2:9" ht="15" customHeight="1" x14ac:dyDescent="0.2">
      <c r="B18" t="s">
        <v>59</v>
      </c>
      <c r="C18" s="12">
        <v>39</v>
      </c>
      <c r="D18" s="8">
        <v>4.9000000000000004</v>
      </c>
      <c r="E18" s="12">
        <v>19</v>
      </c>
      <c r="F18" s="8">
        <v>4.3499999999999996</v>
      </c>
      <c r="G18" s="12">
        <v>10</v>
      </c>
      <c r="H18" s="8">
        <v>2.91</v>
      </c>
      <c r="I18" s="12">
        <v>0</v>
      </c>
    </row>
    <row r="19" spans="2:9" ht="15" customHeight="1" x14ac:dyDescent="0.2">
      <c r="B19" t="s">
        <v>60</v>
      </c>
      <c r="C19" s="12">
        <v>32</v>
      </c>
      <c r="D19" s="8">
        <v>4.0199999999999996</v>
      </c>
      <c r="E19" s="12">
        <v>13</v>
      </c>
      <c r="F19" s="8">
        <v>2.97</v>
      </c>
      <c r="G19" s="12">
        <v>17</v>
      </c>
      <c r="H19" s="8">
        <v>4.9400000000000004</v>
      </c>
      <c r="I19" s="12">
        <v>0</v>
      </c>
    </row>
    <row r="20" spans="2:9" ht="15" customHeight="1" x14ac:dyDescent="0.2">
      <c r="B20" s="9" t="s">
        <v>191</v>
      </c>
      <c r="C20" s="12">
        <f>SUM(LTBL_22325[総数／事業所数])</f>
        <v>796</v>
      </c>
      <c r="E20" s="12">
        <f>SUBTOTAL(109,LTBL_22325[個人／事業所数])</f>
        <v>437</v>
      </c>
      <c r="G20" s="12">
        <f>SUBTOTAL(109,LTBL_22325[法人／事業所数])</f>
        <v>344</v>
      </c>
      <c r="I20" s="12">
        <f>SUBTOTAL(109,LTBL_22325[法人以外の団体／事業所数])</f>
        <v>1</v>
      </c>
    </row>
    <row r="21" spans="2:9" ht="15" customHeight="1" x14ac:dyDescent="0.2">
      <c r="E21" s="11">
        <f>LTBL_22325[[#Totals],[個人／事業所数]]/LTBL_22325[[#Totals],[総数／事業所数]]</f>
        <v>0.54899497487437188</v>
      </c>
      <c r="G21" s="11">
        <f>LTBL_22325[[#Totals],[法人／事業所数]]/LTBL_22325[[#Totals],[総数／事業所数]]</f>
        <v>0.43216080402010049</v>
      </c>
      <c r="I21" s="11">
        <f>LTBL_22325[[#Totals],[法人以外の団体／事業所数]]/LTBL_22325[[#Totals],[総数／事業所数]]</f>
        <v>1.2562814070351759E-3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81</v>
      </c>
      <c r="D24" s="8">
        <v>10.18</v>
      </c>
      <c r="E24" s="12">
        <v>69</v>
      </c>
      <c r="F24" s="8">
        <v>15.79</v>
      </c>
      <c r="G24" s="12">
        <v>12</v>
      </c>
      <c r="H24" s="8">
        <v>3.49</v>
      </c>
      <c r="I24" s="12">
        <v>0</v>
      </c>
    </row>
    <row r="25" spans="2:9" ht="15" customHeight="1" x14ac:dyDescent="0.2">
      <c r="B25" t="s">
        <v>81</v>
      </c>
      <c r="C25" s="12">
        <v>80</v>
      </c>
      <c r="D25" s="8">
        <v>10.050000000000001</v>
      </c>
      <c r="E25" s="12">
        <v>56</v>
      </c>
      <c r="F25" s="8">
        <v>12.81</v>
      </c>
      <c r="G25" s="12">
        <v>24</v>
      </c>
      <c r="H25" s="8">
        <v>6.98</v>
      </c>
      <c r="I25" s="12">
        <v>0</v>
      </c>
    </row>
    <row r="26" spans="2:9" ht="15" customHeight="1" x14ac:dyDescent="0.2">
      <c r="B26" t="s">
        <v>69</v>
      </c>
      <c r="C26" s="12">
        <v>79</v>
      </c>
      <c r="D26" s="8">
        <v>9.92</v>
      </c>
      <c r="E26" s="12">
        <v>28</v>
      </c>
      <c r="F26" s="8">
        <v>6.41</v>
      </c>
      <c r="G26" s="12">
        <v>51</v>
      </c>
      <c r="H26" s="8">
        <v>14.83</v>
      </c>
      <c r="I26" s="12">
        <v>0</v>
      </c>
    </row>
    <row r="27" spans="2:9" ht="15" customHeight="1" x14ac:dyDescent="0.2">
      <c r="B27" t="s">
        <v>84</v>
      </c>
      <c r="C27" s="12">
        <v>74</v>
      </c>
      <c r="D27" s="8">
        <v>9.3000000000000007</v>
      </c>
      <c r="E27" s="12">
        <v>67</v>
      </c>
      <c r="F27" s="8">
        <v>15.33</v>
      </c>
      <c r="G27" s="12">
        <v>7</v>
      </c>
      <c r="H27" s="8">
        <v>2.0299999999999998</v>
      </c>
      <c r="I27" s="12">
        <v>0</v>
      </c>
    </row>
    <row r="28" spans="2:9" ht="15" customHeight="1" x14ac:dyDescent="0.2">
      <c r="B28" t="s">
        <v>70</v>
      </c>
      <c r="C28" s="12">
        <v>48</v>
      </c>
      <c r="D28" s="8">
        <v>6.03</v>
      </c>
      <c r="E28" s="12">
        <v>25</v>
      </c>
      <c r="F28" s="8">
        <v>5.72</v>
      </c>
      <c r="G28" s="12">
        <v>23</v>
      </c>
      <c r="H28" s="8">
        <v>6.69</v>
      </c>
      <c r="I28" s="12">
        <v>0</v>
      </c>
    </row>
    <row r="29" spans="2:9" ht="15" customHeight="1" x14ac:dyDescent="0.2">
      <c r="B29" t="s">
        <v>71</v>
      </c>
      <c r="C29" s="12">
        <v>40</v>
      </c>
      <c r="D29" s="8">
        <v>5.03</v>
      </c>
      <c r="E29" s="12">
        <v>13</v>
      </c>
      <c r="F29" s="8">
        <v>2.97</v>
      </c>
      <c r="G29" s="12">
        <v>27</v>
      </c>
      <c r="H29" s="8">
        <v>7.85</v>
      </c>
      <c r="I29" s="12">
        <v>0</v>
      </c>
    </row>
    <row r="30" spans="2:9" ht="15" customHeight="1" x14ac:dyDescent="0.2">
      <c r="B30" t="s">
        <v>79</v>
      </c>
      <c r="C30" s="12">
        <v>39</v>
      </c>
      <c r="D30" s="8">
        <v>4.9000000000000004</v>
      </c>
      <c r="E30" s="12">
        <v>15</v>
      </c>
      <c r="F30" s="8">
        <v>3.43</v>
      </c>
      <c r="G30" s="12">
        <v>24</v>
      </c>
      <c r="H30" s="8">
        <v>6.98</v>
      </c>
      <c r="I30" s="12">
        <v>0</v>
      </c>
    </row>
    <row r="31" spans="2:9" ht="15" customHeight="1" x14ac:dyDescent="0.2">
      <c r="B31" t="s">
        <v>86</v>
      </c>
      <c r="C31" s="12">
        <v>37</v>
      </c>
      <c r="D31" s="8">
        <v>4.6500000000000004</v>
      </c>
      <c r="E31" s="12">
        <v>26</v>
      </c>
      <c r="F31" s="8">
        <v>5.95</v>
      </c>
      <c r="G31" s="12">
        <v>10</v>
      </c>
      <c r="H31" s="8">
        <v>2.91</v>
      </c>
      <c r="I31" s="12">
        <v>0</v>
      </c>
    </row>
    <row r="32" spans="2:9" ht="15" customHeight="1" x14ac:dyDescent="0.2">
      <c r="B32" t="s">
        <v>77</v>
      </c>
      <c r="C32" s="12">
        <v>27</v>
      </c>
      <c r="D32" s="8">
        <v>3.39</v>
      </c>
      <c r="E32" s="12">
        <v>19</v>
      </c>
      <c r="F32" s="8">
        <v>4.3499999999999996</v>
      </c>
      <c r="G32" s="12">
        <v>8</v>
      </c>
      <c r="H32" s="8">
        <v>2.33</v>
      </c>
      <c r="I32" s="12">
        <v>0</v>
      </c>
    </row>
    <row r="33" spans="2:9" ht="15" customHeight="1" x14ac:dyDescent="0.2">
      <c r="B33" t="s">
        <v>78</v>
      </c>
      <c r="C33" s="12">
        <v>24</v>
      </c>
      <c r="D33" s="8">
        <v>3.02</v>
      </c>
      <c r="E33" s="12">
        <v>15</v>
      </c>
      <c r="F33" s="8">
        <v>3.43</v>
      </c>
      <c r="G33" s="12">
        <v>9</v>
      </c>
      <c r="H33" s="8">
        <v>2.62</v>
      </c>
      <c r="I33" s="12">
        <v>0</v>
      </c>
    </row>
    <row r="34" spans="2:9" ht="15" customHeight="1" x14ac:dyDescent="0.2">
      <c r="B34" t="s">
        <v>87</v>
      </c>
      <c r="C34" s="12">
        <v>21</v>
      </c>
      <c r="D34" s="8">
        <v>2.64</v>
      </c>
      <c r="E34" s="12">
        <v>19</v>
      </c>
      <c r="F34" s="8">
        <v>4.3499999999999996</v>
      </c>
      <c r="G34" s="12">
        <v>2</v>
      </c>
      <c r="H34" s="8">
        <v>0.57999999999999996</v>
      </c>
      <c r="I34" s="12">
        <v>0</v>
      </c>
    </row>
    <row r="35" spans="2:9" ht="15" customHeight="1" x14ac:dyDescent="0.2">
      <c r="B35" t="s">
        <v>83</v>
      </c>
      <c r="C35" s="12">
        <v>18</v>
      </c>
      <c r="D35" s="8">
        <v>2.2599999999999998</v>
      </c>
      <c r="E35" s="12">
        <v>6</v>
      </c>
      <c r="F35" s="8">
        <v>1.37</v>
      </c>
      <c r="G35" s="12">
        <v>12</v>
      </c>
      <c r="H35" s="8">
        <v>3.49</v>
      </c>
      <c r="I35" s="12">
        <v>0</v>
      </c>
    </row>
    <row r="36" spans="2:9" ht="15" customHeight="1" x14ac:dyDescent="0.2">
      <c r="B36" t="s">
        <v>90</v>
      </c>
      <c r="C36" s="12">
        <v>18</v>
      </c>
      <c r="D36" s="8">
        <v>2.2599999999999998</v>
      </c>
      <c r="E36" s="12">
        <v>0</v>
      </c>
      <c r="F36" s="8">
        <v>0</v>
      </c>
      <c r="G36" s="12">
        <v>8</v>
      </c>
      <c r="H36" s="8">
        <v>2.33</v>
      </c>
      <c r="I36" s="12">
        <v>0</v>
      </c>
    </row>
    <row r="37" spans="2:9" ht="15" customHeight="1" x14ac:dyDescent="0.2">
      <c r="B37" t="s">
        <v>82</v>
      </c>
      <c r="C37" s="12">
        <v>15</v>
      </c>
      <c r="D37" s="8">
        <v>1.88</v>
      </c>
      <c r="E37" s="12">
        <v>8</v>
      </c>
      <c r="F37" s="8">
        <v>1.83</v>
      </c>
      <c r="G37" s="12">
        <v>7</v>
      </c>
      <c r="H37" s="8">
        <v>2.0299999999999998</v>
      </c>
      <c r="I37" s="12">
        <v>0</v>
      </c>
    </row>
    <row r="38" spans="2:9" ht="15" customHeight="1" x14ac:dyDescent="0.2">
      <c r="B38" t="s">
        <v>88</v>
      </c>
      <c r="C38" s="12">
        <v>14</v>
      </c>
      <c r="D38" s="8">
        <v>1.76</v>
      </c>
      <c r="E38" s="12">
        <v>7</v>
      </c>
      <c r="F38" s="8">
        <v>1.6</v>
      </c>
      <c r="G38" s="12">
        <v>7</v>
      </c>
      <c r="H38" s="8">
        <v>2.0299999999999998</v>
      </c>
      <c r="I38" s="12">
        <v>0</v>
      </c>
    </row>
    <row r="39" spans="2:9" ht="15" customHeight="1" x14ac:dyDescent="0.2">
      <c r="B39" t="s">
        <v>73</v>
      </c>
      <c r="C39" s="12">
        <v>10</v>
      </c>
      <c r="D39" s="8">
        <v>1.26</v>
      </c>
      <c r="E39" s="12">
        <v>5</v>
      </c>
      <c r="F39" s="8">
        <v>1.1399999999999999</v>
      </c>
      <c r="G39" s="12">
        <v>5</v>
      </c>
      <c r="H39" s="8">
        <v>1.45</v>
      </c>
      <c r="I39" s="12">
        <v>0</v>
      </c>
    </row>
    <row r="40" spans="2:9" ht="15" customHeight="1" x14ac:dyDescent="0.2">
      <c r="B40" t="s">
        <v>75</v>
      </c>
      <c r="C40" s="12">
        <v>10</v>
      </c>
      <c r="D40" s="8">
        <v>1.26</v>
      </c>
      <c r="E40" s="12">
        <v>4</v>
      </c>
      <c r="F40" s="8">
        <v>0.92</v>
      </c>
      <c r="G40" s="12">
        <v>6</v>
      </c>
      <c r="H40" s="8">
        <v>1.74</v>
      </c>
      <c r="I40" s="12">
        <v>0</v>
      </c>
    </row>
    <row r="41" spans="2:9" ht="15" customHeight="1" x14ac:dyDescent="0.2">
      <c r="B41" t="s">
        <v>95</v>
      </c>
      <c r="C41" s="12">
        <v>10</v>
      </c>
      <c r="D41" s="8">
        <v>1.26</v>
      </c>
      <c r="E41" s="12">
        <v>7</v>
      </c>
      <c r="F41" s="8">
        <v>1.6</v>
      </c>
      <c r="G41" s="12">
        <v>3</v>
      </c>
      <c r="H41" s="8">
        <v>0.87</v>
      </c>
      <c r="I41" s="12">
        <v>0</v>
      </c>
    </row>
    <row r="42" spans="2:9" ht="15" customHeight="1" x14ac:dyDescent="0.2">
      <c r="B42" t="s">
        <v>94</v>
      </c>
      <c r="C42" s="12">
        <v>9</v>
      </c>
      <c r="D42" s="8">
        <v>1.1299999999999999</v>
      </c>
      <c r="E42" s="12">
        <v>4</v>
      </c>
      <c r="F42" s="8">
        <v>0.92</v>
      </c>
      <c r="G42" s="12">
        <v>5</v>
      </c>
      <c r="H42" s="8">
        <v>1.45</v>
      </c>
      <c r="I42" s="12">
        <v>0</v>
      </c>
    </row>
    <row r="43" spans="2:9" ht="15" customHeight="1" x14ac:dyDescent="0.2">
      <c r="B43" t="s">
        <v>76</v>
      </c>
      <c r="C43" s="12">
        <v>9</v>
      </c>
      <c r="D43" s="8">
        <v>1.1299999999999999</v>
      </c>
      <c r="E43" s="12">
        <v>4</v>
      </c>
      <c r="F43" s="8">
        <v>0.92</v>
      </c>
      <c r="G43" s="12">
        <v>5</v>
      </c>
      <c r="H43" s="8">
        <v>1.45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70</v>
      </c>
      <c r="D47" s="8">
        <v>8.7899999999999991</v>
      </c>
      <c r="E47" s="12">
        <v>54</v>
      </c>
      <c r="F47" s="8">
        <v>12.36</v>
      </c>
      <c r="G47" s="12">
        <v>16</v>
      </c>
      <c r="H47" s="8">
        <v>4.6500000000000004</v>
      </c>
      <c r="I47" s="12">
        <v>0</v>
      </c>
    </row>
    <row r="48" spans="2:9" ht="15" customHeight="1" x14ac:dyDescent="0.2">
      <c r="B48" t="s">
        <v>132</v>
      </c>
      <c r="C48" s="12">
        <v>44</v>
      </c>
      <c r="D48" s="8">
        <v>5.53</v>
      </c>
      <c r="E48" s="12">
        <v>35</v>
      </c>
      <c r="F48" s="8">
        <v>8.01</v>
      </c>
      <c r="G48" s="12">
        <v>9</v>
      </c>
      <c r="H48" s="8">
        <v>2.62</v>
      </c>
      <c r="I48" s="12">
        <v>0</v>
      </c>
    </row>
    <row r="49" spans="2:9" ht="15" customHeight="1" x14ac:dyDescent="0.2">
      <c r="B49" t="s">
        <v>116</v>
      </c>
      <c r="C49" s="12">
        <v>36</v>
      </c>
      <c r="D49" s="8">
        <v>4.5199999999999996</v>
      </c>
      <c r="E49" s="12">
        <v>11</v>
      </c>
      <c r="F49" s="8">
        <v>2.52</v>
      </c>
      <c r="G49" s="12">
        <v>25</v>
      </c>
      <c r="H49" s="8">
        <v>7.27</v>
      </c>
      <c r="I49" s="12">
        <v>0</v>
      </c>
    </row>
    <row r="50" spans="2:9" ht="15" customHeight="1" x14ac:dyDescent="0.2">
      <c r="B50" t="s">
        <v>133</v>
      </c>
      <c r="C50" s="12">
        <v>24</v>
      </c>
      <c r="D50" s="8">
        <v>3.02</v>
      </c>
      <c r="E50" s="12">
        <v>18</v>
      </c>
      <c r="F50" s="8">
        <v>4.12</v>
      </c>
      <c r="G50" s="12">
        <v>6</v>
      </c>
      <c r="H50" s="8">
        <v>1.74</v>
      </c>
      <c r="I50" s="12">
        <v>0</v>
      </c>
    </row>
    <row r="51" spans="2:9" ht="15" customHeight="1" x14ac:dyDescent="0.2">
      <c r="B51" t="s">
        <v>131</v>
      </c>
      <c r="C51" s="12">
        <v>22</v>
      </c>
      <c r="D51" s="8">
        <v>2.76</v>
      </c>
      <c r="E51" s="12">
        <v>22</v>
      </c>
      <c r="F51" s="8">
        <v>5.03</v>
      </c>
      <c r="G51" s="12">
        <v>0</v>
      </c>
      <c r="H51" s="8">
        <v>0</v>
      </c>
      <c r="I51" s="12">
        <v>0</v>
      </c>
    </row>
    <row r="52" spans="2:9" ht="15" customHeight="1" x14ac:dyDescent="0.2">
      <c r="B52" t="s">
        <v>122</v>
      </c>
      <c r="C52" s="12">
        <v>20</v>
      </c>
      <c r="D52" s="8">
        <v>2.5099999999999998</v>
      </c>
      <c r="E52" s="12">
        <v>12</v>
      </c>
      <c r="F52" s="8">
        <v>2.75</v>
      </c>
      <c r="G52" s="12">
        <v>8</v>
      </c>
      <c r="H52" s="8">
        <v>2.33</v>
      </c>
      <c r="I52" s="12">
        <v>0</v>
      </c>
    </row>
    <row r="53" spans="2:9" ht="15" customHeight="1" x14ac:dyDescent="0.2">
      <c r="B53" t="s">
        <v>129</v>
      </c>
      <c r="C53" s="12">
        <v>20</v>
      </c>
      <c r="D53" s="8">
        <v>2.5099999999999998</v>
      </c>
      <c r="E53" s="12">
        <v>18</v>
      </c>
      <c r="F53" s="8">
        <v>4.12</v>
      </c>
      <c r="G53" s="12">
        <v>2</v>
      </c>
      <c r="H53" s="8">
        <v>0.57999999999999996</v>
      </c>
      <c r="I53" s="12">
        <v>0</v>
      </c>
    </row>
    <row r="54" spans="2:9" ht="15" customHeight="1" x14ac:dyDescent="0.2">
      <c r="B54" t="s">
        <v>118</v>
      </c>
      <c r="C54" s="12">
        <v>19</v>
      </c>
      <c r="D54" s="8">
        <v>2.39</v>
      </c>
      <c r="E54" s="12">
        <v>13</v>
      </c>
      <c r="F54" s="8">
        <v>2.97</v>
      </c>
      <c r="G54" s="12">
        <v>6</v>
      </c>
      <c r="H54" s="8">
        <v>1.74</v>
      </c>
      <c r="I54" s="12">
        <v>0</v>
      </c>
    </row>
    <row r="55" spans="2:9" ht="15" customHeight="1" x14ac:dyDescent="0.2">
      <c r="B55" t="s">
        <v>119</v>
      </c>
      <c r="C55" s="12">
        <v>19</v>
      </c>
      <c r="D55" s="8">
        <v>2.39</v>
      </c>
      <c r="E55" s="12">
        <v>6</v>
      </c>
      <c r="F55" s="8">
        <v>1.37</v>
      </c>
      <c r="G55" s="12">
        <v>13</v>
      </c>
      <c r="H55" s="8">
        <v>3.78</v>
      </c>
      <c r="I55" s="12">
        <v>0</v>
      </c>
    </row>
    <row r="56" spans="2:9" ht="15" customHeight="1" x14ac:dyDescent="0.2">
      <c r="B56" t="s">
        <v>128</v>
      </c>
      <c r="C56" s="12">
        <v>18</v>
      </c>
      <c r="D56" s="8">
        <v>2.2599999999999998</v>
      </c>
      <c r="E56" s="12">
        <v>15</v>
      </c>
      <c r="F56" s="8">
        <v>3.43</v>
      </c>
      <c r="G56" s="12">
        <v>3</v>
      </c>
      <c r="H56" s="8">
        <v>0.87</v>
      </c>
      <c r="I56" s="12">
        <v>0</v>
      </c>
    </row>
    <row r="57" spans="2:9" ht="15" customHeight="1" x14ac:dyDescent="0.2">
      <c r="B57" t="s">
        <v>130</v>
      </c>
      <c r="C57" s="12">
        <v>18</v>
      </c>
      <c r="D57" s="8">
        <v>2.2599999999999998</v>
      </c>
      <c r="E57" s="12">
        <v>18</v>
      </c>
      <c r="F57" s="8">
        <v>4.12</v>
      </c>
      <c r="G57" s="12">
        <v>0</v>
      </c>
      <c r="H57" s="8">
        <v>0</v>
      </c>
      <c r="I57" s="12">
        <v>0</v>
      </c>
    </row>
    <row r="58" spans="2:9" ht="15" customHeight="1" x14ac:dyDescent="0.2">
      <c r="B58" t="s">
        <v>124</v>
      </c>
      <c r="C58" s="12">
        <v>17</v>
      </c>
      <c r="D58" s="8">
        <v>2.14</v>
      </c>
      <c r="E58" s="12">
        <v>5</v>
      </c>
      <c r="F58" s="8">
        <v>1.1399999999999999</v>
      </c>
      <c r="G58" s="12">
        <v>12</v>
      </c>
      <c r="H58" s="8">
        <v>3.49</v>
      </c>
      <c r="I58" s="12">
        <v>0</v>
      </c>
    </row>
    <row r="59" spans="2:9" ht="15" customHeight="1" x14ac:dyDescent="0.2">
      <c r="B59" t="s">
        <v>120</v>
      </c>
      <c r="C59" s="12">
        <v>15</v>
      </c>
      <c r="D59" s="8">
        <v>1.88</v>
      </c>
      <c r="E59" s="12">
        <v>6</v>
      </c>
      <c r="F59" s="8">
        <v>1.37</v>
      </c>
      <c r="G59" s="12">
        <v>9</v>
      </c>
      <c r="H59" s="8">
        <v>2.62</v>
      </c>
      <c r="I59" s="12">
        <v>0</v>
      </c>
    </row>
    <row r="60" spans="2:9" ht="15" customHeight="1" x14ac:dyDescent="0.2">
      <c r="B60" t="s">
        <v>121</v>
      </c>
      <c r="C60" s="12">
        <v>15</v>
      </c>
      <c r="D60" s="8">
        <v>1.88</v>
      </c>
      <c r="E60" s="12">
        <v>11</v>
      </c>
      <c r="F60" s="8">
        <v>2.52</v>
      </c>
      <c r="G60" s="12">
        <v>4</v>
      </c>
      <c r="H60" s="8">
        <v>1.1599999999999999</v>
      </c>
      <c r="I60" s="12">
        <v>0</v>
      </c>
    </row>
    <row r="61" spans="2:9" ht="15" customHeight="1" x14ac:dyDescent="0.2">
      <c r="B61" t="s">
        <v>117</v>
      </c>
      <c r="C61" s="12">
        <v>14</v>
      </c>
      <c r="D61" s="8">
        <v>1.76</v>
      </c>
      <c r="E61" s="12">
        <v>2</v>
      </c>
      <c r="F61" s="8">
        <v>0.46</v>
      </c>
      <c r="G61" s="12">
        <v>12</v>
      </c>
      <c r="H61" s="8">
        <v>3.49</v>
      </c>
      <c r="I61" s="12">
        <v>0</v>
      </c>
    </row>
    <row r="62" spans="2:9" ht="15" customHeight="1" x14ac:dyDescent="0.2">
      <c r="B62" t="s">
        <v>135</v>
      </c>
      <c r="C62" s="12">
        <v>14</v>
      </c>
      <c r="D62" s="8">
        <v>1.76</v>
      </c>
      <c r="E62" s="12">
        <v>7</v>
      </c>
      <c r="F62" s="8">
        <v>1.6</v>
      </c>
      <c r="G62" s="12">
        <v>7</v>
      </c>
      <c r="H62" s="8">
        <v>2.0299999999999998</v>
      </c>
      <c r="I62" s="12">
        <v>0</v>
      </c>
    </row>
    <row r="63" spans="2:9" ht="15" customHeight="1" x14ac:dyDescent="0.2">
      <c r="B63" t="s">
        <v>164</v>
      </c>
      <c r="C63" s="12">
        <v>13</v>
      </c>
      <c r="D63" s="8">
        <v>1.63</v>
      </c>
      <c r="E63" s="12">
        <v>0</v>
      </c>
      <c r="F63" s="8">
        <v>0</v>
      </c>
      <c r="G63" s="12">
        <v>3</v>
      </c>
      <c r="H63" s="8">
        <v>0.87</v>
      </c>
      <c r="I63" s="12">
        <v>0</v>
      </c>
    </row>
    <row r="64" spans="2:9" ht="15" customHeight="1" x14ac:dyDescent="0.2">
      <c r="B64" t="s">
        <v>127</v>
      </c>
      <c r="C64" s="12">
        <v>12</v>
      </c>
      <c r="D64" s="8">
        <v>1.51</v>
      </c>
      <c r="E64" s="12">
        <v>5</v>
      </c>
      <c r="F64" s="8">
        <v>1.1399999999999999</v>
      </c>
      <c r="G64" s="12">
        <v>7</v>
      </c>
      <c r="H64" s="8">
        <v>2.0299999999999998</v>
      </c>
      <c r="I64" s="12">
        <v>0</v>
      </c>
    </row>
    <row r="65" spans="2:9" ht="15" customHeight="1" x14ac:dyDescent="0.2">
      <c r="B65" t="s">
        <v>144</v>
      </c>
      <c r="C65" s="12">
        <v>11</v>
      </c>
      <c r="D65" s="8">
        <v>1.38</v>
      </c>
      <c r="E65" s="12">
        <v>8</v>
      </c>
      <c r="F65" s="8">
        <v>1.83</v>
      </c>
      <c r="G65" s="12">
        <v>3</v>
      </c>
      <c r="H65" s="8">
        <v>0.87</v>
      </c>
      <c r="I65" s="12">
        <v>0</v>
      </c>
    </row>
    <row r="66" spans="2:9" ht="15" customHeight="1" x14ac:dyDescent="0.2">
      <c r="B66" t="s">
        <v>134</v>
      </c>
      <c r="C66" s="12">
        <v>11</v>
      </c>
      <c r="D66" s="8">
        <v>1.38</v>
      </c>
      <c r="E66" s="12">
        <v>10</v>
      </c>
      <c r="F66" s="8">
        <v>2.29</v>
      </c>
      <c r="G66" s="12">
        <v>1</v>
      </c>
      <c r="H66" s="8">
        <v>0.28999999999999998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E537A-C4A1-4AAF-81DB-60981DD4C410}">
  <sheetPr>
    <pageSetUpPr fitToPage="1"/>
  </sheetPr>
  <dimension ref="B2:I71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234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123</v>
      </c>
      <c r="D6" s="8">
        <v>14.63</v>
      </c>
      <c r="E6" s="12">
        <v>39</v>
      </c>
      <c r="F6" s="8">
        <v>9.75</v>
      </c>
      <c r="G6" s="12">
        <v>84</v>
      </c>
      <c r="H6" s="8">
        <v>19.18</v>
      </c>
      <c r="I6" s="12">
        <v>0</v>
      </c>
    </row>
    <row r="7" spans="2:9" ht="15" customHeight="1" x14ac:dyDescent="0.2">
      <c r="B7" t="s">
        <v>48</v>
      </c>
      <c r="C7" s="12">
        <v>99</v>
      </c>
      <c r="D7" s="8">
        <v>11.77</v>
      </c>
      <c r="E7" s="12">
        <v>29</v>
      </c>
      <c r="F7" s="8">
        <v>7.25</v>
      </c>
      <c r="G7" s="12">
        <v>70</v>
      </c>
      <c r="H7" s="8">
        <v>15.98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0.12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7</v>
      </c>
      <c r="D9" s="8">
        <v>0.83</v>
      </c>
      <c r="E9" s="12">
        <v>2</v>
      </c>
      <c r="F9" s="8">
        <v>0.5</v>
      </c>
      <c r="G9" s="12">
        <v>5</v>
      </c>
      <c r="H9" s="8">
        <v>1.1399999999999999</v>
      </c>
      <c r="I9" s="12">
        <v>0</v>
      </c>
    </row>
    <row r="10" spans="2:9" ht="15" customHeight="1" x14ac:dyDescent="0.2">
      <c r="B10" t="s">
        <v>51</v>
      </c>
      <c r="C10" s="12">
        <v>9</v>
      </c>
      <c r="D10" s="8">
        <v>1.07</v>
      </c>
      <c r="E10" s="12">
        <v>2</v>
      </c>
      <c r="F10" s="8">
        <v>0.5</v>
      </c>
      <c r="G10" s="12">
        <v>7</v>
      </c>
      <c r="H10" s="8">
        <v>1.6</v>
      </c>
      <c r="I10" s="12">
        <v>0</v>
      </c>
    </row>
    <row r="11" spans="2:9" ht="15" customHeight="1" x14ac:dyDescent="0.2">
      <c r="B11" t="s">
        <v>52</v>
      </c>
      <c r="C11" s="12">
        <v>199</v>
      </c>
      <c r="D11" s="8">
        <v>23.66</v>
      </c>
      <c r="E11" s="12">
        <v>79</v>
      </c>
      <c r="F11" s="8">
        <v>19.75</v>
      </c>
      <c r="G11" s="12">
        <v>119</v>
      </c>
      <c r="H11" s="8">
        <v>27.17</v>
      </c>
      <c r="I11" s="12">
        <v>1</v>
      </c>
    </row>
    <row r="12" spans="2:9" ht="15" customHeight="1" x14ac:dyDescent="0.2">
      <c r="B12" t="s">
        <v>53</v>
      </c>
      <c r="C12" s="12">
        <v>3</v>
      </c>
      <c r="D12" s="8">
        <v>0.36</v>
      </c>
      <c r="E12" s="12">
        <v>0</v>
      </c>
      <c r="F12" s="8">
        <v>0</v>
      </c>
      <c r="G12" s="12">
        <v>3</v>
      </c>
      <c r="H12" s="8">
        <v>0.68</v>
      </c>
      <c r="I12" s="12">
        <v>0</v>
      </c>
    </row>
    <row r="13" spans="2:9" ht="15" customHeight="1" x14ac:dyDescent="0.2">
      <c r="B13" t="s">
        <v>54</v>
      </c>
      <c r="C13" s="12">
        <v>67</v>
      </c>
      <c r="D13" s="8">
        <v>7.97</v>
      </c>
      <c r="E13" s="12">
        <v>17</v>
      </c>
      <c r="F13" s="8">
        <v>4.25</v>
      </c>
      <c r="G13" s="12">
        <v>50</v>
      </c>
      <c r="H13" s="8">
        <v>11.42</v>
      </c>
      <c r="I13" s="12">
        <v>0</v>
      </c>
    </row>
    <row r="14" spans="2:9" ht="15" customHeight="1" x14ac:dyDescent="0.2">
      <c r="B14" t="s">
        <v>55</v>
      </c>
      <c r="C14" s="12">
        <v>40</v>
      </c>
      <c r="D14" s="8">
        <v>4.76</v>
      </c>
      <c r="E14" s="12">
        <v>16</v>
      </c>
      <c r="F14" s="8">
        <v>4</v>
      </c>
      <c r="G14" s="12">
        <v>24</v>
      </c>
      <c r="H14" s="8">
        <v>5.48</v>
      </c>
      <c r="I14" s="12">
        <v>0</v>
      </c>
    </row>
    <row r="15" spans="2:9" ht="15" customHeight="1" x14ac:dyDescent="0.2">
      <c r="B15" t="s">
        <v>56</v>
      </c>
      <c r="C15" s="12">
        <v>72</v>
      </c>
      <c r="D15" s="8">
        <v>8.56</v>
      </c>
      <c r="E15" s="12">
        <v>61</v>
      </c>
      <c r="F15" s="8">
        <v>15.25</v>
      </c>
      <c r="G15" s="12">
        <v>11</v>
      </c>
      <c r="H15" s="8">
        <v>2.5099999999999998</v>
      </c>
      <c r="I15" s="12">
        <v>0</v>
      </c>
    </row>
    <row r="16" spans="2:9" ht="15" customHeight="1" x14ac:dyDescent="0.2">
      <c r="B16" t="s">
        <v>57</v>
      </c>
      <c r="C16" s="12">
        <v>110</v>
      </c>
      <c r="D16" s="8">
        <v>13.08</v>
      </c>
      <c r="E16" s="12">
        <v>88</v>
      </c>
      <c r="F16" s="8">
        <v>22</v>
      </c>
      <c r="G16" s="12">
        <v>22</v>
      </c>
      <c r="H16" s="8">
        <v>5.0199999999999996</v>
      </c>
      <c r="I16" s="12">
        <v>0</v>
      </c>
    </row>
    <row r="17" spans="2:9" ht="15" customHeight="1" x14ac:dyDescent="0.2">
      <c r="B17" t="s">
        <v>58</v>
      </c>
      <c r="C17" s="12">
        <v>33</v>
      </c>
      <c r="D17" s="8">
        <v>3.92</v>
      </c>
      <c r="E17" s="12">
        <v>21</v>
      </c>
      <c r="F17" s="8">
        <v>5.25</v>
      </c>
      <c r="G17" s="12">
        <v>12</v>
      </c>
      <c r="H17" s="8">
        <v>2.74</v>
      </c>
      <c r="I17" s="12">
        <v>0</v>
      </c>
    </row>
    <row r="18" spans="2:9" ht="15" customHeight="1" x14ac:dyDescent="0.2">
      <c r="B18" t="s">
        <v>59</v>
      </c>
      <c r="C18" s="12">
        <v>50</v>
      </c>
      <c r="D18" s="8">
        <v>5.95</v>
      </c>
      <c r="E18" s="12">
        <v>35</v>
      </c>
      <c r="F18" s="8">
        <v>8.75</v>
      </c>
      <c r="G18" s="12">
        <v>14</v>
      </c>
      <c r="H18" s="8">
        <v>3.2</v>
      </c>
      <c r="I18" s="12">
        <v>0</v>
      </c>
    </row>
    <row r="19" spans="2:9" ht="15" customHeight="1" x14ac:dyDescent="0.2">
      <c r="B19" t="s">
        <v>60</v>
      </c>
      <c r="C19" s="12">
        <v>28</v>
      </c>
      <c r="D19" s="8">
        <v>3.33</v>
      </c>
      <c r="E19" s="12">
        <v>11</v>
      </c>
      <c r="F19" s="8">
        <v>2.75</v>
      </c>
      <c r="G19" s="12">
        <v>17</v>
      </c>
      <c r="H19" s="8">
        <v>3.88</v>
      </c>
      <c r="I19" s="12">
        <v>0</v>
      </c>
    </row>
    <row r="20" spans="2:9" ht="15" customHeight="1" x14ac:dyDescent="0.2">
      <c r="B20" s="9" t="s">
        <v>191</v>
      </c>
      <c r="C20" s="12">
        <f>SUM(LTBL_22341[総数／事業所数])</f>
        <v>841</v>
      </c>
      <c r="E20" s="12">
        <f>SUBTOTAL(109,LTBL_22341[個人／事業所数])</f>
        <v>400</v>
      </c>
      <c r="G20" s="12">
        <f>SUBTOTAL(109,LTBL_22341[法人／事業所数])</f>
        <v>438</v>
      </c>
      <c r="I20" s="12">
        <f>SUBTOTAL(109,LTBL_22341[法人以外の団体／事業所数])</f>
        <v>1</v>
      </c>
    </row>
    <row r="21" spans="2:9" ht="15" customHeight="1" x14ac:dyDescent="0.2">
      <c r="E21" s="11">
        <f>LTBL_22341[[#Totals],[個人／事業所数]]/LTBL_22341[[#Totals],[総数／事業所数]]</f>
        <v>0.47562425683709869</v>
      </c>
      <c r="G21" s="11">
        <f>LTBL_22341[[#Totals],[法人／事業所数]]/LTBL_22341[[#Totals],[総数／事業所数]]</f>
        <v>0.52080856123662311</v>
      </c>
      <c r="I21" s="11">
        <f>LTBL_22341[[#Totals],[法人以外の団体／事業所数]]/LTBL_22341[[#Totals],[総数／事業所数]]</f>
        <v>1.1890606420927466E-3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95</v>
      </c>
      <c r="D24" s="8">
        <v>11.3</v>
      </c>
      <c r="E24" s="12">
        <v>82</v>
      </c>
      <c r="F24" s="8">
        <v>20.5</v>
      </c>
      <c r="G24" s="12">
        <v>13</v>
      </c>
      <c r="H24" s="8">
        <v>2.97</v>
      </c>
      <c r="I24" s="12">
        <v>0</v>
      </c>
    </row>
    <row r="25" spans="2:9" ht="15" customHeight="1" x14ac:dyDescent="0.2">
      <c r="B25" t="s">
        <v>84</v>
      </c>
      <c r="C25" s="12">
        <v>70</v>
      </c>
      <c r="D25" s="8">
        <v>8.32</v>
      </c>
      <c r="E25" s="12">
        <v>60</v>
      </c>
      <c r="F25" s="8">
        <v>15</v>
      </c>
      <c r="G25" s="12">
        <v>10</v>
      </c>
      <c r="H25" s="8">
        <v>2.2799999999999998</v>
      </c>
      <c r="I25" s="12">
        <v>0</v>
      </c>
    </row>
    <row r="26" spans="2:9" ht="15" customHeight="1" x14ac:dyDescent="0.2">
      <c r="B26" t="s">
        <v>79</v>
      </c>
      <c r="C26" s="12">
        <v>51</v>
      </c>
      <c r="D26" s="8">
        <v>6.06</v>
      </c>
      <c r="E26" s="12">
        <v>23</v>
      </c>
      <c r="F26" s="8">
        <v>5.75</v>
      </c>
      <c r="G26" s="12">
        <v>28</v>
      </c>
      <c r="H26" s="8">
        <v>6.39</v>
      </c>
      <c r="I26" s="12">
        <v>0</v>
      </c>
    </row>
    <row r="27" spans="2:9" ht="15" customHeight="1" x14ac:dyDescent="0.2">
      <c r="B27" t="s">
        <v>69</v>
      </c>
      <c r="C27" s="12">
        <v>46</v>
      </c>
      <c r="D27" s="8">
        <v>5.47</v>
      </c>
      <c r="E27" s="12">
        <v>8</v>
      </c>
      <c r="F27" s="8">
        <v>2</v>
      </c>
      <c r="G27" s="12">
        <v>38</v>
      </c>
      <c r="H27" s="8">
        <v>8.68</v>
      </c>
      <c r="I27" s="12">
        <v>0</v>
      </c>
    </row>
    <row r="28" spans="2:9" ht="15" customHeight="1" x14ac:dyDescent="0.2">
      <c r="B28" t="s">
        <v>81</v>
      </c>
      <c r="C28" s="12">
        <v>44</v>
      </c>
      <c r="D28" s="8">
        <v>5.23</v>
      </c>
      <c r="E28" s="12">
        <v>14</v>
      </c>
      <c r="F28" s="8">
        <v>3.5</v>
      </c>
      <c r="G28" s="12">
        <v>30</v>
      </c>
      <c r="H28" s="8">
        <v>6.85</v>
      </c>
      <c r="I28" s="12">
        <v>0</v>
      </c>
    </row>
    <row r="29" spans="2:9" ht="15" customHeight="1" x14ac:dyDescent="0.2">
      <c r="B29" t="s">
        <v>70</v>
      </c>
      <c r="C29" s="12">
        <v>43</v>
      </c>
      <c r="D29" s="8">
        <v>5.1100000000000003</v>
      </c>
      <c r="E29" s="12">
        <v>23</v>
      </c>
      <c r="F29" s="8">
        <v>5.75</v>
      </c>
      <c r="G29" s="12">
        <v>20</v>
      </c>
      <c r="H29" s="8">
        <v>4.57</v>
      </c>
      <c r="I29" s="12">
        <v>0</v>
      </c>
    </row>
    <row r="30" spans="2:9" ht="15" customHeight="1" x14ac:dyDescent="0.2">
      <c r="B30" t="s">
        <v>87</v>
      </c>
      <c r="C30" s="12">
        <v>41</v>
      </c>
      <c r="D30" s="8">
        <v>4.88</v>
      </c>
      <c r="E30" s="12">
        <v>35</v>
      </c>
      <c r="F30" s="8">
        <v>8.75</v>
      </c>
      <c r="G30" s="12">
        <v>6</v>
      </c>
      <c r="H30" s="8">
        <v>1.37</v>
      </c>
      <c r="I30" s="12">
        <v>0</v>
      </c>
    </row>
    <row r="31" spans="2:9" ht="15" customHeight="1" x14ac:dyDescent="0.2">
      <c r="B31" t="s">
        <v>77</v>
      </c>
      <c r="C31" s="12">
        <v>37</v>
      </c>
      <c r="D31" s="8">
        <v>4.4000000000000004</v>
      </c>
      <c r="E31" s="12">
        <v>21</v>
      </c>
      <c r="F31" s="8">
        <v>5.25</v>
      </c>
      <c r="G31" s="12">
        <v>16</v>
      </c>
      <c r="H31" s="8">
        <v>3.65</v>
      </c>
      <c r="I31" s="12">
        <v>0</v>
      </c>
    </row>
    <row r="32" spans="2:9" ht="15" customHeight="1" x14ac:dyDescent="0.2">
      <c r="B32" t="s">
        <v>71</v>
      </c>
      <c r="C32" s="12">
        <v>34</v>
      </c>
      <c r="D32" s="8">
        <v>4.04</v>
      </c>
      <c r="E32" s="12">
        <v>8</v>
      </c>
      <c r="F32" s="8">
        <v>2</v>
      </c>
      <c r="G32" s="12">
        <v>26</v>
      </c>
      <c r="H32" s="8">
        <v>5.94</v>
      </c>
      <c r="I32" s="12">
        <v>0</v>
      </c>
    </row>
    <row r="33" spans="2:9" ht="15" customHeight="1" x14ac:dyDescent="0.2">
      <c r="B33" t="s">
        <v>86</v>
      </c>
      <c r="C33" s="12">
        <v>33</v>
      </c>
      <c r="D33" s="8">
        <v>3.92</v>
      </c>
      <c r="E33" s="12">
        <v>21</v>
      </c>
      <c r="F33" s="8">
        <v>5.25</v>
      </c>
      <c r="G33" s="12">
        <v>12</v>
      </c>
      <c r="H33" s="8">
        <v>2.74</v>
      </c>
      <c r="I33" s="12">
        <v>0</v>
      </c>
    </row>
    <row r="34" spans="2:9" ht="15" customHeight="1" x14ac:dyDescent="0.2">
      <c r="B34" t="s">
        <v>78</v>
      </c>
      <c r="C34" s="12">
        <v>31</v>
      </c>
      <c r="D34" s="8">
        <v>3.69</v>
      </c>
      <c r="E34" s="12">
        <v>14</v>
      </c>
      <c r="F34" s="8">
        <v>3.5</v>
      </c>
      <c r="G34" s="12">
        <v>17</v>
      </c>
      <c r="H34" s="8">
        <v>3.88</v>
      </c>
      <c r="I34" s="12">
        <v>0</v>
      </c>
    </row>
    <row r="35" spans="2:9" ht="15" customHeight="1" x14ac:dyDescent="0.2">
      <c r="B35" t="s">
        <v>83</v>
      </c>
      <c r="C35" s="12">
        <v>23</v>
      </c>
      <c r="D35" s="8">
        <v>2.73</v>
      </c>
      <c r="E35" s="12">
        <v>7</v>
      </c>
      <c r="F35" s="8">
        <v>1.75</v>
      </c>
      <c r="G35" s="12">
        <v>16</v>
      </c>
      <c r="H35" s="8">
        <v>3.65</v>
      </c>
      <c r="I35" s="12">
        <v>0</v>
      </c>
    </row>
    <row r="36" spans="2:9" ht="15" customHeight="1" x14ac:dyDescent="0.2">
      <c r="B36" t="s">
        <v>80</v>
      </c>
      <c r="C36" s="12">
        <v>21</v>
      </c>
      <c r="D36" s="8">
        <v>2.5</v>
      </c>
      <c r="E36" s="12">
        <v>3</v>
      </c>
      <c r="F36" s="8">
        <v>0.75</v>
      </c>
      <c r="G36" s="12">
        <v>18</v>
      </c>
      <c r="H36" s="8">
        <v>4.1100000000000003</v>
      </c>
      <c r="I36" s="12">
        <v>0</v>
      </c>
    </row>
    <row r="37" spans="2:9" ht="15" customHeight="1" x14ac:dyDescent="0.2">
      <c r="B37" t="s">
        <v>76</v>
      </c>
      <c r="C37" s="12">
        <v>20</v>
      </c>
      <c r="D37" s="8">
        <v>2.38</v>
      </c>
      <c r="E37" s="12">
        <v>4</v>
      </c>
      <c r="F37" s="8">
        <v>1</v>
      </c>
      <c r="G37" s="12">
        <v>16</v>
      </c>
      <c r="H37" s="8">
        <v>3.65</v>
      </c>
      <c r="I37" s="12">
        <v>0</v>
      </c>
    </row>
    <row r="38" spans="2:9" ht="15" customHeight="1" x14ac:dyDescent="0.2">
      <c r="B38" t="s">
        <v>82</v>
      </c>
      <c r="C38" s="12">
        <v>17</v>
      </c>
      <c r="D38" s="8">
        <v>2.02</v>
      </c>
      <c r="E38" s="12">
        <v>9</v>
      </c>
      <c r="F38" s="8">
        <v>2.25</v>
      </c>
      <c r="G38" s="12">
        <v>8</v>
      </c>
      <c r="H38" s="8">
        <v>1.83</v>
      </c>
      <c r="I38" s="12">
        <v>0</v>
      </c>
    </row>
    <row r="39" spans="2:9" ht="15" customHeight="1" x14ac:dyDescent="0.2">
      <c r="B39" t="s">
        <v>73</v>
      </c>
      <c r="C39" s="12">
        <v>16</v>
      </c>
      <c r="D39" s="8">
        <v>1.9</v>
      </c>
      <c r="E39" s="12">
        <v>4</v>
      </c>
      <c r="F39" s="8">
        <v>1</v>
      </c>
      <c r="G39" s="12">
        <v>12</v>
      </c>
      <c r="H39" s="8">
        <v>2.74</v>
      </c>
      <c r="I39" s="12">
        <v>0</v>
      </c>
    </row>
    <row r="40" spans="2:9" ht="15" customHeight="1" x14ac:dyDescent="0.2">
      <c r="B40" t="s">
        <v>94</v>
      </c>
      <c r="C40" s="12">
        <v>16</v>
      </c>
      <c r="D40" s="8">
        <v>1.9</v>
      </c>
      <c r="E40" s="12">
        <v>5</v>
      </c>
      <c r="F40" s="8">
        <v>1.25</v>
      </c>
      <c r="G40" s="12">
        <v>11</v>
      </c>
      <c r="H40" s="8">
        <v>2.5099999999999998</v>
      </c>
      <c r="I40" s="12">
        <v>0</v>
      </c>
    </row>
    <row r="41" spans="2:9" ht="15" customHeight="1" x14ac:dyDescent="0.2">
      <c r="B41" t="s">
        <v>93</v>
      </c>
      <c r="C41" s="12">
        <v>15</v>
      </c>
      <c r="D41" s="8">
        <v>1.78</v>
      </c>
      <c r="E41" s="12">
        <v>5</v>
      </c>
      <c r="F41" s="8">
        <v>1.25</v>
      </c>
      <c r="G41" s="12">
        <v>10</v>
      </c>
      <c r="H41" s="8">
        <v>2.2799999999999998</v>
      </c>
      <c r="I41" s="12">
        <v>0</v>
      </c>
    </row>
    <row r="42" spans="2:9" ht="15" customHeight="1" x14ac:dyDescent="0.2">
      <c r="B42" t="s">
        <v>72</v>
      </c>
      <c r="C42" s="12">
        <v>14</v>
      </c>
      <c r="D42" s="8">
        <v>1.66</v>
      </c>
      <c r="E42" s="12">
        <v>4</v>
      </c>
      <c r="F42" s="8">
        <v>1</v>
      </c>
      <c r="G42" s="12">
        <v>10</v>
      </c>
      <c r="H42" s="8">
        <v>2.2799999999999998</v>
      </c>
      <c r="I42" s="12">
        <v>0</v>
      </c>
    </row>
    <row r="43" spans="2:9" ht="15" customHeight="1" x14ac:dyDescent="0.2">
      <c r="B43" t="s">
        <v>75</v>
      </c>
      <c r="C43" s="12">
        <v>14</v>
      </c>
      <c r="D43" s="8">
        <v>1.66</v>
      </c>
      <c r="E43" s="12">
        <v>3</v>
      </c>
      <c r="F43" s="8">
        <v>0.75</v>
      </c>
      <c r="G43" s="12">
        <v>11</v>
      </c>
      <c r="H43" s="8">
        <v>2.5099999999999998</v>
      </c>
      <c r="I43" s="12">
        <v>0</v>
      </c>
    </row>
    <row r="44" spans="2:9" ht="15" customHeight="1" x14ac:dyDescent="0.2">
      <c r="B44" t="s">
        <v>88</v>
      </c>
      <c r="C44" s="12">
        <v>14</v>
      </c>
      <c r="D44" s="8">
        <v>1.66</v>
      </c>
      <c r="E44" s="12">
        <v>11</v>
      </c>
      <c r="F44" s="8">
        <v>2.75</v>
      </c>
      <c r="G44" s="12">
        <v>3</v>
      </c>
      <c r="H44" s="8">
        <v>0.68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132</v>
      </c>
      <c r="C48" s="12">
        <v>54</v>
      </c>
      <c r="D48" s="8">
        <v>6.42</v>
      </c>
      <c r="E48" s="12">
        <v>46</v>
      </c>
      <c r="F48" s="8">
        <v>11.5</v>
      </c>
      <c r="G48" s="12">
        <v>8</v>
      </c>
      <c r="H48" s="8">
        <v>1.83</v>
      </c>
      <c r="I48" s="12">
        <v>0</v>
      </c>
    </row>
    <row r="49" spans="2:9" ht="15" customHeight="1" x14ac:dyDescent="0.2">
      <c r="B49" t="s">
        <v>134</v>
      </c>
      <c r="C49" s="12">
        <v>29</v>
      </c>
      <c r="D49" s="8">
        <v>3.45</v>
      </c>
      <c r="E49" s="12">
        <v>24</v>
      </c>
      <c r="F49" s="8">
        <v>6</v>
      </c>
      <c r="G49" s="12">
        <v>5</v>
      </c>
      <c r="H49" s="8">
        <v>1.1399999999999999</v>
      </c>
      <c r="I49" s="12">
        <v>0</v>
      </c>
    </row>
    <row r="50" spans="2:9" ht="15" customHeight="1" x14ac:dyDescent="0.2">
      <c r="B50" t="s">
        <v>133</v>
      </c>
      <c r="C50" s="12">
        <v>27</v>
      </c>
      <c r="D50" s="8">
        <v>3.21</v>
      </c>
      <c r="E50" s="12">
        <v>18</v>
      </c>
      <c r="F50" s="8">
        <v>4.5</v>
      </c>
      <c r="G50" s="12">
        <v>9</v>
      </c>
      <c r="H50" s="8">
        <v>2.0499999999999998</v>
      </c>
      <c r="I50" s="12">
        <v>0</v>
      </c>
    </row>
    <row r="51" spans="2:9" ht="15" customHeight="1" x14ac:dyDescent="0.2">
      <c r="B51" t="s">
        <v>124</v>
      </c>
      <c r="C51" s="12">
        <v>26</v>
      </c>
      <c r="D51" s="8">
        <v>3.09</v>
      </c>
      <c r="E51" s="12">
        <v>14</v>
      </c>
      <c r="F51" s="8">
        <v>3.5</v>
      </c>
      <c r="G51" s="12">
        <v>12</v>
      </c>
      <c r="H51" s="8">
        <v>2.74</v>
      </c>
      <c r="I51" s="12">
        <v>0</v>
      </c>
    </row>
    <row r="52" spans="2:9" ht="15" customHeight="1" x14ac:dyDescent="0.2">
      <c r="B52" t="s">
        <v>126</v>
      </c>
      <c r="C52" s="12">
        <v>26</v>
      </c>
      <c r="D52" s="8">
        <v>3.09</v>
      </c>
      <c r="E52" s="12">
        <v>11</v>
      </c>
      <c r="F52" s="8">
        <v>2.75</v>
      </c>
      <c r="G52" s="12">
        <v>15</v>
      </c>
      <c r="H52" s="8">
        <v>3.42</v>
      </c>
      <c r="I52" s="12">
        <v>0</v>
      </c>
    </row>
    <row r="53" spans="2:9" ht="15" customHeight="1" x14ac:dyDescent="0.2">
      <c r="B53" t="s">
        <v>128</v>
      </c>
      <c r="C53" s="12">
        <v>24</v>
      </c>
      <c r="D53" s="8">
        <v>2.85</v>
      </c>
      <c r="E53" s="12">
        <v>22</v>
      </c>
      <c r="F53" s="8">
        <v>5.5</v>
      </c>
      <c r="G53" s="12">
        <v>2</v>
      </c>
      <c r="H53" s="8">
        <v>0.46</v>
      </c>
      <c r="I53" s="12">
        <v>0</v>
      </c>
    </row>
    <row r="54" spans="2:9" ht="15" customHeight="1" x14ac:dyDescent="0.2">
      <c r="B54" t="s">
        <v>122</v>
      </c>
      <c r="C54" s="12">
        <v>21</v>
      </c>
      <c r="D54" s="8">
        <v>2.5</v>
      </c>
      <c r="E54" s="12">
        <v>8</v>
      </c>
      <c r="F54" s="8">
        <v>2</v>
      </c>
      <c r="G54" s="12">
        <v>13</v>
      </c>
      <c r="H54" s="8">
        <v>2.97</v>
      </c>
      <c r="I54" s="12">
        <v>0</v>
      </c>
    </row>
    <row r="55" spans="2:9" ht="15" customHeight="1" x14ac:dyDescent="0.2">
      <c r="B55" t="s">
        <v>131</v>
      </c>
      <c r="C55" s="12">
        <v>20</v>
      </c>
      <c r="D55" s="8">
        <v>2.38</v>
      </c>
      <c r="E55" s="12">
        <v>20</v>
      </c>
      <c r="F55" s="8">
        <v>5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121</v>
      </c>
      <c r="C56" s="12">
        <v>19</v>
      </c>
      <c r="D56" s="8">
        <v>2.2599999999999998</v>
      </c>
      <c r="E56" s="12">
        <v>10</v>
      </c>
      <c r="F56" s="8">
        <v>2.5</v>
      </c>
      <c r="G56" s="12">
        <v>9</v>
      </c>
      <c r="H56" s="8">
        <v>2.0499999999999998</v>
      </c>
      <c r="I56" s="12">
        <v>0</v>
      </c>
    </row>
    <row r="57" spans="2:9" ht="15" customHeight="1" x14ac:dyDescent="0.2">
      <c r="B57" t="s">
        <v>116</v>
      </c>
      <c r="C57" s="12">
        <v>18</v>
      </c>
      <c r="D57" s="8">
        <v>2.14</v>
      </c>
      <c r="E57" s="12">
        <v>0</v>
      </c>
      <c r="F57" s="8">
        <v>0</v>
      </c>
      <c r="G57" s="12">
        <v>18</v>
      </c>
      <c r="H57" s="8">
        <v>4.1100000000000003</v>
      </c>
      <c r="I57" s="12">
        <v>0</v>
      </c>
    </row>
    <row r="58" spans="2:9" ht="15" customHeight="1" x14ac:dyDescent="0.2">
      <c r="B58" t="s">
        <v>145</v>
      </c>
      <c r="C58" s="12">
        <v>16</v>
      </c>
      <c r="D58" s="8">
        <v>1.9</v>
      </c>
      <c r="E58" s="12">
        <v>5</v>
      </c>
      <c r="F58" s="8">
        <v>1.25</v>
      </c>
      <c r="G58" s="12">
        <v>11</v>
      </c>
      <c r="H58" s="8">
        <v>2.5099999999999998</v>
      </c>
      <c r="I58" s="12">
        <v>0</v>
      </c>
    </row>
    <row r="59" spans="2:9" ht="15" customHeight="1" x14ac:dyDescent="0.2">
      <c r="B59" t="s">
        <v>138</v>
      </c>
      <c r="C59" s="12">
        <v>15</v>
      </c>
      <c r="D59" s="8">
        <v>1.78</v>
      </c>
      <c r="E59" s="12">
        <v>2</v>
      </c>
      <c r="F59" s="8">
        <v>0.5</v>
      </c>
      <c r="G59" s="12">
        <v>13</v>
      </c>
      <c r="H59" s="8">
        <v>2.97</v>
      </c>
      <c r="I59" s="12">
        <v>0</v>
      </c>
    </row>
    <row r="60" spans="2:9" ht="15" customHeight="1" x14ac:dyDescent="0.2">
      <c r="B60" t="s">
        <v>135</v>
      </c>
      <c r="C60" s="12">
        <v>14</v>
      </c>
      <c r="D60" s="8">
        <v>1.66</v>
      </c>
      <c r="E60" s="12">
        <v>11</v>
      </c>
      <c r="F60" s="8">
        <v>2.75</v>
      </c>
      <c r="G60" s="12">
        <v>3</v>
      </c>
      <c r="H60" s="8">
        <v>0.68</v>
      </c>
      <c r="I60" s="12">
        <v>0</v>
      </c>
    </row>
    <row r="61" spans="2:9" ht="15" customHeight="1" x14ac:dyDescent="0.2">
      <c r="B61" t="s">
        <v>118</v>
      </c>
      <c r="C61" s="12">
        <v>13</v>
      </c>
      <c r="D61" s="8">
        <v>1.55</v>
      </c>
      <c r="E61" s="12">
        <v>8</v>
      </c>
      <c r="F61" s="8">
        <v>2</v>
      </c>
      <c r="G61" s="12">
        <v>5</v>
      </c>
      <c r="H61" s="8">
        <v>1.1399999999999999</v>
      </c>
      <c r="I61" s="12">
        <v>0</v>
      </c>
    </row>
    <row r="62" spans="2:9" ht="15" customHeight="1" x14ac:dyDescent="0.2">
      <c r="B62" t="s">
        <v>119</v>
      </c>
      <c r="C62" s="12">
        <v>13</v>
      </c>
      <c r="D62" s="8">
        <v>1.55</v>
      </c>
      <c r="E62" s="12">
        <v>5</v>
      </c>
      <c r="F62" s="8">
        <v>1.25</v>
      </c>
      <c r="G62" s="12">
        <v>8</v>
      </c>
      <c r="H62" s="8">
        <v>1.83</v>
      </c>
      <c r="I62" s="12">
        <v>0</v>
      </c>
    </row>
    <row r="63" spans="2:9" ht="15" customHeight="1" x14ac:dyDescent="0.2">
      <c r="B63" t="s">
        <v>129</v>
      </c>
      <c r="C63" s="12">
        <v>13</v>
      </c>
      <c r="D63" s="8">
        <v>1.55</v>
      </c>
      <c r="E63" s="12">
        <v>11</v>
      </c>
      <c r="F63" s="8">
        <v>2.75</v>
      </c>
      <c r="G63" s="12">
        <v>2</v>
      </c>
      <c r="H63" s="8">
        <v>0.46</v>
      </c>
      <c r="I63" s="12">
        <v>0</v>
      </c>
    </row>
    <row r="64" spans="2:9" ht="15" customHeight="1" x14ac:dyDescent="0.2">
      <c r="B64" t="s">
        <v>120</v>
      </c>
      <c r="C64" s="12">
        <v>12</v>
      </c>
      <c r="D64" s="8">
        <v>1.43</v>
      </c>
      <c r="E64" s="12">
        <v>2</v>
      </c>
      <c r="F64" s="8">
        <v>0.5</v>
      </c>
      <c r="G64" s="12">
        <v>10</v>
      </c>
      <c r="H64" s="8">
        <v>2.2799999999999998</v>
      </c>
      <c r="I64" s="12">
        <v>0</v>
      </c>
    </row>
    <row r="65" spans="2:9" ht="15" customHeight="1" x14ac:dyDescent="0.2">
      <c r="B65" t="s">
        <v>139</v>
      </c>
      <c r="C65" s="12">
        <v>12</v>
      </c>
      <c r="D65" s="8">
        <v>1.43</v>
      </c>
      <c r="E65" s="12">
        <v>12</v>
      </c>
      <c r="F65" s="8">
        <v>3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167</v>
      </c>
      <c r="C66" s="12">
        <v>12</v>
      </c>
      <c r="D66" s="8">
        <v>1.43</v>
      </c>
      <c r="E66" s="12">
        <v>9</v>
      </c>
      <c r="F66" s="8">
        <v>2.25</v>
      </c>
      <c r="G66" s="12">
        <v>3</v>
      </c>
      <c r="H66" s="8">
        <v>0.68</v>
      </c>
      <c r="I66" s="12">
        <v>0</v>
      </c>
    </row>
    <row r="67" spans="2:9" ht="15" customHeight="1" x14ac:dyDescent="0.2">
      <c r="B67" t="s">
        <v>150</v>
      </c>
      <c r="C67" s="12">
        <v>11</v>
      </c>
      <c r="D67" s="8">
        <v>1.31</v>
      </c>
      <c r="E67" s="12">
        <v>7</v>
      </c>
      <c r="F67" s="8">
        <v>1.75</v>
      </c>
      <c r="G67" s="12">
        <v>4</v>
      </c>
      <c r="H67" s="8">
        <v>0.91</v>
      </c>
      <c r="I67" s="12">
        <v>0</v>
      </c>
    </row>
    <row r="68" spans="2:9" ht="15" customHeight="1" x14ac:dyDescent="0.2">
      <c r="B68" t="s">
        <v>125</v>
      </c>
      <c r="C68" s="12">
        <v>11</v>
      </c>
      <c r="D68" s="8">
        <v>1.31</v>
      </c>
      <c r="E68" s="12">
        <v>1</v>
      </c>
      <c r="F68" s="8">
        <v>0.25</v>
      </c>
      <c r="G68" s="12">
        <v>10</v>
      </c>
      <c r="H68" s="8">
        <v>2.2799999999999998</v>
      </c>
      <c r="I68" s="12">
        <v>0</v>
      </c>
    </row>
    <row r="69" spans="2:9" ht="15" customHeight="1" x14ac:dyDescent="0.2">
      <c r="B69" t="s">
        <v>127</v>
      </c>
      <c r="C69" s="12">
        <v>11</v>
      </c>
      <c r="D69" s="8">
        <v>1.31</v>
      </c>
      <c r="E69" s="12">
        <v>3</v>
      </c>
      <c r="F69" s="8">
        <v>0.75</v>
      </c>
      <c r="G69" s="12">
        <v>8</v>
      </c>
      <c r="H69" s="8">
        <v>1.83</v>
      </c>
      <c r="I69" s="12">
        <v>0</v>
      </c>
    </row>
    <row r="71" spans="2:9" ht="15" customHeight="1" x14ac:dyDescent="0.2">
      <c r="B71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70AB-189E-459B-9FD9-D70F478F8265}">
  <sheetPr>
    <pageSetUpPr fitToPage="1"/>
  </sheetPr>
  <dimension ref="B2:I72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235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119</v>
      </c>
      <c r="D6" s="8">
        <v>14.49</v>
      </c>
      <c r="E6" s="12">
        <v>31</v>
      </c>
      <c r="F6" s="8">
        <v>8.4</v>
      </c>
      <c r="G6" s="12">
        <v>88</v>
      </c>
      <c r="H6" s="8">
        <v>19.64</v>
      </c>
      <c r="I6" s="12">
        <v>0</v>
      </c>
    </row>
    <row r="7" spans="2:9" ht="15" customHeight="1" x14ac:dyDescent="0.2">
      <c r="B7" t="s">
        <v>48</v>
      </c>
      <c r="C7" s="12">
        <v>93</v>
      </c>
      <c r="D7" s="8">
        <v>11.33</v>
      </c>
      <c r="E7" s="12">
        <v>19</v>
      </c>
      <c r="F7" s="8">
        <v>5.15</v>
      </c>
      <c r="G7" s="12">
        <v>74</v>
      </c>
      <c r="H7" s="8">
        <v>16.52</v>
      </c>
      <c r="I7" s="12">
        <v>0</v>
      </c>
    </row>
    <row r="8" spans="2:9" ht="15" customHeight="1" x14ac:dyDescent="0.2">
      <c r="B8" t="s">
        <v>49</v>
      </c>
      <c r="C8" s="12">
        <v>1</v>
      </c>
      <c r="D8" s="8">
        <v>0.12</v>
      </c>
      <c r="E8" s="12">
        <v>0</v>
      </c>
      <c r="F8" s="8">
        <v>0</v>
      </c>
      <c r="G8" s="12">
        <v>1</v>
      </c>
      <c r="H8" s="8">
        <v>0.22</v>
      </c>
      <c r="I8" s="12">
        <v>0</v>
      </c>
    </row>
    <row r="9" spans="2:9" ht="15" customHeight="1" x14ac:dyDescent="0.2">
      <c r="B9" t="s">
        <v>50</v>
      </c>
      <c r="C9" s="12">
        <v>4</v>
      </c>
      <c r="D9" s="8">
        <v>0.49</v>
      </c>
      <c r="E9" s="12">
        <v>1</v>
      </c>
      <c r="F9" s="8">
        <v>0.27</v>
      </c>
      <c r="G9" s="12">
        <v>3</v>
      </c>
      <c r="H9" s="8">
        <v>0.67</v>
      </c>
      <c r="I9" s="12">
        <v>0</v>
      </c>
    </row>
    <row r="10" spans="2:9" ht="15" customHeight="1" x14ac:dyDescent="0.2">
      <c r="B10" t="s">
        <v>51</v>
      </c>
      <c r="C10" s="12">
        <v>9</v>
      </c>
      <c r="D10" s="8">
        <v>1.1000000000000001</v>
      </c>
      <c r="E10" s="12">
        <v>2</v>
      </c>
      <c r="F10" s="8">
        <v>0.54</v>
      </c>
      <c r="G10" s="12">
        <v>7</v>
      </c>
      <c r="H10" s="8">
        <v>1.56</v>
      </c>
      <c r="I10" s="12">
        <v>0</v>
      </c>
    </row>
    <row r="11" spans="2:9" ht="15" customHeight="1" x14ac:dyDescent="0.2">
      <c r="B11" t="s">
        <v>52</v>
      </c>
      <c r="C11" s="12">
        <v>156</v>
      </c>
      <c r="D11" s="8">
        <v>19</v>
      </c>
      <c r="E11" s="12">
        <v>57</v>
      </c>
      <c r="F11" s="8">
        <v>15.45</v>
      </c>
      <c r="G11" s="12">
        <v>99</v>
      </c>
      <c r="H11" s="8">
        <v>22.1</v>
      </c>
      <c r="I11" s="12">
        <v>0</v>
      </c>
    </row>
    <row r="12" spans="2:9" ht="15" customHeight="1" x14ac:dyDescent="0.2">
      <c r="B12" t="s">
        <v>53</v>
      </c>
      <c r="C12" s="12">
        <v>4</v>
      </c>
      <c r="D12" s="8">
        <v>0.49</v>
      </c>
      <c r="E12" s="12">
        <v>1</v>
      </c>
      <c r="F12" s="8">
        <v>0.27</v>
      </c>
      <c r="G12" s="12">
        <v>3</v>
      </c>
      <c r="H12" s="8">
        <v>0.67</v>
      </c>
      <c r="I12" s="12">
        <v>0</v>
      </c>
    </row>
    <row r="13" spans="2:9" ht="15" customHeight="1" x14ac:dyDescent="0.2">
      <c r="B13" t="s">
        <v>54</v>
      </c>
      <c r="C13" s="12">
        <v>133</v>
      </c>
      <c r="D13" s="8">
        <v>16.2</v>
      </c>
      <c r="E13" s="12">
        <v>60</v>
      </c>
      <c r="F13" s="8">
        <v>16.260000000000002</v>
      </c>
      <c r="G13" s="12">
        <v>73</v>
      </c>
      <c r="H13" s="8">
        <v>16.29</v>
      </c>
      <c r="I13" s="12">
        <v>0</v>
      </c>
    </row>
    <row r="14" spans="2:9" ht="15" customHeight="1" x14ac:dyDescent="0.2">
      <c r="B14" t="s">
        <v>55</v>
      </c>
      <c r="C14" s="12">
        <v>38</v>
      </c>
      <c r="D14" s="8">
        <v>4.63</v>
      </c>
      <c r="E14" s="12">
        <v>22</v>
      </c>
      <c r="F14" s="8">
        <v>5.96</v>
      </c>
      <c r="G14" s="12">
        <v>16</v>
      </c>
      <c r="H14" s="8">
        <v>3.57</v>
      </c>
      <c r="I14" s="12">
        <v>0</v>
      </c>
    </row>
    <row r="15" spans="2:9" ht="15" customHeight="1" x14ac:dyDescent="0.2">
      <c r="B15" t="s">
        <v>56</v>
      </c>
      <c r="C15" s="12">
        <v>51</v>
      </c>
      <c r="D15" s="8">
        <v>6.21</v>
      </c>
      <c r="E15" s="12">
        <v>36</v>
      </c>
      <c r="F15" s="8">
        <v>9.76</v>
      </c>
      <c r="G15" s="12">
        <v>14</v>
      </c>
      <c r="H15" s="8">
        <v>3.13</v>
      </c>
      <c r="I15" s="12">
        <v>0</v>
      </c>
    </row>
    <row r="16" spans="2:9" ht="15" customHeight="1" x14ac:dyDescent="0.2">
      <c r="B16" t="s">
        <v>57</v>
      </c>
      <c r="C16" s="12">
        <v>88</v>
      </c>
      <c r="D16" s="8">
        <v>10.72</v>
      </c>
      <c r="E16" s="12">
        <v>69</v>
      </c>
      <c r="F16" s="8">
        <v>18.7</v>
      </c>
      <c r="G16" s="12">
        <v>19</v>
      </c>
      <c r="H16" s="8">
        <v>4.24</v>
      </c>
      <c r="I16" s="12">
        <v>0</v>
      </c>
    </row>
    <row r="17" spans="2:9" ht="15" customHeight="1" x14ac:dyDescent="0.2">
      <c r="B17" t="s">
        <v>58</v>
      </c>
      <c r="C17" s="12">
        <v>48</v>
      </c>
      <c r="D17" s="8">
        <v>5.85</v>
      </c>
      <c r="E17" s="12">
        <v>33</v>
      </c>
      <c r="F17" s="8">
        <v>8.94</v>
      </c>
      <c r="G17" s="12">
        <v>13</v>
      </c>
      <c r="H17" s="8">
        <v>2.9</v>
      </c>
      <c r="I17" s="12">
        <v>0</v>
      </c>
    </row>
    <row r="18" spans="2:9" ht="15" customHeight="1" x14ac:dyDescent="0.2">
      <c r="B18" t="s">
        <v>59</v>
      </c>
      <c r="C18" s="12">
        <v>34</v>
      </c>
      <c r="D18" s="8">
        <v>4.1399999999999997</v>
      </c>
      <c r="E18" s="12">
        <v>24</v>
      </c>
      <c r="F18" s="8">
        <v>6.5</v>
      </c>
      <c r="G18" s="12">
        <v>9</v>
      </c>
      <c r="H18" s="8">
        <v>2.0099999999999998</v>
      </c>
      <c r="I18" s="12">
        <v>0</v>
      </c>
    </row>
    <row r="19" spans="2:9" ht="15" customHeight="1" x14ac:dyDescent="0.2">
      <c r="B19" t="s">
        <v>60</v>
      </c>
      <c r="C19" s="12">
        <v>43</v>
      </c>
      <c r="D19" s="8">
        <v>5.24</v>
      </c>
      <c r="E19" s="12">
        <v>14</v>
      </c>
      <c r="F19" s="8">
        <v>3.79</v>
      </c>
      <c r="G19" s="12">
        <v>29</v>
      </c>
      <c r="H19" s="8">
        <v>6.47</v>
      </c>
      <c r="I19" s="12">
        <v>0</v>
      </c>
    </row>
    <row r="20" spans="2:9" ht="15" customHeight="1" x14ac:dyDescent="0.2">
      <c r="B20" s="9" t="s">
        <v>191</v>
      </c>
      <c r="C20" s="12">
        <f>SUM(LTBL_22342[総数／事業所数])</f>
        <v>821</v>
      </c>
      <c r="E20" s="12">
        <f>SUBTOTAL(109,LTBL_22342[個人／事業所数])</f>
        <v>369</v>
      </c>
      <c r="G20" s="12">
        <f>SUBTOTAL(109,LTBL_22342[法人／事業所数])</f>
        <v>448</v>
      </c>
      <c r="I20" s="12">
        <f>SUBTOTAL(109,LTBL_22342[法人以外の団体／事業所数])</f>
        <v>0</v>
      </c>
    </row>
    <row r="21" spans="2:9" ht="15" customHeight="1" x14ac:dyDescent="0.2">
      <c r="E21" s="11">
        <f>LTBL_22342[[#Totals],[個人／事業所数]]/LTBL_22342[[#Totals],[総数／事業所数]]</f>
        <v>0.44945188794153473</v>
      </c>
      <c r="G21" s="11">
        <f>LTBL_22342[[#Totals],[法人／事業所数]]/LTBL_22342[[#Totals],[総数／事業所数]]</f>
        <v>0.54567600487210721</v>
      </c>
      <c r="I21" s="11">
        <f>LTBL_22342[[#Totals],[法人以外の団体／事業所数]]/LTBL_22342[[#Totals],[総数／事業所数]]</f>
        <v>0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81</v>
      </c>
      <c r="C24" s="12">
        <v>115</v>
      </c>
      <c r="D24" s="8">
        <v>14.01</v>
      </c>
      <c r="E24" s="12">
        <v>60</v>
      </c>
      <c r="F24" s="8">
        <v>16.260000000000002</v>
      </c>
      <c r="G24" s="12">
        <v>55</v>
      </c>
      <c r="H24" s="8">
        <v>12.28</v>
      </c>
      <c r="I24" s="12">
        <v>0</v>
      </c>
    </row>
    <row r="25" spans="2:9" ht="15" customHeight="1" x14ac:dyDescent="0.2">
      <c r="B25" t="s">
        <v>85</v>
      </c>
      <c r="C25" s="12">
        <v>77</v>
      </c>
      <c r="D25" s="8">
        <v>9.3800000000000008</v>
      </c>
      <c r="E25" s="12">
        <v>66</v>
      </c>
      <c r="F25" s="8">
        <v>17.89</v>
      </c>
      <c r="G25" s="12">
        <v>11</v>
      </c>
      <c r="H25" s="8">
        <v>2.46</v>
      </c>
      <c r="I25" s="12">
        <v>0</v>
      </c>
    </row>
    <row r="26" spans="2:9" ht="15" customHeight="1" x14ac:dyDescent="0.2">
      <c r="B26" t="s">
        <v>69</v>
      </c>
      <c r="C26" s="12">
        <v>49</v>
      </c>
      <c r="D26" s="8">
        <v>5.97</v>
      </c>
      <c r="E26" s="12">
        <v>8</v>
      </c>
      <c r="F26" s="8">
        <v>2.17</v>
      </c>
      <c r="G26" s="12">
        <v>41</v>
      </c>
      <c r="H26" s="8">
        <v>9.15</v>
      </c>
      <c r="I26" s="12">
        <v>0</v>
      </c>
    </row>
    <row r="27" spans="2:9" ht="15" customHeight="1" x14ac:dyDescent="0.2">
      <c r="B27" t="s">
        <v>86</v>
      </c>
      <c r="C27" s="12">
        <v>48</v>
      </c>
      <c r="D27" s="8">
        <v>5.85</v>
      </c>
      <c r="E27" s="12">
        <v>33</v>
      </c>
      <c r="F27" s="8">
        <v>8.94</v>
      </c>
      <c r="G27" s="12">
        <v>13</v>
      </c>
      <c r="H27" s="8">
        <v>2.9</v>
      </c>
      <c r="I27" s="12">
        <v>0</v>
      </c>
    </row>
    <row r="28" spans="2:9" ht="15" customHeight="1" x14ac:dyDescent="0.2">
      <c r="B28" t="s">
        <v>84</v>
      </c>
      <c r="C28" s="12">
        <v>42</v>
      </c>
      <c r="D28" s="8">
        <v>5.12</v>
      </c>
      <c r="E28" s="12">
        <v>34</v>
      </c>
      <c r="F28" s="8">
        <v>9.2100000000000009</v>
      </c>
      <c r="G28" s="12">
        <v>8</v>
      </c>
      <c r="H28" s="8">
        <v>1.79</v>
      </c>
      <c r="I28" s="12">
        <v>0</v>
      </c>
    </row>
    <row r="29" spans="2:9" ht="15" customHeight="1" x14ac:dyDescent="0.2">
      <c r="B29" t="s">
        <v>79</v>
      </c>
      <c r="C29" s="12">
        <v>40</v>
      </c>
      <c r="D29" s="8">
        <v>4.87</v>
      </c>
      <c r="E29" s="12">
        <v>19</v>
      </c>
      <c r="F29" s="8">
        <v>5.15</v>
      </c>
      <c r="G29" s="12">
        <v>21</v>
      </c>
      <c r="H29" s="8">
        <v>4.6900000000000004</v>
      </c>
      <c r="I29" s="12">
        <v>0</v>
      </c>
    </row>
    <row r="30" spans="2:9" ht="15" customHeight="1" x14ac:dyDescent="0.2">
      <c r="B30" t="s">
        <v>71</v>
      </c>
      <c r="C30" s="12">
        <v>37</v>
      </c>
      <c r="D30" s="8">
        <v>4.51</v>
      </c>
      <c r="E30" s="12">
        <v>9</v>
      </c>
      <c r="F30" s="8">
        <v>2.44</v>
      </c>
      <c r="G30" s="12">
        <v>28</v>
      </c>
      <c r="H30" s="8">
        <v>6.25</v>
      </c>
      <c r="I30" s="12">
        <v>0</v>
      </c>
    </row>
    <row r="31" spans="2:9" ht="15" customHeight="1" x14ac:dyDescent="0.2">
      <c r="B31" t="s">
        <v>70</v>
      </c>
      <c r="C31" s="12">
        <v>33</v>
      </c>
      <c r="D31" s="8">
        <v>4.0199999999999996</v>
      </c>
      <c r="E31" s="12">
        <v>14</v>
      </c>
      <c r="F31" s="8">
        <v>3.79</v>
      </c>
      <c r="G31" s="12">
        <v>19</v>
      </c>
      <c r="H31" s="8">
        <v>4.24</v>
      </c>
      <c r="I31" s="12">
        <v>0</v>
      </c>
    </row>
    <row r="32" spans="2:9" ht="15" customHeight="1" x14ac:dyDescent="0.2">
      <c r="B32" t="s">
        <v>78</v>
      </c>
      <c r="C32" s="12">
        <v>30</v>
      </c>
      <c r="D32" s="8">
        <v>3.65</v>
      </c>
      <c r="E32" s="12">
        <v>14</v>
      </c>
      <c r="F32" s="8">
        <v>3.79</v>
      </c>
      <c r="G32" s="12">
        <v>16</v>
      </c>
      <c r="H32" s="8">
        <v>3.57</v>
      </c>
      <c r="I32" s="12">
        <v>0</v>
      </c>
    </row>
    <row r="33" spans="2:9" ht="15" customHeight="1" x14ac:dyDescent="0.2">
      <c r="B33" t="s">
        <v>77</v>
      </c>
      <c r="C33" s="12">
        <v>28</v>
      </c>
      <c r="D33" s="8">
        <v>3.41</v>
      </c>
      <c r="E33" s="12">
        <v>19</v>
      </c>
      <c r="F33" s="8">
        <v>5.15</v>
      </c>
      <c r="G33" s="12">
        <v>9</v>
      </c>
      <c r="H33" s="8">
        <v>2.0099999999999998</v>
      </c>
      <c r="I33" s="12">
        <v>0</v>
      </c>
    </row>
    <row r="34" spans="2:9" ht="15" customHeight="1" x14ac:dyDescent="0.2">
      <c r="B34" t="s">
        <v>87</v>
      </c>
      <c r="C34" s="12">
        <v>26</v>
      </c>
      <c r="D34" s="8">
        <v>3.17</v>
      </c>
      <c r="E34" s="12">
        <v>24</v>
      </c>
      <c r="F34" s="8">
        <v>6.5</v>
      </c>
      <c r="G34" s="12">
        <v>2</v>
      </c>
      <c r="H34" s="8">
        <v>0.45</v>
      </c>
      <c r="I34" s="12">
        <v>0</v>
      </c>
    </row>
    <row r="35" spans="2:9" ht="15" customHeight="1" x14ac:dyDescent="0.2">
      <c r="B35" t="s">
        <v>73</v>
      </c>
      <c r="C35" s="12">
        <v>25</v>
      </c>
      <c r="D35" s="8">
        <v>3.05</v>
      </c>
      <c r="E35" s="12">
        <v>6</v>
      </c>
      <c r="F35" s="8">
        <v>1.63</v>
      </c>
      <c r="G35" s="12">
        <v>19</v>
      </c>
      <c r="H35" s="8">
        <v>4.24</v>
      </c>
      <c r="I35" s="12">
        <v>0</v>
      </c>
    </row>
    <row r="36" spans="2:9" ht="15" customHeight="1" x14ac:dyDescent="0.2">
      <c r="B36" t="s">
        <v>75</v>
      </c>
      <c r="C36" s="12">
        <v>21</v>
      </c>
      <c r="D36" s="8">
        <v>2.56</v>
      </c>
      <c r="E36" s="12">
        <v>1</v>
      </c>
      <c r="F36" s="8">
        <v>0.27</v>
      </c>
      <c r="G36" s="12">
        <v>20</v>
      </c>
      <c r="H36" s="8">
        <v>4.46</v>
      </c>
      <c r="I36" s="12">
        <v>0</v>
      </c>
    </row>
    <row r="37" spans="2:9" ht="15" customHeight="1" x14ac:dyDescent="0.2">
      <c r="B37" t="s">
        <v>82</v>
      </c>
      <c r="C37" s="12">
        <v>20</v>
      </c>
      <c r="D37" s="8">
        <v>2.44</v>
      </c>
      <c r="E37" s="12">
        <v>13</v>
      </c>
      <c r="F37" s="8">
        <v>3.52</v>
      </c>
      <c r="G37" s="12">
        <v>7</v>
      </c>
      <c r="H37" s="8">
        <v>1.56</v>
      </c>
      <c r="I37" s="12">
        <v>0</v>
      </c>
    </row>
    <row r="38" spans="2:9" ht="15" customHeight="1" x14ac:dyDescent="0.2">
      <c r="B38" t="s">
        <v>83</v>
      </c>
      <c r="C38" s="12">
        <v>17</v>
      </c>
      <c r="D38" s="8">
        <v>2.0699999999999998</v>
      </c>
      <c r="E38" s="12">
        <v>9</v>
      </c>
      <c r="F38" s="8">
        <v>2.44</v>
      </c>
      <c r="G38" s="12">
        <v>8</v>
      </c>
      <c r="H38" s="8">
        <v>1.79</v>
      </c>
      <c r="I38" s="12">
        <v>0</v>
      </c>
    </row>
    <row r="39" spans="2:9" ht="15" customHeight="1" x14ac:dyDescent="0.2">
      <c r="B39" t="s">
        <v>80</v>
      </c>
      <c r="C39" s="12">
        <v>16</v>
      </c>
      <c r="D39" s="8">
        <v>1.95</v>
      </c>
      <c r="E39" s="12">
        <v>0</v>
      </c>
      <c r="F39" s="8">
        <v>0</v>
      </c>
      <c r="G39" s="12">
        <v>16</v>
      </c>
      <c r="H39" s="8">
        <v>3.57</v>
      </c>
      <c r="I39" s="12">
        <v>0</v>
      </c>
    </row>
    <row r="40" spans="2:9" ht="15" customHeight="1" x14ac:dyDescent="0.2">
      <c r="B40" t="s">
        <v>72</v>
      </c>
      <c r="C40" s="12">
        <v>14</v>
      </c>
      <c r="D40" s="8">
        <v>1.71</v>
      </c>
      <c r="E40" s="12">
        <v>1</v>
      </c>
      <c r="F40" s="8">
        <v>0.27</v>
      </c>
      <c r="G40" s="12">
        <v>13</v>
      </c>
      <c r="H40" s="8">
        <v>2.9</v>
      </c>
      <c r="I40" s="12">
        <v>0</v>
      </c>
    </row>
    <row r="41" spans="2:9" ht="15" customHeight="1" x14ac:dyDescent="0.2">
      <c r="B41" t="s">
        <v>102</v>
      </c>
      <c r="C41" s="12">
        <v>13</v>
      </c>
      <c r="D41" s="8">
        <v>1.58</v>
      </c>
      <c r="E41" s="12">
        <v>3</v>
      </c>
      <c r="F41" s="8">
        <v>0.81</v>
      </c>
      <c r="G41" s="12">
        <v>10</v>
      </c>
      <c r="H41" s="8">
        <v>2.23</v>
      </c>
      <c r="I41" s="12">
        <v>0</v>
      </c>
    </row>
    <row r="42" spans="2:9" ht="15" customHeight="1" x14ac:dyDescent="0.2">
      <c r="B42" t="s">
        <v>112</v>
      </c>
      <c r="C42" s="12">
        <v>12</v>
      </c>
      <c r="D42" s="8">
        <v>1.46</v>
      </c>
      <c r="E42" s="12">
        <v>3</v>
      </c>
      <c r="F42" s="8">
        <v>0.81</v>
      </c>
      <c r="G42" s="12">
        <v>9</v>
      </c>
      <c r="H42" s="8">
        <v>2.0099999999999998</v>
      </c>
      <c r="I42" s="12">
        <v>0</v>
      </c>
    </row>
    <row r="43" spans="2:9" ht="15" customHeight="1" x14ac:dyDescent="0.2">
      <c r="B43" t="s">
        <v>88</v>
      </c>
      <c r="C43" s="12">
        <v>12</v>
      </c>
      <c r="D43" s="8">
        <v>1.46</v>
      </c>
      <c r="E43" s="12">
        <v>9</v>
      </c>
      <c r="F43" s="8">
        <v>2.44</v>
      </c>
      <c r="G43" s="12">
        <v>3</v>
      </c>
      <c r="H43" s="8">
        <v>0.67</v>
      </c>
      <c r="I43" s="12">
        <v>0</v>
      </c>
    </row>
    <row r="44" spans="2:9" ht="15" customHeight="1" x14ac:dyDescent="0.2">
      <c r="B44" t="s">
        <v>109</v>
      </c>
      <c r="C44" s="12">
        <v>12</v>
      </c>
      <c r="D44" s="8">
        <v>1.46</v>
      </c>
      <c r="E44" s="12">
        <v>2</v>
      </c>
      <c r="F44" s="8">
        <v>0.54</v>
      </c>
      <c r="G44" s="12">
        <v>10</v>
      </c>
      <c r="H44" s="8">
        <v>2.23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78</v>
      </c>
      <c r="D48" s="8">
        <v>9.5</v>
      </c>
      <c r="E48" s="12">
        <v>56</v>
      </c>
      <c r="F48" s="8">
        <v>15.18</v>
      </c>
      <c r="G48" s="12">
        <v>22</v>
      </c>
      <c r="H48" s="8">
        <v>4.91</v>
      </c>
      <c r="I48" s="12">
        <v>0</v>
      </c>
    </row>
    <row r="49" spans="2:9" ht="15" customHeight="1" x14ac:dyDescent="0.2">
      <c r="B49" t="s">
        <v>132</v>
      </c>
      <c r="C49" s="12">
        <v>50</v>
      </c>
      <c r="D49" s="8">
        <v>6.09</v>
      </c>
      <c r="E49" s="12">
        <v>43</v>
      </c>
      <c r="F49" s="8">
        <v>11.65</v>
      </c>
      <c r="G49" s="12">
        <v>7</v>
      </c>
      <c r="H49" s="8">
        <v>1.56</v>
      </c>
      <c r="I49" s="12">
        <v>0</v>
      </c>
    </row>
    <row r="50" spans="2:9" ht="15" customHeight="1" x14ac:dyDescent="0.2">
      <c r="B50" t="s">
        <v>133</v>
      </c>
      <c r="C50" s="12">
        <v>34</v>
      </c>
      <c r="D50" s="8">
        <v>4.1399999999999997</v>
      </c>
      <c r="E50" s="12">
        <v>26</v>
      </c>
      <c r="F50" s="8">
        <v>7.05</v>
      </c>
      <c r="G50" s="12">
        <v>8</v>
      </c>
      <c r="H50" s="8">
        <v>1.79</v>
      </c>
      <c r="I50" s="12">
        <v>0</v>
      </c>
    </row>
    <row r="51" spans="2:9" ht="15" customHeight="1" x14ac:dyDescent="0.2">
      <c r="B51" t="s">
        <v>134</v>
      </c>
      <c r="C51" s="12">
        <v>21</v>
      </c>
      <c r="D51" s="8">
        <v>2.56</v>
      </c>
      <c r="E51" s="12">
        <v>19</v>
      </c>
      <c r="F51" s="8">
        <v>5.15</v>
      </c>
      <c r="G51" s="12">
        <v>2</v>
      </c>
      <c r="H51" s="8">
        <v>0.45</v>
      </c>
      <c r="I51" s="12">
        <v>0</v>
      </c>
    </row>
    <row r="52" spans="2:9" ht="15" customHeight="1" x14ac:dyDescent="0.2">
      <c r="B52" t="s">
        <v>122</v>
      </c>
      <c r="C52" s="12">
        <v>20</v>
      </c>
      <c r="D52" s="8">
        <v>2.44</v>
      </c>
      <c r="E52" s="12">
        <v>6</v>
      </c>
      <c r="F52" s="8">
        <v>1.63</v>
      </c>
      <c r="G52" s="12">
        <v>14</v>
      </c>
      <c r="H52" s="8">
        <v>3.13</v>
      </c>
      <c r="I52" s="12">
        <v>0</v>
      </c>
    </row>
    <row r="53" spans="2:9" ht="15" customHeight="1" x14ac:dyDescent="0.2">
      <c r="B53" t="s">
        <v>125</v>
      </c>
      <c r="C53" s="12">
        <v>20</v>
      </c>
      <c r="D53" s="8">
        <v>2.44</v>
      </c>
      <c r="E53" s="12">
        <v>2</v>
      </c>
      <c r="F53" s="8">
        <v>0.54</v>
      </c>
      <c r="G53" s="12">
        <v>18</v>
      </c>
      <c r="H53" s="8">
        <v>4.0199999999999996</v>
      </c>
      <c r="I53" s="12">
        <v>0</v>
      </c>
    </row>
    <row r="54" spans="2:9" ht="15" customHeight="1" x14ac:dyDescent="0.2">
      <c r="B54" t="s">
        <v>131</v>
      </c>
      <c r="C54" s="12">
        <v>19</v>
      </c>
      <c r="D54" s="8">
        <v>2.31</v>
      </c>
      <c r="E54" s="12">
        <v>17</v>
      </c>
      <c r="F54" s="8">
        <v>4.6100000000000003</v>
      </c>
      <c r="G54" s="12">
        <v>2</v>
      </c>
      <c r="H54" s="8">
        <v>0.45</v>
      </c>
      <c r="I54" s="12">
        <v>0</v>
      </c>
    </row>
    <row r="55" spans="2:9" ht="15" customHeight="1" x14ac:dyDescent="0.2">
      <c r="B55" t="s">
        <v>117</v>
      </c>
      <c r="C55" s="12">
        <v>18</v>
      </c>
      <c r="D55" s="8">
        <v>2.19</v>
      </c>
      <c r="E55" s="12">
        <v>2</v>
      </c>
      <c r="F55" s="8">
        <v>0.54</v>
      </c>
      <c r="G55" s="12">
        <v>16</v>
      </c>
      <c r="H55" s="8">
        <v>3.57</v>
      </c>
      <c r="I55" s="12">
        <v>0</v>
      </c>
    </row>
    <row r="56" spans="2:9" ht="15" customHeight="1" x14ac:dyDescent="0.2">
      <c r="B56" t="s">
        <v>116</v>
      </c>
      <c r="C56" s="12">
        <v>17</v>
      </c>
      <c r="D56" s="8">
        <v>2.0699999999999998</v>
      </c>
      <c r="E56" s="12">
        <v>2</v>
      </c>
      <c r="F56" s="8">
        <v>0.54</v>
      </c>
      <c r="G56" s="12">
        <v>15</v>
      </c>
      <c r="H56" s="8">
        <v>3.35</v>
      </c>
      <c r="I56" s="12">
        <v>0</v>
      </c>
    </row>
    <row r="57" spans="2:9" ht="15" customHeight="1" x14ac:dyDescent="0.2">
      <c r="B57" t="s">
        <v>120</v>
      </c>
      <c r="C57" s="12">
        <v>16</v>
      </c>
      <c r="D57" s="8">
        <v>1.95</v>
      </c>
      <c r="E57" s="12">
        <v>6</v>
      </c>
      <c r="F57" s="8">
        <v>1.63</v>
      </c>
      <c r="G57" s="12">
        <v>10</v>
      </c>
      <c r="H57" s="8">
        <v>2.23</v>
      </c>
      <c r="I57" s="12">
        <v>0</v>
      </c>
    </row>
    <row r="58" spans="2:9" ht="15" customHeight="1" x14ac:dyDescent="0.2">
      <c r="B58" t="s">
        <v>128</v>
      </c>
      <c r="C58" s="12">
        <v>16</v>
      </c>
      <c r="D58" s="8">
        <v>1.95</v>
      </c>
      <c r="E58" s="12">
        <v>15</v>
      </c>
      <c r="F58" s="8">
        <v>4.07</v>
      </c>
      <c r="G58" s="12">
        <v>1</v>
      </c>
      <c r="H58" s="8">
        <v>0.22</v>
      </c>
      <c r="I58" s="12">
        <v>0</v>
      </c>
    </row>
    <row r="59" spans="2:9" ht="15" customHeight="1" x14ac:dyDescent="0.2">
      <c r="B59" t="s">
        <v>119</v>
      </c>
      <c r="C59" s="12">
        <v>13</v>
      </c>
      <c r="D59" s="8">
        <v>1.58</v>
      </c>
      <c r="E59" s="12">
        <v>3</v>
      </c>
      <c r="F59" s="8">
        <v>0.81</v>
      </c>
      <c r="G59" s="12">
        <v>10</v>
      </c>
      <c r="H59" s="8">
        <v>2.23</v>
      </c>
      <c r="I59" s="12">
        <v>0</v>
      </c>
    </row>
    <row r="60" spans="2:9" ht="15" customHeight="1" x14ac:dyDescent="0.2">
      <c r="B60" t="s">
        <v>124</v>
      </c>
      <c r="C60" s="12">
        <v>13</v>
      </c>
      <c r="D60" s="8">
        <v>1.58</v>
      </c>
      <c r="E60" s="12">
        <v>8</v>
      </c>
      <c r="F60" s="8">
        <v>2.17</v>
      </c>
      <c r="G60" s="12">
        <v>5</v>
      </c>
      <c r="H60" s="8">
        <v>1.1200000000000001</v>
      </c>
      <c r="I60" s="12">
        <v>0</v>
      </c>
    </row>
    <row r="61" spans="2:9" ht="15" customHeight="1" x14ac:dyDescent="0.2">
      <c r="B61" t="s">
        <v>147</v>
      </c>
      <c r="C61" s="12">
        <v>13</v>
      </c>
      <c r="D61" s="8">
        <v>1.58</v>
      </c>
      <c r="E61" s="12">
        <v>1</v>
      </c>
      <c r="F61" s="8">
        <v>0.27</v>
      </c>
      <c r="G61" s="12">
        <v>12</v>
      </c>
      <c r="H61" s="8">
        <v>2.68</v>
      </c>
      <c r="I61" s="12">
        <v>0</v>
      </c>
    </row>
    <row r="62" spans="2:9" ht="15" customHeight="1" x14ac:dyDescent="0.2">
      <c r="B62" t="s">
        <v>135</v>
      </c>
      <c r="C62" s="12">
        <v>12</v>
      </c>
      <c r="D62" s="8">
        <v>1.46</v>
      </c>
      <c r="E62" s="12">
        <v>9</v>
      </c>
      <c r="F62" s="8">
        <v>2.44</v>
      </c>
      <c r="G62" s="12">
        <v>3</v>
      </c>
      <c r="H62" s="8">
        <v>0.67</v>
      </c>
      <c r="I62" s="12">
        <v>0</v>
      </c>
    </row>
    <row r="63" spans="2:9" ht="15" customHeight="1" x14ac:dyDescent="0.2">
      <c r="B63" t="s">
        <v>182</v>
      </c>
      <c r="C63" s="12">
        <v>10</v>
      </c>
      <c r="D63" s="8">
        <v>1.22</v>
      </c>
      <c r="E63" s="12">
        <v>3</v>
      </c>
      <c r="F63" s="8">
        <v>0.81</v>
      </c>
      <c r="G63" s="12">
        <v>7</v>
      </c>
      <c r="H63" s="8">
        <v>1.56</v>
      </c>
      <c r="I63" s="12">
        <v>0</v>
      </c>
    </row>
    <row r="64" spans="2:9" ht="15" customHeight="1" x14ac:dyDescent="0.2">
      <c r="B64" t="s">
        <v>123</v>
      </c>
      <c r="C64" s="12">
        <v>10</v>
      </c>
      <c r="D64" s="8">
        <v>1.22</v>
      </c>
      <c r="E64" s="12">
        <v>3</v>
      </c>
      <c r="F64" s="8">
        <v>0.81</v>
      </c>
      <c r="G64" s="12">
        <v>7</v>
      </c>
      <c r="H64" s="8">
        <v>1.56</v>
      </c>
      <c r="I64" s="12">
        <v>0</v>
      </c>
    </row>
    <row r="65" spans="2:9" ht="15" customHeight="1" x14ac:dyDescent="0.2">
      <c r="B65" t="s">
        <v>138</v>
      </c>
      <c r="C65" s="12">
        <v>10</v>
      </c>
      <c r="D65" s="8">
        <v>1.22</v>
      </c>
      <c r="E65" s="12">
        <v>0</v>
      </c>
      <c r="F65" s="8">
        <v>0</v>
      </c>
      <c r="G65" s="12">
        <v>10</v>
      </c>
      <c r="H65" s="8">
        <v>2.23</v>
      </c>
      <c r="I65" s="12">
        <v>0</v>
      </c>
    </row>
    <row r="66" spans="2:9" ht="15" customHeight="1" x14ac:dyDescent="0.2">
      <c r="B66" t="s">
        <v>127</v>
      </c>
      <c r="C66" s="12">
        <v>10</v>
      </c>
      <c r="D66" s="8">
        <v>1.22</v>
      </c>
      <c r="E66" s="12">
        <v>8</v>
      </c>
      <c r="F66" s="8">
        <v>2.17</v>
      </c>
      <c r="G66" s="12">
        <v>2</v>
      </c>
      <c r="H66" s="8">
        <v>0.45</v>
      </c>
      <c r="I66" s="12">
        <v>0</v>
      </c>
    </row>
    <row r="67" spans="2:9" ht="15" customHeight="1" x14ac:dyDescent="0.2">
      <c r="B67" t="s">
        <v>183</v>
      </c>
      <c r="C67" s="12">
        <v>9</v>
      </c>
      <c r="D67" s="8">
        <v>1.1000000000000001</v>
      </c>
      <c r="E67" s="12">
        <v>1</v>
      </c>
      <c r="F67" s="8">
        <v>0.27</v>
      </c>
      <c r="G67" s="12">
        <v>8</v>
      </c>
      <c r="H67" s="8">
        <v>1.79</v>
      </c>
      <c r="I67" s="12">
        <v>0</v>
      </c>
    </row>
    <row r="68" spans="2:9" ht="15" customHeight="1" x14ac:dyDescent="0.2">
      <c r="B68" t="s">
        <v>136</v>
      </c>
      <c r="C68" s="12">
        <v>9</v>
      </c>
      <c r="D68" s="8">
        <v>1.1000000000000001</v>
      </c>
      <c r="E68" s="12">
        <v>6</v>
      </c>
      <c r="F68" s="8">
        <v>1.63</v>
      </c>
      <c r="G68" s="12">
        <v>3</v>
      </c>
      <c r="H68" s="8">
        <v>0.67</v>
      </c>
      <c r="I68" s="12">
        <v>0</v>
      </c>
    </row>
    <row r="69" spans="2:9" ht="15" customHeight="1" x14ac:dyDescent="0.2">
      <c r="B69" t="s">
        <v>121</v>
      </c>
      <c r="C69" s="12">
        <v>9</v>
      </c>
      <c r="D69" s="8">
        <v>1.1000000000000001</v>
      </c>
      <c r="E69" s="12">
        <v>6</v>
      </c>
      <c r="F69" s="8">
        <v>1.63</v>
      </c>
      <c r="G69" s="12">
        <v>3</v>
      </c>
      <c r="H69" s="8">
        <v>0.67</v>
      </c>
      <c r="I69" s="12">
        <v>0</v>
      </c>
    </row>
    <row r="70" spans="2:9" ht="15" customHeight="1" x14ac:dyDescent="0.2">
      <c r="B70" t="s">
        <v>155</v>
      </c>
      <c r="C70" s="12">
        <v>9</v>
      </c>
      <c r="D70" s="8">
        <v>1.1000000000000001</v>
      </c>
      <c r="E70" s="12">
        <v>7</v>
      </c>
      <c r="F70" s="8">
        <v>1.9</v>
      </c>
      <c r="G70" s="12">
        <v>2</v>
      </c>
      <c r="H70" s="8">
        <v>0.45</v>
      </c>
      <c r="I70" s="12">
        <v>0</v>
      </c>
    </row>
    <row r="72" spans="2:9" ht="15" customHeight="1" x14ac:dyDescent="0.2">
      <c r="B72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FDE96-D334-4E14-8762-18C9B36D5104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236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50</v>
      </c>
      <c r="D6" s="8">
        <v>13.26</v>
      </c>
      <c r="E6" s="12">
        <v>15</v>
      </c>
      <c r="F6" s="8">
        <v>7.89</v>
      </c>
      <c r="G6" s="12">
        <v>35</v>
      </c>
      <c r="H6" s="8">
        <v>19.66</v>
      </c>
      <c r="I6" s="12">
        <v>0</v>
      </c>
    </row>
    <row r="7" spans="2:9" ht="15" customHeight="1" x14ac:dyDescent="0.2">
      <c r="B7" t="s">
        <v>48</v>
      </c>
      <c r="C7" s="12">
        <v>36</v>
      </c>
      <c r="D7" s="8">
        <v>9.5500000000000007</v>
      </c>
      <c r="E7" s="12">
        <v>8</v>
      </c>
      <c r="F7" s="8">
        <v>4.21</v>
      </c>
      <c r="G7" s="12">
        <v>28</v>
      </c>
      <c r="H7" s="8">
        <v>15.73</v>
      </c>
      <c r="I7" s="12">
        <v>0</v>
      </c>
    </row>
    <row r="8" spans="2:9" ht="15" customHeight="1" x14ac:dyDescent="0.2">
      <c r="B8" t="s">
        <v>49</v>
      </c>
      <c r="C8" s="12">
        <v>2</v>
      </c>
      <c r="D8" s="8">
        <v>0.53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3</v>
      </c>
      <c r="D9" s="8">
        <v>0.8</v>
      </c>
      <c r="E9" s="12">
        <v>0</v>
      </c>
      <c r="F9" s="8">
        <v>0</v>
      </c>
      <c r="G9" s="12">
        <v>3</v>
      </c>
      <c r="H9" s="8">
        <v>1.69</v>
      </c>
      <c r="I9" s="12">
        <v>0</v>
      </c>
    </row>
    <row r="10" spans="2:9" ht="15" customHeight="1" x14ac:dyDescent="0.2">
      <c r="B10" t="s">
        <v>51</v>
      </c>
      <c r="C10" s="12">
        <v>5</v>
      </c>
      <c r="D10" s="8">
        <v>1.33</v>
      </c>
      <c r="E10" s="12">
        <v>0</v>
      </c>
      <c r="F10" s="8">
        <v>0</v>
      </c>
      <c r="G10" s="12">
        <v>5</v>
      </c>
      <c r="H10" s="8">
        <v>2.81</v>
      </c>
      <c r="I10" s="12">
        <v>0</v>
      </c>
    </row>
    <row r="11" spans="2:9" ht="15" customHeight="1" x14ac:dyDescent="0.2">
      <c r="B11" t="s">
        <v>52</v>
      </c>
      <c r="C11" s="12">
        <v>96</v>
      </c>
      <c r="D11" s="8">
        <v>25.46</v>
      </c>
      <c r="E11" s="12">
        <v>50</v>
      </c>
      <c r="F11" s="8">
        <v>26.32</v>
      </c>
      <c r="G11" s="12">
        <v>46</v>
      </c>
      <c r="H11" s="8">
        <v>25.84</v>
      </c>
      <c r="I11" s="12">
        <v>0</v>
      </c>
    </row>
    <row r="12" spans="2:9" ht="15" customHeight="1" x14ac:dyDescent="0.2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54</v>
      </c>
      <c r="C13" s="12">
        <v>28</v>
      </c>
      <c r="D13" s="8">
        <v>7.43</v>
      </c>
      <c r="E13" s="12">
        <v>15</v>
      </c>
      <c r="F13" s="8">
        <v>7.89</v>
      </c>
      <c r="G13" s="12">
        <v>11</v>
      </c>
      <c r="H13" s="8">
        <v>6.18</v>
      </c>
      <c r="I13" s="12">
        <v>0</v>
      </c>
    </row>
    <row r="14" spans="2:9" ht="15" customHeight="1" x14ac:dyDescent="0.2">
      <c r="B14" t="s">
        <v>55</v>
      </c>
      <c r="C14" s="12">
        <v>18</v>
      </c>
      <c r="D14" s="8">
        <v>4.7699999999999996</v>
      </c>
      <c r="E14" s="12">
        <v>7</v>
      </c>
      <c r="F14" s="8">
        <v>3.68</v>
      </c>
      <c r="G14" s="12">
        <v>9</v>
      </c>
      <c r="H14" s="8">
        <v>5.0599999999999996</v>
      </c>
      <c r="I14" s="12">
        <v>0</v>
      </c>
    </row>
    <row r="15" spans="2:9" ht="15" customHeight="1" x14ac:dyDescent="0.2">
      <c r="B15" t="s">
        <v>56</v>
      </c>
      <c r="C15" s="12">
        <v>59</v>
      </c>
      <c r="D15" s="8">
        <v>15.65</v>
      </c>
      <c r="E15" s="12">
        <v>40</v>
      </c>
      <c r="F15" s="8">
        <v>21.05</v>
      </c>
      <c r="G15" s="12">
        <v>19</v>
      </c>
      <c r="H15" s="8">
        <v>10.67</v>
      </c>
      <c r="I15" s="12">
        <v>0</v>
      </c>
    </row>
    <row r="16" spans="2:9" ht="15" customHeight="1" x14ac:dyDescent="0.2">
      <c r="B16" t="s">
        <v>57</v>
      </c>
      <c r="C16" s="12">
        <v>41</v>
      </c>
      <c r="D16" s="8">
        <v>10.88</v>
      </c>
      <c r="E16" s="12">
        <v>32</v>
      </c>
      <c r="F16" s="8">
        <v>16.84</v>
      </c>
      <c r="G16" s="12">
        <v>8</v>
      </c>
      <c r="H16" s="8">
        <v>4.49</v>
      </c>
      <c r="I16" s="12">
        <v>0</v>
      </c>
    </row>
    <row r="17" spans="2:9" ht="15" customHeight="1" x14ac:dyDescent="0.2">
      <c r="B17" t="s">
        <v>58</v>
      </c>
      <c r="C17" s="12">
        <v>13</v>
      </c>
      <c r="D17" s="8">
        <v>3.45</v>
      </c>
      <c r="E17" s="12">
        <v>12</v>
      </c>
      <c r="F17" s="8">
        <v>6.32</v>
      </c>
      <c r="G17" s="12">
        <v>1</v>
      </c>
      <c r="H17" s="8">
        <v>0.56000000000000005</v>
      </c>
      <c r="I17" s="12">
        <v>0</v>
      </c>
    </row>
    <row r="18" spans="2:9" ht="15" customHeight="1" x14ac:dyDescent="0.2">
      <c r="B18" t="s">
        <v>59</v>
      </c>
      <c r="C18" s="12">
        <v>8</v>
      </c>
      <c r="D18" s="8">
        <v>2.12</v>
      </c>
      <c r="E18" s="12">
        <v>3</v>
      </c>
      <c r="F18" s="8">
        <v>1.58</v>
      </c>
      <c r="G18" s="12">
        <v>3</v>
      </c>
      <c r="H18" s="8">
        <v>1.69</v>
      </c>
      <c r="I18" s="12">
        <v>2</v>
      </c>
    </row>
    <row r="19" spans="2:9" ht="15" customHeight="1" x14ac:dyDescent="0.2">
      <c r="B19" t="s">
        <v>60</v>
      </c>
      <c r="C19" s="12">
        <v>18</v>
      </c>
      <c r="D19" s="8">
        <v>4.7699999999999996</v>
      </c>
      <c r="E19" s="12">
        <v>8</v>
      </c>
      <c r="F19" s="8">
        <v>4.21</v>
      </c>
      <c r="G19" s="12">
        <v>10</v>
      </c>
      <c r="H19" s="8">
        <v>5.62</v>
      </c>
      <c r="I19" s="12">
        <v>0</v>
      </c>
    </row>
    <row r="20" spans="2:9" ht="15" customHeight="1" x14ac:dyDescent="0.2">
      <c r="B20" s="9" t="s">
        <v>191</v>
      </c>
      <c r="C20" s="12">
        <f>SUM(LTBL_22344[総数／事業所数])</f>
        <v>377</v>
      </c>
      <c r="E20" s="12">
        <f>SUBTOTAL(109,LTBL_22344[個人／事業所数])</f>
        <v>190</v>
      </c>
      <c r="G20" s="12">
        <f>SUBTOTAL(109,LTBL_22344[法人／事業所数])</f>
        <v>178</v>
      </c>
      <c r="I20" s="12">
        <f>SUBTOTAL(109,LTBL_22344[法人以外の団体／事業所数])</f>
        <v>2</v>
      </c>
    </row>
    <row r="21" spans="2:9" ht="15" customHeight="1" x14ac:dyDescent="0.2">
      <c r="E21" s="11">
        <f>LTBL_22344[[#Totals],[個人／事業所数]]/LTBL_22344[[#Totals],[総数／事業所数]]</f>
        <v>0.50397877984084882</v>
      </c>
      <c r="G21" s="11">
        <f>LTBL_22344[[#Totals],[法人／事業所数]]/LTBL_22344[[#Totals],[総数／事業所数]]</f>
        <v>0.47214854111405835</v>
      </c>
      <c r="I21" s="11">
        <f>LTBL_22344[[#Totals],[法人以外の団体／事業所数]]/LTBL_22344[[#Totals],[総数／事業所数]]</f>
        <v>5.3050397877984082E-3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42</v>
      </c>
      <c r="D24" s="8">
        <v>11.14</v>
      </c>
      <c r="E24" s="12">
        <v>36</v>
      </c>
      <c r="F24" s="8">
        <v>18.95</v>
      </c>
      <c r="G24" s="12">
        <v>6</v>
      </c>
      <c r="H24" s="8">
        <v>3.37</v>
      </c>
      <c r="I24" s="12">
        <v>0</v>
      </c>
    </row>
    <row r="25" spans="2:9" ht="15" customHeight="1" x14ac:dyDescent="0.2">
      <c r="B25" t="s">
        <v>69</v>
      </c>
      <c r="C25" s="12">
        <v>35</v>
      </c>
      <c r="D25" s="8">
        <v>9.2799999999999994</v>
      </c>
      <c r="E25" s="12">
        <v>8</v>
      </c>
      <c r="F25" s="8">
        <v>4.21</v>
      </c>
      <c r="G25" s="12">
        <v>27</v>
      </c>
      <c r="H25" s="8">
        <v>15.17</v>
      </c>
      <c r="I25" s="12">
        <v>0</v>
      </c>
    </row>
    <row r="26" spans="2:9" ht="15" customHeight="1" x14ac:dyDescent="0.2">
      <c r="B26" t="s">
        <v>77</v>
      </c>
      <c r="C26" s="12">
        <v>33</v>
      </c>
      <c r="D26" s="8">
        <v>8.75</v>
      </c>
      <c r="E26" s="12">
        <v>26</v>
      </c>
      <c r="F26" s="8">
        <v>13.68</v>
      </c>
      <c r="G26" s="12">
        <v>7</v>
      </c>
      <c r="H26" s="8">
        <v>3.93</v>
      </c>
      <c r="I26" s="12">
        <v>0</v>
      </c>
    </row>
    <row r="27" spans="2:9" ht="15" customHeight="1" x14ac:dyDescent="0.2">
      <c r="B27" t="s">
        <v>85</v>
      </c>
      <c r="C27" s="12">
        <v>33</v>
      </c>
      <c r="D27" s="8">
        <v>8.75</v>
      </c>
      <c r="E27" s="12">
        <v>28</v>
      </c>
      <c r="F27" s="8">
        <v>14.74</v>
      </c>
      <c r="G27" s="12">
        <v>4</v>
      </c>
      <c r="H27" s="8">
        <v>2.25</v>
      </c>
      <c r="I27" s="12">
        <v>0</v>
      </c>
    </row>
    <row r="28" spans="2:9" ht="15" customHeight="1" x14ac:dyDescent="0.2">
      <c r="B28" t="s">
        <v>79</v>
      </c>
      <c r="C28" s="12">
        <v>29</v>
      </c>
      <c r="D28" s="8">
        <v>7.69</v>
      </c>
      <c r="E28" s="12">
        <v>13</v>
      </c>
      <c r="F28" s="8">
        <v>6.84</v>
      </c>
      <c r="G28" s="12">
        <v>16</v>
      </c>
      <c r="H28" s="8">
        <v>8.99</v>
      </c>
      <c r="I28" s="12">
        <v>0</v>
      </c>
    </row>
    <row r="29" spans="2:9" ht="15" customHeight="1" x14ac:dyDescent="0.2">
      <c r="B29" t="s">
        <v>81</v>
      </c>
      <c r="C29" s="12">
        <v>26</v>
      </c>
      <c r="D29" s="8">
        <v>6.9</v>
      </c>
      <c r="E29" s="12">
        <v>15</v>
      </c>
      <c r="F29" s="8">
        <v>7.89</v>
      </c>
      <c r="G29" s="12">
        <v>9</v>
      </c>
      <c r="H29" s="8">
        <v>5.0599999999999996</v>
      </c>
      <c r="I29" s="12">
        <v>0</v>
      </c>
    </row>
    <row r="30" spans="2:9" ht="15" customHeight="1" x14ac:dyDescent="0.2">
      <c r="B30" t="s">
        <v>99</v>
      </c>
      <c r="C30" s="12">
        <v>14</v>
      </c>
      <c r="D30" s="8">
        <v>3.71</v>
      </c>
      <c r="E30" s="12">
        <v>4</v>
      </c>
      <c r="F30" s="8">
        <v>2.11</v>
      </c>
      <c r="G30" s="12">
        <v>10</v>
      </c>
      <c r="H30" s="8">
        <v>5.62</v>
      </c>
      <c r="I30" s="12">
        <v>0</v>
      </c>
    </row>
    <row r="31" spans="2:9" ht="15" customHeight="1" x14ac:dyDescent="0.2">
      <c r="B31" t="s">
        <v>70</v>
      </c>
      <c r="C31" s="12">
        <v>13</v>
      </c>
      <c r="D31" s="8">
        <v>3.45</v>
      </c>
      <c r="E31" s="12">
        <v>7</v>
      </c>
      <c r="F31" s="8">
        <v>3.68</v>
      </c>
      <c r="G31" s="12">
        <v>6</v>
      </c>
      <c r="H31" s="8">
        <v>3.37</v>
      </c>
      <c r="I31" s="12">
        <v>0</v>
      </c>
    </row>
    <row r="32" spans="2:9" ht="15" customHeight="1" x14ac:dyDescent="0.2">
      <c r="B32" t="s">
        <v>86</v>
      </c>
      <c r="C32" s="12">
        <v>13</v>
      </c>
      <c r="D32" s="8">
        <v>3.45</v>
      </c>
      <c r="E32" s="12">
        <v>12</v>
      </c>
      <c r="F32" s="8">
        <v>6.32</v>
      </c>
      <c r="G32" s="12">
        <v>1</v>
      </c>
      <c r="H32" s="8">
        <v>0.56000000000000005</v>
      </c>
      <c r="I32" s="12">
        <v>0</v>
      </c>
    </row>
    <row r="33" spans="2:9" ht="15" customHeight="1" x14ac:dyDescent="0.2">
      <c r="B33" t="s">
        <v>78</v>
      </c>
      <c r="C33" s="12">
        <v>10</v>
      </c>
      <c r="D33" s="8">
        <v>2.65</v>
      </c>
      <c r="E33" s="12">
        <v>4</v>
      </c>
      <c r="F33" s="8">
        <v>2.11</v>
      </c>
      <c r="G33" s="12">
        <v>6</v>
      </c>
      <c r="H33" s="8">
        <v>3.37</v>
      </c>
      <c r="I33" s="12">
        <v>0</v>
      </c>
    </row>
    <row r="34" spans="2:9" ht="15" customHeight="1" x14ac:dyDescent="0.2">
      <c r="B34" t="s">
        <v>82</v>
      </c>
      <c r="C34" s="12">
        <v>9</v>
      </c>
      <c r="D34" s="8">
        <v>2.39</v>
      </c>
      <c r="E34" s="12">
        <v>4</v>
      </c>
      <c r="F34" s="8">
        <v>2.11</v>
      </c>
      <c r="G34" s="12">
        <v>5</v>
      </c>
      <c r="H34" s="8">
        <v>2.81</v>
      </c>
      <c r="I34" s="12">
        <v>0</v>
      </c>
    </row>
    <row r="35" spans="2:9" ht="15" customHeight="1" x14ac:dyDescent="0.2">
      <c r="B35" t="s">
        <v>83</v>
      </c>
      <c r="C35" s="12">
        <v>8</v>
      </c>
      <c r="D35" s="8">
        <v>2.12</v>
      </c>
      <c r="E35" s="12">
        <v>3</v>
      </c>
      <c r="F35" s="8">
        <v>1.58</v>
      </c>
      <c r="G35" s="12">
        <v>3</v>
      </c>
      <c r="H35" s="8">
        <v>1.69</v>
      </c>
      <c r="I35" s="12">
        <v>0</v>
      </c>
    </row>
    <row r="36" spans="2:9" ht="15" customHeight="1" x14ac:dyDescent="0.2">
      <c r="B36" t="s">
        <v>88</v>
      </c>
      <c r="C36" s="12">
        <v>8</v>
      </c>
      <c r="D36" s="8">
        <v>2.12</v>
      </c>
      <c r="E36" s="12">
        <v>4</v>
      </c>
      <c r="F36" s="8">
        <v>2.11</v>
      </c>
      <c r="G36" s="12">
        <v>4</v>
      </c>
      <c r="H36" s="8">
        <v>2.25</v>
      </c>
      <c r="I36" s="12">
        <v>0</v>
      </c>
    </row>
    <row r="37" spans="2:9" ht="15" customHeight="1" x14ac:dyDescent="0.2">
      <c r="B37" t="s">
        <v>94</v>
      </c>
      <c r="C37" s="12">
        <v>7</v>
      </c>
      <c r="D37" s="8">
        <v>1.86</v>
      </c>
      <c r="E37" s="12">
        <v>0</v>
      </c>
      <c r="F37" s="8">
        <v>0</v>
      </c>
      <c r="G37" s="12">
        <v>7</v>
      </c>
      <c r="H37" s="8">
        <v>3.93</v>
      </c>
      <c r="I37" s="12">
        <v>0</v>
      </c>
    </row>
    <row r="38" spans="2:9" ht="15" customHeight="1" x14ac:dyDescent="0.2">
      <c r="B38" t="s">
        <v>91</v>
      </c>
      <c r="C38" s="12">
        <v>6</v>
      </c>
      <c r="D38" s="8">
        <v>1.59</v>
      </c>
      <c r="E38" s="12">
        <v>2</v>
      </c>
      <c r="F38" s="8">
        <v>1.05</v>
      </c>
      <c r="G38" s="12">
        <v>4</v>
      </c>
      <c r="H38" s="8">
        <v>2.25</v>
      </c>
      <c r="I38" s="12">
        <v>0</v>
      </c>
    </row>
    <row r="39" spans="2:9" ht="15" customHeight="1" x14ac:dyDescent="0.2">
      <c r="B39" t="s">
        <v>76</v>
      </c>
      <c r="C39" s="12">
        <v>6</v>
      </c>
      <c r="D39" s="8">
        <v>1.59</v>
      </c>
      <c r="E39" s="12">
        <v>3</v>
      </c>
      <c r="F39" s="8">
        <v>1.58</v>
      </c>
      <c r="G39" s="12">
        <v>3</v>
      </c>
      <c r="H39" s="8">
        <v>1.69</v>
      </c>
      <c r="I39" s="12">
        <v>0</v>
      </c>
    </row>
    <row r="40" spans="2:9" ht="15" customHeight="1" x14ac:dyDescent="0.2">
      <c r="B40" t="s">
        <v>102</v>
      </c>
      <c r="C40" s="12">
        <v>6</v>
      </c>
      <c r="D40" s="8">
        <v>1.59</v>
      </c>
      <c r="E40" s="12">
        <v>2</v>
      </c>
      <c r="F40" s="8">
        <v>1.05</v>
      </c>
      <c r="G40" s="12">
        <v>4</v>
      </c>
      <c r="H40" s="8">
        <v>2.25</v>
      </c>
      <c r="I40" s="12">
        <v>0</v>
      </c>
    </row>
    <row r="41" spans="2:9" ht="15" customHeight="1" x14ac:dyDescent="0.2">
      <c r="B41" t="s">
        <v>93</v>
      </c>
      <c r="C41" s="12">
        <v>5</v>
      </c>
      <c r="D41" s="8">
        <v>1.33</v>
      </c>
      <c r="E41" s="12">
        <v>0</v>
      </c>
      <c r="F41" s="8">
        <v>0</v>
      </c>
      <c r="G41" s="12">
        <v>5</v>
      </c>
      <c r="H41" s="8">
        <v>2.81</v>
      </c>
      <c r="I41" s="12">
        <v>0</v>
      </c>
    </row>
    <row r="42" spans="2:9" ht="15" customHeight="1" x14ac:dyDescent="0.2">
      <c r="B42" t="s">
        <v>110</v>
      </c>
      <c r="C42" s="12">
        <v>5</v>
      </c>
      <c r="D42" s="8">
        <v>1.33</v>
      </c>
      <c r="E42" s="12">
        <v>1</v>
      </c>
      <c r="F42" s="8">
        <v>0.53</v>
      </c>
      <c r="G42" s="12">
        <v>4</v>
      </c>
      <c r="H42" s="8">
        <v>2.25</v>
      </c>
      <c r="I42" s="12">
        <v>0</v>
      </c>
    </row>
    <row r="43" spans="2:9" ht="15" customHeight="1" x14ac:dyDescent="0.2">
      <c r="B43" t="s">
        <v>95</v>
      </c>
      <c r="C43" s="12">
        <v>5</v>
      </c>
      <c r="D43" s="8">
        <v>1.33</v>
      </c>
      <c r="E43" s="12">
        <v>3</v>
      </c>
      <c r="F43" s="8">
        <v>1.58</v>
      </c>
      <c r="G43" s="12">
        <v>2</v>
      </c>
      <c r="H43" s="8">
        <v>1.1200000000000001</v>
      </c>
      <c r="I43" s="12">
        <v>0</v>
      </c>
    </row>
    <row r="44" spans="2:9" ht="15" customHeight="1" x14ac:dyDescent="0.2">
      <c r="B44" t="s">
        <v>90</v>
      </c>
      <c r="C44" s="12">
        <v>5</v>
      </c>
      <c r="D44" s="8">
        <v>1.33</v>
      </c>
      <c r="E44" s="12">
        <v>0</v>
      </c>
      <c r="F44" s="8">
        <v>0</v>
      </c>
      <c r="G44" s="12">
        <v>3</v>
      </c>
      <c r="H44" s="8">
        <v>1.69</v>
      </c>
      <c r="I44" s="12">
        <v>2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126</v>
      </c>
      <c r="C48" s="12">
        <v>15</v>
      </c>
      <c r="D48" s="8">
        <v>3.98</v>
      </c>
      <c r="E48" s="12">
        <v>9</v>
      </c>
      <c r="F48" s="8">
        <v>4.74</v>
      </c>
      <c r="G48" s="12">
        <v>5</v>
      </c>
      <c r="H48" s="8">
        <v>2.81</v>
      </c>
      <c r="I48" s="12">
        <v>0</v>
      </c>
    </row>
    <row r="49" spans="2:9" ht="15" customHeight="1" x14ac:dyDescent="0.2">
      <c r="B49" t="s">
        <v>116</v>
      </c>
      <c r="C49" s="12">
        <v>13</v>
      </c>
      <c r="D49" s="8">
        <v>3.45</v>
      </c>
      <c r="E49" s="12">
        <v>1</v>
      </c>
      <c r="F49" s="8">
        <v>0.53</v>
      </c>
      <c r="G49" s="12">
        <v>12</v>
      </c>
      <c r="H49" s="8">
        <v>6.74</v>
      </c>
      <c r="I49" s="12">
        <v>0</v>
      </c>
    </row>
    <row r="50" spans="2:9" ht="15" customHeight="1" x14ac:dyDescent="0.2">
      <c r="B50" t="s">
        <v>121</v>
      </c>
      <c r="C50" s="12">
        <v>13</v>
      </c>
      <c r="D50" s="8">
        <v>3.45</v>
      </c>
      <c r="E50" s="12">
        <v>12</v>
      </c>
      <c r="F50" s="8">
        <v>6.32</v>
      </c>
      <c r="G50" s="12">
        <v>1</v>
      </c>
      <c r="H50" s="8">
        <v>0.56000000000000005</v>
      </c>
      <c r="I50" s="12">
        <v>0</v>
      </c>
    </row>
    <row r="51" spans="2:9" ht="15" customHeight="1" x14ac:dyDescent="0.2">
      <c r="B51" t="s">
        <v>132</v>
      </c>
      <c r="C51" s="12">
        <v>12</v>
      </c>
      <c r="D51" s="8">
        <v>3.18</v>
      </c>
      <c r="E51" s="12">
        <v>11</v>
      </c>
      <c r="F51" s="8">
        <v>5.79</v>
      </c>
      <c r="G51" s="12">
        <v>1</v>
      </c>
      <c r="H51" s="8">
        <v>0.56000000000000005</v>
      </c>
      <c r="I51" s="12">
        <v>0</v>
      </c>
    </row>
    <row r="52" spans="2:9" ht="15" customHeight="1" x14ac:dyDescent="0.2">
      <c r="B52" t="s">
        <v>159</v>
      </c>
      <c r="C52" s="12">
        <v>11</v>
      </c>
      <c r="D52" s="8">
        <v>2.92</v>
      </c>
      <c r="E52" s="12">
        <v>4</v>
      </c>
      <c r="F52" s="8">
        <v>2.11</v>
      </c>
      <c r="G52" s="12">
        <v>7</v>
      </c>
      <c r="H52" s="8">
        <v>3.93</v>
      </c>
      <c r="I52" s="12">
        <v>0</v>
      </c>
    </row>
    <row r="53" spans="2:9" ht="15" customHeight="1" x14ac:dyDescent="0.2">
      <c r="B53" t="s">
        <v>131</v>
      </c>
      <c r="C53" s="12">
        <v>11</v>
      </c>
      <c r="D53" s="8">
        <v>2.92</v>
      </c>
      <c r="E53" s="12">
        <v>11</v>
      </c>
      <c r="F53" s="8">
        <v>5.79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160</v>
      </c>
      <c r="C54" s="12">
        <v>9</v>
      </c>
      <c r="D54" s="8">
        <v>2.39</v>
      </c>
      <c r="E54" s="12">
        <v>3</v>
      </c>
      <c r="F54" s="8">
        <v>1.58</v>
      </c>
      <c r="G54" s="12">
        <v>6</v>
      </c>
      <c r="H54" s="8">
        <v>3.37</v>
      </c>
      <c r="I54" s="12">
        <v>0</v>
      </c>
    </row>
    <row r="55" spans="2:9" ht="15" customHeight="1" x14ac:dyDescent="0.2">
      <c r="B55" t="s">
        <v>161</v>
      </c>
      <c r="C55" s="12">
        <v>9</v>
      </c>
      <c r="D55" s="8">
        <v>2.39</v>
      </c>
      <c r="E55" s="12">
        <v>6</v>
      </c>
      <c r="F55" s="8">
        <v>3.16</v>
      </c>
      <c r="G55" s="12">
        <v>3</v>
      </c>
      <c r="H55" s="8">
        <v>1.69</v>
      </c>
      <c r="I55" s="12">
        <v>0</v>
      </c>
    </row>
    <row r="56" spans="2:9" ht="15" customHeight="1" x14ac:dyDescent="0.2">
      <c r="B56" t="s">
        <v>117</v>
      </c>
      <c r="C56" s="12">
        <v>8</v>
      </c>
      <c r="D56" s="8">
        <v>2.12</v>
      </c>
      <c r="E56" s="12">
        <v>1</v>
      </c>
      <c r="F56" s="8">
        <v>0.53</v>
      </c>
      <c r="G56" s="12">
        <v>7</v>
      </c>
      <c r="H56" s="8">
        <v>3.93</v>
      </c>
      <c r="I56" s="12">
        <v>0</v>
      </c>
    </row>
    <row r="57" spans="2:9" ht="15" customHeight="1" x14ac:dyDescent="0.2">
      <c r="B57" t="s">
        <v>136</v>
      </c>
      <c r="C57" s="12">
        <v>8</v>
      </c>
      <c r="D57" s="8">
        <v>2.12</v>
      </c>
      <c r="E57" s="12">
        <v>5</v>
      </c>
      <c r="F57" s="8">
        <v>2.63</v>
      </c>
      <c r="G57" s="12">
        <v>3</v>
      </c>
      <c r="H57" s="8">
        <v>1.69</v>
      </c>
      <c r="I57" s="12">
        <v>0</v>
      </c>
    </row>
    <row r="58" spans="2:9" ht="15" customHeight="1" x14ac:dyDescent="0.2">
      <c r="B58" t="s">
        <v>124</v>
      </c>
      <c r="C58" s="12">
        <v>8</v>
      </c>
      <c r="D58" s="8">
        <v>2.12</v>
      </c>
      <c r="E58" s="12">
        <v>5</v>
      </c>
      <c r="F58" s="8">
        <v>2.63</v>
      </c>
      <c r="G58" s="12">
        <v>3</v>
      </c>
      <c r="H58" s="8">
        <v>1.69</v>
      </c>
      <c r="I58" s="12">
        <v>0</v>
      </c>
    </row>
    <row r="59" spans="2:9" ht="15" customHeight="1" x14ac:dyDescent="0.2">
      <c r="B59" t="s">
        <v>128</v>
      </c>
      <c r="C59" s="12">
        <v>8</v>
      </c>
      <c r="D59" s="8">
        <v>2.12</v>
      </c>
      <c r="E59" s="12">
        <v>7</v>
      </c>
      <c r="F59" s="8">
        <v>3.68</v>
      </c>
      <c r="G59" s="12">
        <v>1</v>
      </c>
      <c r="H59" s="8">
        <v>0.56000000000000005</v>
      </c>
      <c r="I59" s="12">
        <v>0</v>
      </c>
    </row>
    <row r="60" spans="2:9" ht="15" customHeight="1" x14ac:dyDescent="0.2">
      <c r="B60" t="s">
        <v>130</v>
      </c>
      <c r="C60" s="12">
        <v>8</v>
      </c>
      <c r="D60" s="8">
        <v>2.12</v>
      </c>
      <c r="E60" s="12">
        <v>7</v>
      </c>
      <c r="F60" s="8">
        <v>3.68</v>
      </c>
      <c r="G60" s="12">
        <v>1</v>
      </c>
      <c r="H60" s="8">
        <v>0.56000000000000005</v>
      </c>
      <c r="I60" s="12">
        <v>0</v>
      </c>
    </row>
    <row r="61" spans="2:9" ht="15" customHeight="1" x14ac:dyDescent="0.2">
      <c r="B61" t="s">
        <v>133</v>
      </c>
      <c r="C61" s="12">
        <v>8</v>
      </c>
      <c r="D61" s="8">
        <v>2.12</v>
      </c>
      <c r="E61" s="12">
        <v>8</v>
      </c>
      <c r="F61" s="8">
        <v>4.21</v>
      </c>
      <c r="G61" s="12">
        <v>0</v>
      </c>
      <c r="H61" s="8">
        <v>0</v>
      </c>
      <c r="I61" s="12">
        <v>0</v>
      </c>
    </row>
    <row r="62" spans="2:9" ht="15" customHeight="1" x14ac:dyDescent="0.2">
      <c r="B62" t="s">
        <v>135</v>
      </c>
      <c r="C62" s="12">
        <v>8</v>
      </c>
      <c r="D62" s="8">
        <v>2.12</v>
      </c>
      <c r="E62" s="12">
        <v>4</v>
      </c>
      <c r="F62" s="8">
        <v>2.11</v>
      </c>
      <c r="G62" s="12">
        <v>4</v>
      </c>
      <c r="H62" s="8">
        <v>2.25</v>
      </c>
      <c r="I62" s="12">
        <v>0</v>
      </c>
    </row>
    <row r="63" spans="2:9" ht="15" customHeight="1" x14ac:dyDescent="0.2">
      <c r="B63" t="s">
        <v>122</v>
      </c>
      <c r="C63" s="12">
        <v>7</v>
      </c>
      <c r="D63" s="8">
        <v>1.86</v>
      </c>
      <c r="E63" s="12">
        <v>3</v>
      </c>
      <c r="F63" s="8">
        <v>1.58</v>
      </c>
      <c r="G63" s="12">
        <v>4</v>
      </c>
      <c r="H63" s="8">
        <v>2.25</v>
      </c>
      <c r="I63" s="12">
        <v>0</v>
      </c>
    </row>
    <row r="64" spans="2:9" ht="15" customHeight="1" x14ac:dyDescent="0.2">
      <c r="B64" t="s">
        <v>129</v>
      </c>
      <c r="C64" s="12">
        <v>7</v>
      </c>
      <c r="D64" s="8">
        <v>1.86</v>
      </c>
      <c r="E64" s="12">
        <v>7</v>
      </c>
      <c r="F64" s="8">
        <v>3.68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118</v>
      </c>
      <c r="C65" s="12">
        <v>6</v>
      </c>
      <c r="D65" s="8">
        <v>1.59</v>
      </c>
      <c r="E65" s="12">
        <v>5</v>
      </c>
      <c r="F65" s="8">
        <v>2.63</v>
      </c>
      <c r="G65" s="12">
        <v>1</v>
      </c>
      <c r="H65" s="8">
        <v>0.56000000000000005</v>
      </c>
      <c r="I65" s="12">
        <v>0</v>
      </c>
    </row>
    <row r="66" spans="2:9" ht="15" customHeight="1" x14ac:dyDescent="0.2">
      <c r="B66" t="s">
        <v>145</v>
      </c>
      <c r="C66" s="12">
        <v>6</v>
      </c>
      <c r="D66" s="8">
        <v>1.59</v>
      </c>
      <c r="E66" s="12">
        <v>0</v>
      </c>
      <c r="F66" s="8">
        <v>0</v>
      </c>
      <c r="G66" s="12">
        <v>6</v>
      </c>
      <c r="H66" s="8">
        <v>3.37</v>
      </c>
      <c r="I66" s="12">
        <v>0</v>
      </c>
    </row>
    <row r="67" spans="2:9" ht="15" customHeight="1" x14ac:dyDescent="0.2">
      <c r="B67" t="s">
        <v>176</v>
      </c>
      <c r="C67" s="12">
        <v>6</v>
      </c>
      <c r="D67" s="8">
        <v>1.59</v>
      </c>
      <c r="E67" s="12">
        <v>2</v>
      </c>
      <c r="F67" s="8">
        <v>1.05</v>
      </c>
      <c r="G67" s="12">
        <v>4</v>
      </c>
      <c r="H67" s="8">
        <v>2.25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289F6-7290-4210-87F1-FDE94C610D41}">
  <sheetPr>
    <pageSetUpPr fitToPage="1"/>
  </sheetPr>
  <dimension ref="B2:I69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237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120</v>
      </c>
      <c r="D6" s="8">
        <v>15.89</v>
      </c>
      <c r="E6" s="12">
        <v>46</v>
      </c>
      <c r="F6" s="8">
        <v>12.17</v>
      </c>
      <c r="G6" s="12">
        <v>74</v>
      </c>
      <c r="H6" s="8">
        <v>20.96</v>
      </c>
      <c r="I6" s="12">
        <v>0</v>
      </c>
    </row>
    <row r="7" spans="2:9" ht="15" customHeight="1" x14ac:dyDescent="0.2">
      <c r="B7" t="s">
        <v>48</v>
      </c>
      <c r="C7" s="12">
        <v>152</v>
      </c>
      <c r="D7" s="8">
        <v>20.13</v>
      </c>
      <c r="E7" s="12">
        <v>59</v>
      </c>
      <c r="F7" s="8">
        <v>15.61</v>
      </c>
      <c r="G7" s="12">
        <v>93</v>
      </c>
      <c r="H7" s="8">
        <v>26.35</v>
      </c>
      <c r="I7" s="12">
        <v>0</v>
      </c>
    </row>
    <row r="8" spans="2:9" ht="15" customHeight="1" x14ac:dyDescent="0.2">
      <c r="B8" t="s">
        <v>49</v>
      </c>
      <c r="C8" s="12">
        <v>3</v>
      </c>
      <c r="D8" s="8">
        <v>0.4</v>
      </c>
      <c r="E8" s="12">
        <v>1</v>
      </c>
      <c r="F8" s="8">
        <v>0.26</v>
      </c>
      <c r="G8" s="12">
        <v>1</v>
      </c>
      <c r="H8" s="8">
        <v>0.28000000000000003</v>
      </c>
      <c r="I8" s="12">
        <v>1</v>
      </c>
    </row>
    <row r="9" spans="2:9" ht="15" customHeight="1" x14ac:dyDescent="0.2">
      <c r="B9" t="s">
        <v>50</v>
      </c>
      <c r="C9" s="12">
        <v>4</v>
      </c>
      <c r="D9" s="8">
        <v>0.53</v>
      </c>
      <c r="E9" s="12">
        <v>0</v>
      </c>
      <c r="F9" s="8">
        <v>0</v>
      </c>
      <c r="G9" s="12">
        <v>4</v>
      </c>
      <c r="H9" s="8">
        <v>1.1299999999999999</v>
      </c>
      <c r="I9" s="12">
        <v>0</v>
      </c>
    </row>
    <row r="10" spans="2:9" ht="15" customHeight="1" x14ac:dyDescent="0.2">
      <c r="B10" t="s">
        <v>51</v>
      </c>
      <c r="C10" s="12">
        <v>14</v>
      </c>
      <c r="D10" s="8">
        <v>1.85</v>
      </c>
      <c r="E10" s="12">
        <v>1</v>
      </c>
      <c r="F10" s="8">
        <v>0.26</v>
      </c>
      <c r="G10" s="12">
        <v>13</v>
      </c>
      <c r="H10" s="8">
        <v>3.68</v>
      </c>
      <c r="I10" s="12">
        <v>0</v>
      </c>
    </row>
    <row r="11" spans="2:9" ht="15" customHeight="1" x14ac:dyDescent="0.2">
      <c r="B11" t="s">
        <v>52</v>
      </c>
      <c r="C11" s="12">
        <v>164</v>
      </c>
      <c r="D11" s="8">
        <v>21.72</v>
      </c>
      <c r="E11" s="12">
        <v>83</v>
      </c>
      <c r="F11" s="8">
        <v>21.96</v>
      </c>
      <c r="G11" s="12">
        <v>80</v>
      </c>
      <c r="H11" s="8">
        <v>22.66</v>
      </c>
      <c r="I11" s="12">
        <v>0</v>
      </c>
    </row>
    <row r="12" spans="2:9" ht="15" customHeight="1" x14ac:dyDescent="0.2">
      <c r="B12" t="s">
        <v>53</v>
      </c>
      <c r="C12" s="12">
        <v>5</v>
      </c>
      <c r="D12" s="8">
        <v>0.66</v>
      </c>
      <c r="E12" s="12">
        <v>1</v>
      </c>
      <c r="F12" s="8">
        <v>0.26</v>
      </c>
      <c r="G12" s="12">
        <v>4</v>
      </c>
      <c r="H12" s="8">
        <v>1.1299999999999999</v>
      </c>
      <c r="I12" s="12">
        <v>0</v>
      </c>
    </row>
    <row r="13" spans="2:9" ht="15" customHeight="1" x14ac:dyDescent="0.2">
      <c r="B13" t="s">
        <v>54</v>
      </c>
      <c r="C13" s="12">
        <v>39</v>
      </c>
      <c r="D13" s="8">
        <v>5.17</v>
      </c>
      <c r="E13" s="12">
        <v>12</v>
      </c>
      <c r="F13" s="8">
        <v>3.17</v>
      </c>
      <c r="G13" s="12">
        <v>27</v>
      </c>
      <c r="H13" s="8">
        <v>7.65</v>
      </c>
      <c r="I13" s="12">
        <v>0</v>
      </c>
    </row>
    <row r="14" spans="2:9" ht="15" customHeight="1" x14ac:dyDescent="0.2">
      <c r="B14" t="s">
        <v>55</v>
      </c>
      <c r="C14" s="12">
        <v>26</v>
      </c>
      <c r="D14" s="8">
        <v>3.44</v>
      </c>
      <c r="E14" s="12">
        <v>13</v>
      </c>
      <c r="F14" s="8">
        <v>3.44</v>
      </c>
      <c r="G14" s="12">
        <v>12</v>
      </c>
      <c r="H14" s="8">
        <v>3.4</v>
      </c>
      <c r="I14" s="12">
        <v>0</v>
      </c>
    </row>
    <row r="15" spans="2:9" ht="15" customHeight="1" x14ac:dyDescent="0.2">
      <c r="B15" t="s">
        <v>56</v>
      </c>
      <c r="C15" s="12">
        <v>59</v>
      </c>
      <c r="D15" s="8">
        <v>7.81</v>
      </c>
      <c r="E15" s="12">
        <v>50</v>
      </c>
      <c r="F15" s="8">
        <v>13.23</v>
      </c>
      <c r="G15" s="12">
        <v>9</v>
      </c>
      <c r="H15" s="8">
        <v>2.5499999999999998</v>
      </c>
      <c r="I15" s="12">
        <v>0</v>
      </c>
    </row>
    <row r="16" spans="2:9" ht="15" customHeight="1" x14ac:dyDescent="0.2">
      <c r="B16" t="s">
        <v>57</v>
      </c>
      <c r="C16" s="12">
        <v>91</v>
      </c>
      <c r="D16" s="8">
        <v>12.05</v>
      </c>
      <c r="E16" s="12">
        <v>72</v>
      </c>
      <c r="F16" s="8">
        <v>19.05</v>
      </c>
      <c r="G16" s="12">
        <v>18</v>
      </c>
      <c r="H16" s="8">
        <v>5.0999999999999996</v>
      </c>
      <c r="I16" s="12">
        <v>0</v>
      </c>
    </row>
    <row r="17" spans="2:9" ht="15" customHeight="1" x14ac:dyDescent="0.2">
      <c r="B17" t="s">
        <v>58</v>
      </c>
      <c r="C17" s="12">
        <v>23</v>
      </c>
      <c r="D17" s="8">
        <v>3.05</v>
      </c>
      <c r="E17" s="12">
        <v>15</v>
      </c>
      <c r="F17" s="8">
        <v>3.97</v>
      </c>
      <c r="G17" s="12">
        <v>5</v>
      </c>
      <c r="H17" s="8">
        <v>1.42</v>
      </c>
      <c r="I17" s="12">
        <v>0</v>
      </c>
    </row>
    <row r="18" spans="2:9" ht="15" customHeight="1" x14ac:dyDescent="0.2">
      <c r="B18" t="s">
        <v>59</v>
      </c>
      <c r="C18" s="12">
        <v>38</v>
      </c>
      <c r="D18" s="8">
        <v>5.03</v>
      </c>
      <c r="E18" s="12">
        <v>17</v>
      </c>
      <c r="F18" s="8">
        <v>4.5</v>
      </c>
      <c r="G18" s="12">
        <v>4</v>
      </c>
      <c r="H18" s="8">
        <v>1.1299999999999999</v>
      </c>
      <c r="I18" s="12">
        <v>0</v>
      </c>
    </row>
    <row r="19" spans="2:9" ht="15" customHeight="1" x14ac:dyDescent="0.2">
      <c r="B19" t="s">
        <v>60</v>
      </c>
      <c r="C19" s="12">
        <v>17</v>
      </c>
      <c r="D19" s="8">
        <v>2.25</v>
      </c>
      <c r="E19" s="12">
        <v>8</v>
      </c>
      <c r="F19" s="8">
        <v>2.12</v>
      </c>
      <c r="G19" s="12">
        <v>9</v>
      </c>
      <c r="H19" s="8">
        <v>2.5499999999999998</v>
      </c>
      <c r="I19" s="12">
        <v>0</v>
      </c>
    </row>
    <row r="20" spans="2:9" ht="15" customHeight="1" x14ac:dyDescent="0.2">
      <c r="B20" s="9" t="s">
        <v>191</v>
      </c>
      <c r="C20" s="12">
        <f>SUM(LTBL_22424[総数／事業所数])</f>
        <v>755</v>
      </c>
      <c r="E20" s="12">
        <f>SUBTOTAL(109,LTBL_22424[個人／事業所数])</f>
        <v>378</v>
      </c>
      <c r="G20" s="12">
        <f>SUBTOTAL(109,LTBL_22424[法人／事業所数])</f>
        <v>353</v>
      </c>
      <c r="I20" s="12">
        <f>SUBTOTAL(109,LTBL_22424[法人以外の団体／事業所数])</f>
        <v>1</v>
      </c>
    </row>
    <row r="21" spans="2:9" ht="15" customHeight="1" x14ac:dyDescent="0.2">
      <c r="E21" s="11">
        <f>LTBL_22424[[#Totals],[個人／事業所数]]/LTBL_22424[[#Totals],[総数／事業所数]]</f>
        <v>0.50066225165562916</v>
      </c>
      <c r="G21" s="11">
        <f>LTBL_22424[[#Totals],[法人／事業所数]]/LTBL_22424[[#Totals],[総数／事業所数]]</f>
        <v>0.46754966887417221</v>
      </c>
      <c r="I21" s="11">
        <f>LTBL_22424[[#Totals],[法人以外の団体／事業所数]]/LTBL_22424[[#Totals],[総数／事業所数]]</f>
        <v>1.3245033112582781E-3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75</v>
      </c>
      <c r="D24" s="8">
        <v>9.93</v>
      </c>
      <c r="E24" s="12">
        <v>63</v>
      </c>
      <c r="F24" s="8">
        <v>16.670000000000002</v>
      </c>
      <c r="G24" s="12">
        <v>12</v>
      </c>
      <c r="H24" s="8">
        <v>3.4</v>
      </c>
      <c r="I24" s="12">
        <v>0</v>
      </c>
    </row>
    <row r="25" spans="2:9" ht="15" customHeight="1" x14ac:dyDescent="0.2">
      <c r="B25" t="s">
        <v>84</v>
      </c>
      <c r="C25" s="12">
        <v>56</v>
      </c>
      <c r="D25" s="8">
        <v>7.42</v>
      </c>
      <c r="E25" s="12">
        <v>49</v>
      </c>
      <c r="F25" s="8">
        <v>12.96</v>
      </c>
      <c r="G25" s="12">
        <v>7</v>
      </c>
      <c r="H25" s="8">
        <v>1.98</v>
      </c>
      <c r="I25" s="12">
        <v>0</v>
      </c>
    </row>
    <row r="26" spans="2:9" ht="15" customHeight="1" x14ac:dyDescent="0.2">
      <c r="B26" t="s">
        <v>69</v>
      </c>
      <c r="C26" s="12">
        <v>50</v>
      </c>
      <c r="D26" s="8">
        <v>6.62</v>
      </c>
      <c r="E26" s="12">
        <v>21</v>
      </c>
      <c r="F26" s="8">
        <v>5.56</v>
      </c>
      <c r="G26" s="12">
        <v>29</v>
      </c>
      <c r="H26" s="8">
        <v>8.2200000000000006</v>
      </c>
      <c r="I26" s="12">
        <v>0</v>
      </c>
    </row>
    <row r="27" spans="2:9" ht="15" customHeight="1" x14ac:dyDescent="0.2">
      <c r="B27" t="s">
        <v>77</v>
      </c>
      <c r="C27" s="12">
        <v>42</v>
      </c>
      <c r="D27" s="8">
        <v>5.56</v>
      </c>
      <c r="E27" s="12">
        <v>31</v>
      </c>
      <c r="F27" s="8">
        <v>8.1999999999999993</v>
      </c>
      <c r="G27" s="12">
        <v>11</v>
      </c>
      <c r="H27" s="8">
        <v>3.12</v>
      </c>
      <c r="I27" s="12">
        <v>0</v>
      </c>
    </row>
    <row r="28" spans="2:9" ht="15" customHeight="1" x14ac:dyDescent="0.2">
      <c r="B28" t="s">
        <v>79</v>
      </c>
      <c r="C28" s="12">
        <v>42</v>
      </c>
      <c r="D28" s="8">
        <v>5.56</v>
      </c>
      <c r="E28" s="12">
        <v>21</v>
      </c>
      <c r="F28" s="8">
        <v>5.56</v>
      </c>
      <c r="G28" s="12">
        <v>20</v>
      </c>
      <c r="H28" s="8">
        <v>5.67</v>
      </c>
      <c r="I28" s="12">
        <v>0</v>
      </c>
    </row>
    <row r="29" spans="2:9" ht="15" customHeight="1" x14ac:dyDescent="0.2">
      <c r="B29" t="s">
        <v>70</v>
      </c>
      <c r="C29" s="12">
        <v>36</v>
      </c>
      <c r="D29" s="8">
        <v>4.7699999999999996</v>
      </c>
      <c r="E29" s="12">
        <v>17</v>
      </c>
      <c r="F29" s="8">
        <v>4.5</v>
      </c>
      <c r="G29" s="12">
        <v>19</v>
      </c>
      <c r="H29" s="8">
        <v>5.38</v>
      </c>
      <c r="I29" s="12">
        <v>0</v>
      </c>
    </row>
    <row r="30" spans="2:9" ht="15" customHeight="1" x14ac:dyDescent="0.2">
      <c r="B30" t="s">
        <v>71</v>
      </c>
      <c r="C30" s="12">
        <v>34</v>
      </c>
      <c r="D30" s="8">
        <v>4.5</v>
      </c>
      <c r="E30" s="12">
        <v>8</v>
      </c>
      <c r="F30" s="8">
        <v>2.12</v>
      </c>
      <c r="G30" s="12">
        <v>26</v>
      </c>
      <c r="H30" s="8">
        <v>7.37</v>
      </c>
      <c r="I30" s="12">
        <v>0</v>
      </c>
    </row>
    <row r="31" spans="2:9" ht="15" customHeight="1" x14ac:dyDescent="0.2">
      <c r="B31" t="s">
        <v>81</v>
      </c>
      <c r="C31" s="12">
        <v>31</v>
      </c>
      <c r="D31" s="8">
        <v>4.1100000000000003</v>
      </c>
      <c r="E31" s="12">
        <v>10</v>
      </c>
      <c r="F31" s="8">
        <v>2.65</v>
      </c>
      <c r="G31" s="12">
        <v>21</v>
      </c>
      <c r="H31" s="8">
        <v>5.95</v>
      </c>
      <c r="I31" s="12">
        <v>0</v>
      </c>
    </row>
    <row r="32" spans="2:9" ht="15" customHeight="1" x14ac:dyDescent="0.2">
      <c r="B32" t="s">
        <v>73</v>
      </c>
      <c r="C32" s="12">
        <v>25</v>
      </c>
      <c r="D32" s="8">
        <v>3.31</v>
      </c>
      <c r="E32" s="12">
        <v>9</v>
      </c>
      <c r="F32" s="8">
        <v>2.38</v>
      </c>
      <c r="G32" s="12">
        <v>16</v>
      </c>
      <c r="H32" s="8">
        <v>4.53</v>
      </c>
      <c r="I32" s="12">
        <v>0</v>
      </c>
    </row>
    <row r="33" spans="2:9" ht="15" customHeight="1" x14ac:dyDescent="0.2">
      <c r="B33" t="s">
        <v>86</v>
      </c>
      <c r="C33" s="12">
        <v>23</v>
      </c>
      <c r="D33" s="8">
        <v>3.05</v>
      </c>
      <c r="E33" s="12">
        <v>15</v>
      </c>
      <c r="F33" s="8">
        <v>3.97</v>
      </c>
      <c r="G33" s="12">
        <v>5</v>
      </c>
      <c r="H33" s="8">
        <v>1.42</v>
      </c>
      <c r="I33" s="12">
        <v>0</v>
      </c>
    </row>
    <row r="34" spans="2:9" ht="15" customHeight="1" x14ac:dyDescent="0.2">
      <c r="B34" t="s">
        <v>78</v>
      </c>
      <c r="C34" s="12">
        <v>22</v>
      </c>
      <c r="D34" s="8">
        <v>2.91</v>
      </c>
      <c r="E34" s="12">
        <v>13</v>
      </c>
      <c r="F34" s="8">
        <v>3.44</v>
      </c>
      <c r="G34" s="12">
        <v>9</v>
      </c>
      <c r="H34" s="8">
        <v>2.5499999999999998</v>
      </c>
      <c r="I34" s="12">
        <v>0</v>
      </c>
    </row>
    <row r="35" spans="2:9" ht="15" customHeight="1" x14ac:dyDescent="0.2">
      <c r="B35" t="s">
        <v>100</v>
      </c>
      <c r="C35" s="12">
        <v>21</v>
      </c>
      <c r="D35" s="8">
        <v>2.78</v>
      </c>
      <c r="E35" s="12">
        <v>9</v>
      </c>
      <c r="F35" s="8">
        <v>2.38</v>
      </c>
      <c r="G35" s="12">
        <v>12</v>
      </c>
      <c r="H35" s="8">
        <v>3.4</v>
      </c>
      <c r="I35" s="12">
        <v>0</v>
      </c>
    </row>
    <row r="36" spans="2:9" ht="15" customHeight="1" x14ac:dyDescent="0.2">
      <c r="B36" t="s">
        <v>96</v>
      </c>
      <c r="C36" s="12">
        <v>19</v>
      </c>
      <c r="D36" s="8">
        <v>2.52</v>
      </c>
      <c r="E36" s="12">
        <v>11</v>
      </c>
      <c r="F36" s="8">
        <v>2.91</v>
      </c>
      <c r="G36" s="12">
        <v>8</v>
      </c>
      <c r="H36" s="8">
        <v>2.27</v>
      </c>
      <c r="I36" s="12">
        <v>0</v>
      </c>
    </row>
    <row r="37" spans="2:9" ht="15" customHeight="1" x14ac:dyDescent="0.2">
      <c r="B37" t="s">
        <v>76</v>
      </c>
      <c r="C37" s="12">
        <v>19</v>
      </c>
      <c r="D37" s="8">
        <v>2.52</v>
      </c>
      <c r="E37" s="12">
        <v>11</v>
      </c>
      <c r="F37" s="8">
        <v>2.91</v>
      </c>
      <c r="G37" s="12">
        <v>8</v>
      </c>
      <c r="H37" s="8">
        <v>2.27</v>
      </c>
      <c r="I37" s="12">
        <v>0</v>
      </c>
    </row>
    <row r="38" spans="2:9" ht="15" customHeight="1" x14ac:dyDescent="0.2">
      <c r="B38" t="s">
        <v>87</v>
      </c>
      <c r="C38" s="12">
        <v>19</v>
      </c>
      <c r="D38" s="8">
        <v>2.52</v>
      </c>
      <c r="E38" s="12">
        <v>17</v>
      </c>
      <c r="F38" s="8">
        <v>4.5</v>
      </c>
      <c r="G38" s="12">
        <v>2</v>
      </c>
      <c r="H38" s="8">
        <v>0.56999999999999995</v>
      </c>
      <c r="I38" s="12">
        <v>0</v>
      </c>
    </row>
    <row r="39" spans="2:9" ht="15" customHeight="1" x14ac:dyDescent="0.2">
      <c r="B39" t="s">
        <v>90</v>
      </c>
      <c r="C39" s="12">
        <v>19</v>
      </c>
      <c r="D39" s="8">
        <v>2.52</v>
      </c>
      <c r="E39" s="12">
        <v>0</v>
      </c>
      <c r="F39" s="8">
        <v>0</v>
      </c>
      <c r="G39" s="12">
        <v>2</v>
      </c>
      <c r="H39" s="8">
        <v>0.56999999999999995</v>
      </c>
      <c r="I39" s="12">
        <v>0</v>
      </c>
    </row>
    <row r="40" spans="2:9" ht="15" customHeight="1" x14ac:dyDescent="0.2">
      <c r="B40" t="s">
        <v>83</v>
      </c>
      <c r="C40" s="12">
        <v>14</v>
      </c>
      <c r="D40" s="8">
        <v>1.85</v>
      </c>
      <c r="E40" s="12">
        <v>7</v>
      </c>
      <c r="F40" s="8">
        <v>1.85</v>
      </c>
      <c r="G40" s="12">
        <v>6</v>
      </c>
      <c r="H40" s="8">
        <v>1.7</v>
      </c>
      <c r="I40" s="12">
        <v>0</v>
      </c>
    </row>
    <row r="41" spans="2:9" ht="15" customHeight="1" x14ac:dyDescent="0.2">
      <c r="B41" t="s">
        <v>97</v>
      </c>
      <c r="C41" s="12">
        <v>12</v>
      </c>
      <c r="D41" s="8">
        <v>1.59</v>
      </c>
      <c r="E41" s="12">
        <v>1</v>
      </c>
      <c r="F41" s="8">
        <v>0.26</v>
      </c>
      <c r="G41" s="12">
        <v>11</v>
      </c>
      <c r="H41" s="8">
        <v>3.12</v>
      </c>
      <c r="I41" s="12">
        <v>0</v>
      </c>
    </row>
    <row r="42" spans="2:9" ht="15" customHeight="1" x14ac:dyDescent="0.2">
      <c r="B42" t="s">
        <v>92</v>
      </c>
      <c r="C42" s="12">
        <v>12</v>
      </c>
      <c r="D42" s="8">
        <v>1.59</v>
      </c>
      <c r="E42" s="12">
        <v>7</v>
      </c>
      <c r="F42" s="8">
        <v>1.85</v>
      </c>
      <c r="G42" s="12">
        <v>5</v>
      </c>
      <c r="H42" s="8">
        <v>1.42</v>
      </c>
      <c r="I42" s="12">
        <v>0</v>
      </c>
    </row>
    <row r="43" spans="2:9" ht="15" customHeight="1" x14ac:dyDescent="0.2">
      <c r="B43" t="s">
        <v>107</v>
      </c>
      <c r="C43" s="12">
        <v>11</v>
      </c>
      <c r="D43" s="8">
        <v>1.46</v>
      </c>
      <c r="E43" s="12">
        <v>5</v>
      </c>
      <c r="F43" s="8">
        <v>1.32</v>
      </c>
      <c r="G43" s="12">
        <v>6</v>
      </c>
      <c r="H43" s="8">
        <v>1.7</v>
      </c>
      <c r="I43" s="12">
        <v>0</v>
      </c>
    </row>
    <row r="44" spans="2:9" ht="15" customHeight="1" x14ac:dyDescent="0.2">
      <c r="B44" t="s">
        <v>75</v>
      </c>
      <c r="C44" s="12">
        <v>11</v>
      </c>
      <c r="D44" s="8">
        <v>1.46</v>
      </c>
      <c r="E44" s="12">
        <v>1</v>
      </c>
      <c r="F44" s="8">
        <v>0.26</v>
      </c>
      <c r="G44" s="12">
        <v>10</v>
      </c>
      <c r="H44" s="8">
        <v>2.83</v>
      </c>
      <c r="I44" s="12">
        <v>0</v>
      </c>
    </row>
    <row r="47" spans="2:9" ht="33" customHeight="1" x14ac:dyDescent="0.2">
      <c r="B47" t="s">
        <v>193</v>
      </c>
      <c r="C47" s="10" t="s">
        <v>62</v>
      </c>
      <c r="D47" s="10" t="s">
        <v>63</v>
      </c>
      <c r="E47" s="10" t="s">
        <v>64</v>
      </c>
      <c r="F47" s="10" t="s">
        <v>65</v>
      </c>
      <c r="G47" s="10" t="s">
        <v>66</v>
      </c>
      <c r="H47" s="10" t="s">
        <v>67</v>
      </c>
      <c r="I47" s="10" t="s">
        <v>68</v>
      </c>
    </row>
    <row r="48" spans="2:9" ht="15" customHeight="1" x14ac:dyDescent="0.2">
      <c r="B48" t="s">
        <v>132</v>
      </c>
      <c r="C48" s="12">
        <v>42</v>
      </c>
      <c r="D48" s="8">
        <v>5.56</v>
      </c>
      <c r="E48" s="12">
        <v>37</v>
      </c>
      <c r="F48" s="8">
        <v>9.7899999999999991</v>
      </c>
      <c r="G48" s="12">
        <v>5</v>
      </c>
      <c r="H48" s="8">
        <v>1.42</v>
      </c>
      <c r="I48" s="12">
        <v>0</v>
      </c>
    </row>
    <row r="49" spans="2:9" ht="15" customHeight="1" x14ac:dyDescent="0.2">
      <c r="B49" t="s">
        <v>128</v>
      </c>
      <c r="C49" s="12">
        <v>21</v>
      </c>
      <c r="D49" s="8">
        <v>2.78</v>
      </c>
      <c r="E49" s="12">
        <v>18</v>
      </c>
      <c r="F49" s="8">
        <v>4.76</v>
      </c>
      <c r="G49" s="12">
        <v>3</v>
      </c>
      <c r="H49" s="8">
        <v>0.85</v>
      </c>
      <c r="I49" s="12">
        <v>0</v>
      </c>
    </row>
    <row r="50" spans="2:9" ht="15" customHeight="1" x14ac:dyDescent="0.2">
      <c r="B50" t="s">
        <v>131</v>
      </c>
      <c r="C50" s="12">
        <v>21</v>
      </c>
      <c r="D50" s="8">
        <v>2.78</v>
      </c>
      <c r="E50" s="12">
        <v>19</v>
      </c>
      <c r="F50" s="8">
        <v>5.03</v>
      </c>
      <c r="G50" s="12">
        <v>2</v>
      </c>
      <c r="H50" s="8">
        <v>0.56999999999999995</v>
      </c>
      <c r="I50" s="12">
        <v>0</v>
      </c>
    </row>
    <row r="51" spans="2:9" ht="15" customHeight="1" x14ac:dyDescent="0.2">
      <c r="B51" t="s">
        <v>118</v>
      </c>
      <c r="C51" s="12">
        <v>20</v>
      </c>
      <c r="D51" s="8">
        <v>2.65</v>
      </c>
      <c r="E51" s="12">
        <v>12</v>
      </c>
      <c r="F51" s="8">
        <v>3.17</v>
      </c>
      <c r="G51" s="12">
        <v>8</v>
      </c>
      <c r="H51" s="8">
        <v>2.27</v>
      </c>
      <c r="I51" s="12">
        <v>0</v>
      </c>
    </row>
    <row r="52" spans="2:9" ht="15" customHeight="1" x14ac:dyDescent="0.2">
      <c r="B52" t="s">
        <v>116</v>
      </c>
      <c r="C52" s="12">
        <v>17</v>
      </c>
      <c r="D52" s="8">
        <v>2.25</v>
      </c>
      <c r="E52" s="12">
        <v>3</v>
      </c>
      <c r="F52" s="8">
        <v>0.79</v>
      </c>
      <c r="G52" s="12">
        <v>14</v>
      </c>
      <c r="H52" s="8">
        <v>3.97</v>
      </c>
      <c r="I52" s="12">
        <v>0</v>
      </c>
    </row>
    <row r="53" spans="2:9" ht="15" customHeight="1" x14ac:dyDescent="0.2">
      <c r="B53" t="s">
        <v>134</v>
      </c>
      <c r="C53" s="12">
        <v>17</v>
      </c>
      <c r="D53" s="8">
        <v>2.25</v>
      </c>
      <c r="E53" s="12">
        <v>16</v>
      </c>
      <c r="F53" s="8">
        <v>4.2300000000000004</v>
      </c>
      <c r="G53" s="12">
        <v>1</v>
      </c>
      <c r="H53" s="8">
        <v>0.28000000000000003</v>
      </c>
      <c r="I53" s="12">
        <v>0</v>
      </c>
    </row>
    <row r="54" spans="2:9" ht="15" customHeight="1" x14ac:dyDescent="0.2">
      <c r="B54" t="s">
        <v>119</v>
      </c>
      <c r="C54" s="12">
        <v>16</v>
      </c>
      <c r="D54" s="8">
        <v>2.12</v>
      </c>
      <c r="E54" s="12">
        <v>4</v>
      </c>
      <c r="F54" s="8">
        <v>1.06</v>
      </c>
      <c r="G54" s="12">
        <v>12</v>
      </c>
      <c r="H54" s="8">
        <v>3.4</v>
      </c>
      <c r="I54" s="12">
        <v>0</v>
      </c>
    </row>
    <row r="55" spans="2:9" ht="15" customHeight="1" x14ac:dyDescent="0.2">
      <c r="B55" t="s">
        <v>121</v>
      </c>
      <c r="C55" s="12">
        <v>16</v>
      </c>
      <c r="D55" s="8">
        <v>2.12</v>
      </c>
      <c r="E55" s="12">
        <v>10</v>
      </c>
      <c r="F55" s="8">
        <v>2.65</v>
      </c>
      <c r="G55" s="12">
        <v>6</v>
      </c>
      <c r="H55" s="8">
        <v>1.7</v>
      </c>
      <c r="I55" s="12">
        <v>0</v>
      </c>
    </row>
    <row r="56" spans="2:9" ht="15" customHeight="1" x14ac:dyDescent="0.2">
      <c r="B56" t="s">
        <v>164</v>
      </c>
      <c r="C56" s="12">
        <v>16</v>
      </c>
      <c r="D56" s="8">
        <v>2.12</v>
      </c>
      <c r="E56" s="12">
        <v>0</v>
      </c>
      <c r="F56" s="8">
        <v>0</v>
      </c>
      <c r="G56" s="12">
        <v>0</v>
      </c>
      <c r="H56" s="8">
        <v>0</v>
      </c>
      <c r="I56" s="12">
        <v>0</v>
      </c>
    </row>
    <row r="57" spans="2:9" ht="15" customHeight="1" x14ac:dyDescent="0.2">
      <c r="B57" t="s">
        <v>184</v>
      </c>
      <c r="C57" s="12">
        <v>15</v>
      </c>
      <c r="D57" s="8">
        <v>1.99</v>
      </c>
      <c r="E57" s="12">
        <v>8</v>
      </c>
      <c r="F57" s="8">
        <v>2.12</v>
      </c>
      <c r="G57" s="12">
        <v>7</v>
      </c>
      <c r="H57" s="8">
        <v>1.98</v>
      </c>
      <c r="I57" s="12">
        <v>0</v>
      </c>
    </row>
    <row r="58" spans="2:9" ht="15" customHeight="1" x14ac:dyDescent="0.2">
      <c r="B58" t="s">
        <v>124</v>
      </c>
      <c r="C58" s="12">
        <v>14</v>
      </c>
      <c r="D58" s="8">
        <v>1.85</v>
      </c>
      <c r="E58" s="12">
        <v>7</v>
      </c>
      <c r="F58" s="8">
        <v>1.85</v>
      </c>
      <c r="G58" s="12">
        <v>6</v>
      </c>
      <c r="H58" s="8">
        <v>1.7</v>
      </c>
      <c r="I58" s="12">
        <v>0</v>
      </c>
    </row>
    <row r="59" spans="2:9" ht="15" customHeight="1" x14ac:dyDescent="0.2">
      <c r="B59" t="s">
        <v>126</v>
      </c>
      <c r="C59" s="12">
        <v>14</v>
      </c>
      <c r="D59" s="8">
        <v>1.85</v>
      </c>
      <c r="E59" s="12">
        <v>10</v>
      </c>
      <c r="F59" s="8">
        <v>2.65</v>
      </c>
      <c r="G59" s="12">
        <v>4</v>
      </c>
      <c r="H59" s="8">
        <v>1.1299999999999999</v>
      </c>
      <c r="I59" s="12">
        <v>0</v>
      </c>
    </row>
    <row r="60" spans="2:9" ht="15" customHeight="1" x14ac:dyDescent="0.2">
      <c r="B60" t="s">
        <v>120</v>
      </c>
      <c r="C60" s="12">
        <v>13</v>
      </c>
      <c r="D60" s="8">
        <v>1.72</v>
      </c>
      <c r="E60" s="12">
        <v>3</v>
      </c>
      <c r="F60" s="8">
        <v>0.79</v>
      </c>
      <c r="G60" s="12">
        <v>10</v>
      </c>
      <c r="H60" s="8">
        <v>2.83</v>
      </c>
      <c r="I60" s="12">
        <v>0</v>
      </c>
    </row>
    <row r="61" spans="2:9" ht="15" customHeight="1" x14ac:dyDescent="0.2">
      <c r="B61" t="s">
        <v>165</v>
      </c>
      <c r="C61" s="12">
        <v>13</v>
      </c>
      <c r="D61" s="8">
        <v>1.72</v>
      </c>
      <c r="E61" s="12">
        <v>8</v>
      </c>
      <c r="F61" s="8">
        <v>2.12</v>
      </c>
      <c r="G61" s="12">
        <v>5</v>
      </c>
      <c r="H61" s="8">
        <v>1.42</v>
      </c>
      <c r="I61" s="12">
        <v>0</v>
      </c>
    </row>
    <row r="62" spans="2:9" ht="15" customHeight="1" x14ac:dyDescent="0.2">
      <c r="B62" t="s">
        <v>122</v>
      </c>
      <c r="C62" s="12">
        <v>13</v>
      </c>
      <c r="D62" s="8">
        <v>1.72</v>
      </c>
      <c r="E62" s="12">
        <v>7</v>
      </c>
      <c r="F62" s="8">
        <v>1.85</v>
      </c>
      <c r="G62" s="12">
        <v>6</v>
      </c>
      <c r="H62" s="8">
        <v>1.7</v>
      </c>
      <c r="I62" s="12">
        <v>0</v>
      </c>
    </row>
    <row r="63" spans="2:9" ht="15" customHeight="1" x14ac:dyDescent="0.2">
      <c r="B63" t="s">
        <v>125</v>
      </c>
      <c r="C63" s="12">
        <v>13</v>
      </c>
      <c r="D63" s="8">
        <v>1.72</v>
      </c>
      <c r="E63" s="12">
        <v>0</v>
      </c>
      <c r="F63" s="8">
        <v>0</v>
      </c>
      <c r="G63" s="12">
        <v>13</v>
      </c>
      <c r="H63" s="8">
        <v>3.68</v>
      </c>
      <c r="I63" s="12">
        <v>0</v>
      </c>
    </row>
    <row r="64" spans="2:9" ht="15" customHeight="1" x14ac:dyDescent="0.2">
      <c r="B64" t="s">
        <v>129</v>
      </c>
      <c r="C64" s="12">
        <v>13</v>
      </c>
      <c r="D64" s="8">
        <v>1.72</v>
      </c>
      <c r="E64" s="12">
        <v>13</v>
      </c>
      <c r="F64" s="8">
        <v>3.44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136</v>
      </c>
      <c r="C65" s="12">
        <v>11</v>
      </c>
      <c r="D65" s="8">
        <v>1.46</v>
      </c>
      <c r="E65" s="12">
        <v>9</v>
      </c>
      <c r="F65" s="8">
        <v>2.38</v>
      </c>
      <c r="G65" s="12">
        <v>2</v>
      </c>
      <c r="H65" s="8">
        <v>0.56999999999999995</v>
      </c>
      <c r="I65" s="12">
        <v>0</v>
      </c>
    </row>
    <row r="66" spans="2:9" ht="15" customHeight="1" x14ac:dyDescent="0.2">
      <c r="B66" t="s">
        <v>123</v>
      </c>
      <c r="C66" s="12">
        <v>11</v>
      </c>
      <c r="D66" s="8">
        <v>1.46</v>
      </c>
      <c r="E66" s="12">
        <v>7</v>
      </c>
      <c r="F66" s="8">
        <v>1.85</v>
      </c>
      <c r="G66" s="12">
        <v>4</v>
      </c>
      <c r="H66" s="8">
        <v>1.1299999999999999</v>
      </c>
      <c r="I66" s="12">
        <v>0</v>
      </c>
    </row>
    <row r="67" spans="2:9" ht="15" customHeight="1" x14ac:dyDescent="0.2">
      <c r="B67" t="s">
        <v>133</v>
      </c>
      <c r="C67" s="12">
        <v>10</v>
      </c>
      <c r="D67" s="8">
        <v>1.32</v>
      </c>
      <c r="E67" s="12">
        <v>9</v>
      </c>
      <c r="F67" s="8">
        <v>2.38</v>
      </c>
      <c r="G67" s="12">
        <v>1</v>
      </c>
      <c r="H67" s="8">
        <v>0.28000000000000003</v>
      </c>
      <c r="I67" s="12">
        <v>0</v>
      </c>
    </row>
    <row r="69" spans="2:9" ht="15" customHeight="1" x14ac:dyDescent="0.2">
      <c r="B69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8C2A-D078-4585-B763-A8EE33B42299}">
  <sheetPr>
    <pageSetUpPr fitToPage="1"/>
  </sheetPr>
  <dimension ref="B2:I75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238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1</v>
      </c>
      <c r="D5" s="8">
        <v>0.34</v>
      </c>
      <c r="E5" s="12">
        <v>0</v>
      </c>
      <c r="F5" s="8">
        <v>0</v>
      </c>
      <c r="G5" s="12">
        <v>1</v>
      </c>
      <c r="H5" s="8">
        <v>1.28</v>
      </c>
      <c r="I5" s="12">
        <v>0</v>
      </c>
    </row>
    <row r="6" spans="2:9" ht="15" customHeight="1" x14ac:dyDescent="0.2">
      <c r="B6" t="s">
        <v>47</v>
      </c>
      <c r="C6" s="12">
        <v>46</v>
      </c>
      <c r="D6" s="8">
        <v>15.59</v>
      </c>
      <c r="E6" s="12">
        <v>22</v>
      </c>
      <c r="F6" s="8">
        <v>10.58</v>
      </c>
      <c r="G6" s="12">
        <v>24</v>
      </c>
      <c r="H6" s="8">
        <v>30.77</v>
      </c>
      <c r="I6" s="12">
        <v>0</v>
      </c>
    </row>
    <row r="7" spans="2:9" ht="15" customHeight="1" x14ac:dyDescent="0.2">
      <c r="B7" t="s">
        <v>48</v>
      </c>
      <c r="C7" s="12">
        <v>38</v>
      </c>
      <c r="D7" s="8">
        <v>12.88</v>
      </c>
      <c r="E7" s="12">
        <v>23</v>
      </c>
      <c r="F7" s="8">
        <v>11.06</v>
      </c>
      <c r="G7" s="12">
        <v>12</v>
      </c>
      <c r="H7" s="8">
        <v>15.38</v>
      </c>
      <c r="I7" s="12">
        <v>3</v>
      </c>
    </row>
    <row r="8" spans="2:9" ht="15" customHeight="1" x14ac:dyDescent="0.2">
      <c r="B8" t="s">
        <v>49</v>
      </c>
      <c r="C8" s="12">
        <v>3</v>
      </c>
      <c r="D8" s="8">
        <v>1.02</v>
      </c>
      <c r="E8" s="12">
        <v>0</v>
      </c>
      <c r="F8" s="8">
        <v>0</v>
      </c>
      <c r="G8" s="12">
        <v>3</v>
      </c>
      <c r="H8" s="8">
        <v>3.85</v>
      </c>
      <c r="I8" s="12">
        <v>0</v>
      </c>
    </row>
    <row r="9" spans="2:9" ht="15" customHeight="1" x14ac:dyDescent="0.2">
      <c r="B9" t="s">
        <v>50</v>
      </c>
      <c r="C9" s="12">
        <v>2</v>
      </c>
      <c r="D9" s="8">
        <v>0.68</v>
      </c>
      <c r="E9" s="12">
        <v>0</v>
      </c>
      <c r="F9" s="8">
        <v>0</v>
      </c>
      <c r="G9" s="12">
        <v>2</v>
      </c>
      <c r="H9" s="8">
        <v>2.56</v>
      </c>
      <c r="I9" s="12">
        <v>0</v>
      </c>
    </row>
    <row r="10" spans="2:9" ht="15" customHeight="1" x14ac:dyDescent="0.2">
      <c r="B10" t="s">
        <v>51</v>
      </c>
      <c r="C10" s="12">
        <v>1</v>
      </c>
      <c r="D10" s="8">
        <v>0.34</v>
      </c>
      <c r="E10" s="12">
        <v>0</v>
      </c>
      <c r="F10" s="8">
        <v>0</v>
      </c>
      <c r="G10" s="12">
        <v>0</v>
      </c>
      <c r="H10" s="8">
        <v>0</v>
      </c>
      <c r="I10" s="12">
        <v>1</v>
      </c>
    </row>
    <row r="11" spans="2:9" ht="15" customHeight="1" x14ac:dyDescent="0.2">
      <c r="B11" t="s">
        <v>52</v>
      </c>
      <c r="C11" s="12">
        <v>90</v>
      </c>
      <c r="D11" s="8">
        <v>30.51</v>
      </c>
      <c r="E11" s="12">
        <v>70</v>
      </c>
      <c r="F11" s="8">
        <v>33.65</v>
      </c>
      <c r="G11" s="12">
        <v>18</v>
      </c>
      <c r="H11" s="8">
        <v>23.08</v>
      </c>
      <c r="I11" s="12">
        <v>2</v>
      </c>
    </row>
    <row r="12" spans="2:9" ht="15" customHeight="1" x14ac:dyDescent="0.2">
      <c r="B12" t="s">
        <v>53</v>
      </c>
      <c r="C12" s="12">
        <v>0</v>
      </c>
      <c r="D12" s="8">
        <v>0</v>
      </c>
      <c r="E12" s="12">
        <v>0</v>
      </c>
      <c r="F12" s="8">
        <v>0</v>
      </c>
      <c r="G12" s="12">
        <v>0</v>
      </c>
      <c r="H12" s="8">
        <v>0</v>
      </c>
      <c r="I12" s="12">
        <v>0</v>
      </c>
    </row>
    <row r="13" spans="2:9" ht="15" customHeight="1" x14ac:dyDescent="0.2">
      <c r="B13" t="s">
        <v>54</v>
      </c>
      <c r="C13" s="12">
        <v>3</v>
      </c>
      <c r="D13" s="8">
        <v>1.02</v>
      </c>
      <c r="E13" s="12">
        <v>1</v>
      </c>
      <c r="F13" s="8">
        <v>0.48</v>
      </c>
      <c r="G13" s="12">
        <v>2</v>
      </c>
      <c r="H13" s="8">
        <v>2.56</v>
      </c>
      <c r="I13" s="12">
        <v>0</v>
      </c>
    </row>
    <row r="14" spans="2:9" ht="15" customHeight="1" x14ac:dyDescent="0.2">
      <c r="B14" t="s">
        <v>55</v>
      </c>
      <c r="C14" s="12">
        <v>4</v>
      </c>
      <c r="D14" s="8">
        <v>1.36</v>
      </c>
      <c r="E14" s="12">
        <v>3</v>
      </c>
      <c r="F14" s="8">
        <v>1.44</v>
      </c>
      <c r="G14" s="12">
        <v>1</v>
      </c>
      <c r="H14" s="8">
        <v>1.28</v>
      </c>
      <c r="I14" s="12">
        <v>0</v>
      </c>
    </row>
    <row r="15" spans="2:9" ht="15" customHeight="1" x14ac:dyDescent="0.2">
      <c r="B15" t="s">
        <v>56</v>
      </c>
      <c r="C15" s="12">
        <v>50</v>
      </c>
      <c r="D15" s="8">
        <v>16.95</v>
      </c>
      <c r="E15" s="12">
        <v>45</v>
      </c>
      <c r="F15" s="8">
        <v>21.63</v>
      </c>
      <c r="G15" s="12">
        <v>5</v>
      </c>
      <c r="H15" s="8">
        <v>6.41</v>
      </c>
      <c r="I15" s="12">
        <v>0</v>
      </c>
    </row>
    <row r="16" spans="2:9" ht="15" customHeight="1" x14ac:dyDescent="0.2">
      <c r="B16" t="s">
        <v>57</v>
      </c>
      <c r="C16" s="12">
        <v>28</v>
      </c>
      <c r="D16" s="8">
        <v>9.49</v>
      </c>
      <c r="E16" s="12">
        <v>28</v>
      </c>
      <c r="F16" s="8">
        <v>13.46</v>
      </c>
      <c r="G16" s="12">
        <v>0</v>
      </c>
      <c r="H16" s="8">
        <v>0</v>
      </c>
      <c r="I16" s="12">
        <v>0</v>
      </c>
    </row>
    <row r="17" spans="2:9" ht="15" customHeight="1" x14ac:dyDescent="0.2">
      <c r="B17" t="s">
        <v>58</v>
      </c>
      <c r="C17" s="12">
        <v>5</v>
      </c>
      <c r="D17" s="8">
        <v>1.69</v>
      </c>
      <c r="E17" s="12">
        <v>4</v>
      </c>
      <c r="F17" s="8">
        <v>1.92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59</v>
      </c>
      <c r="C18" s="12">
        <v>15</v>
      </c>
      <c r="D18" s="8">
        <v>5.08</v>
      </c>
      <c r="E18" s="12">
        <v>8</v>
      </c>
      <c r="F18" s="8">
        <v>3.85</v>
      </c>
      <c r="G18" s="12">
        <v>5</v>
      </c>
      <c r="H18" s="8">
        <v>6.41</v>
      </c>
      <c r="I18" s="12">
        <v>0</v>
      </c>
    </row>
    <row r="19" spans="2:9" ht="15" customHeight="1" x14ac:dyDescent="0.2">
      <c r="B19" t="s">
        <v>60</v>
      </c>
      <c r="C19" s="12">
        <v>9</v>
      </c>
      <c r="D19" s="8">
        <v>3.05</v>
      </c>
      <c r="E19" s="12">
        <v>4</v>
      </c>
      <c r="F19" s="8">
        <v>1.92</v>
      </c>
      <c r="G19" s="12">
        <v>5</v>
      </c>
      <c r="H19" s="8">
        <v>6.41</v>
      </c>
      <c r="I19" s="12">
        <v>0</v>
      </c>
    </row>
    <row r="20" spans="2:9" ht="15" customHeight="1" x14ac:dyDescent="0.2">
      <c r="B20" s="9" t="s">
        <v>191</v>
      </c>
      <c r="C20" s="12">
        <f>SUM(LTBL_22429[総数／事業所数])</f>
        <v>295</v>
      </c>
      <c r="E20" s="12">
        <f>SUBTOTAL(109,LTBL_22429[個人／事業所数])</f>
        <v>208</v>
      </c>
      <c r="G20" s="12">
        <f>SUBTOTAL(109,LTBL_22429[法人／事業所数])</f>
        <v>78</v>
      </c>
      <c r="I20" s="12">
        <f>SUBTOTAL(109,LTBL_22429[法人以外の団体／事業所数])</f>
        <v>6</v>
      </c>
    </row>
    <row r="21" spans="2:9" ht="15" customHeight="1" x14ac:dyDescent="0.2">
      <c r="E21" s="11">
        <f>LTBL_22429[[#Totals],[個人／事業所数]]/LTBL_22429[[#Totals],[総数／事業所数]]</f>
        <v>0.70508474576271185</v>
      </c>
      <c r="G21" s="11">
        <f>LTBL_22429[[#Totals],[法人／事業所数]]/LTBL_22429[[#Totals],[総数／事業所数]]</f>
        <v>0.26440677966101694</v>
      </c>
      <c r="I21" s="11">
        <f>LTBL_22429[[#Totals],[法人以外の団体／事業所数]]/LTBL_22429[[#Totals],[総数／事業所数]]</f>
        <v>2.0338983050847456E-2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77</v>
      </c>
      <c r="C24" s="12">
        <v>45</v>
      </c>
      <c r="D24" s="8">
        <v>15.25</v>
      </c>
      <c r="E24" s="12">
        <v>37</v>
      </c>
      <c r="F24" s="8">
        <v>17.79</v>
      </c>
      <c r="G24" s="12">
        <v>6</v>
      </c>
      <c r="H24" s="8">
        <v>7.69</v>
      </c>
      <c r="I24" s="12">
        <v>2</v>
      </c>
    </row>
    <row r="25" spans="2:9" ht="15" customHeight="1" x14ac:dyDescent="0.2">
      <c r="B25" t="s">
        <v>84</v>
      </c>
      <c r="C25" s="12">
        <v>29</v>
      </c>
      <c r="D25" s="8">
        <v>9.83</v>
      </c>
      <c r="E25" s="12">
        <v>26</v>
      </c>
      <c r="F25" s="8">
        <v>12.5</v>
      </c>
      <c r="G25" s="12">
        <v>3</v>
      </c>
      <c r="H25" s="8">
        <v>3.85</v>
      </c>
      <c r="I25" s="12">
        <v>0</v>
      </c>
    </row>
    <row r="26" spans="2:9" ht="15" customHeight="1" x14ac:dyDescent="0.2">
      <c r="B26" t="s">
        <v>85</v>
      </c>
      <c r="C26" s="12">
        <v>26</v>
      </c>
      <c r="D26" s="8">
        <v>8.81</v>
      </c>
      <c r="E26" s="12">
        <v>26</v>
      </c>
      <c r="F26" s="8">
        <v>12.5</v>
      </c>
      <c r="G26" s="12">
        <v>0</v>
      </c>
      <c r="H26" s="8">
        <v>0</v>
      </c>
      <c r="I26" s="12">
        <v>0</v>
      </c>
    </row>
    <row r="27" spans="2:9" ht="15" customHeight="1" x14ac:dyDescent="0.2">
      <c r="B27" t="s">
        <v>69</v>
      </c>
      <c r="C27" s="12">
        <v>23</v>
      </c>
      <c r="D27" s="8">
        <v>7.8</v>
      </c>
      <c r="E27" s="12">
        <v>8</v>
      </c>
      <c r="F27" s="8">
        <v>3.85</v>
      </c>
      <c r="G27" s="12">
        <v>15</v>
      </c>
      <c r="H27" s="8">
        <v>19.23</v>
      </c>
      <c r="I27" s="12">
        <v>0</v>
      </c>
    </row>
    <row r="28" spans="2:9" ht="15" customHeight="1" x14ac:dyDescent="0.2">
      <c r="B28" t="s">
        <v>97</v>
      </c>
      <c r="C28" s="12">
        <v>23</v>
      </c>
      <c r="D28" s="8">
        <v>7.8</v>
      </c>
      <c r="E28" s="12">
        <v>12</v>
      </c>
      <c r="F28" s="8">
        <v>5.77</v>
      </c>
      <c r="G28" s="12">
        <v>8</v>
      </c>
      <c r="H28" s="8">
        <v>10.26</v>
      </c>
      <c r="I28" s="12">
        <v>3</v>
      </c>
    </row>
    <row r="29" spans="2:9" ht="15" customHeight="1" x14ac:dyDescent="0.2">
      <c r="B29" t="s">
        <v>79</v>
      </c>
      <c r="C29" s="12">
        <v>22</v>
      </c>
      <c r="D29" s="8">
        <v>7.46</v>
      </c>
      <c r="E29" s="12">
        <v>14</v>
      </c>
      <c r="F29" s="8">
        <v>6.73</v>
      </c>
      <c r="G29" s="12">
        <v>8</v>
      </c>
      <c r="H29" s="8">
        <v>10.26</v>
      </c>
      <c r="I29" s="12">
        <v>0</v>
      </c>
    </row>
    <row r="30" spans="2:9" ht="15" customHeight="1" x14ac:dyDescent="0.2">
      <c r="B30" t="s">
        <v>99</v>
      </c>
      <c r="C30" s="12">
        <v>21</v>
      </c>
      <c r="D30" s="8">
        <v>7.12</v>
      </c>
      <c r="E30" s="12">
        <v>19</v>
      </c>
      <c r="F30" s="8">
        <v>9.1300000000000008</v>
      </c>
      <c r="G30" s="12">
        <v>2</v>
      </c>
      <c r="H30" s="8">
        <v>2.56</v>
      </c>
      <c r="I30" s="12">
        <v>0</v>
      </c>
    </row>
    <row r="31" spans="2:9" ht="15" customHeight="1" x14ac:dyDescent="0.2">
      <c r="B31" t="s">
        <v>70</v>
      </c>
      <c r="C31" s="12">
        <v>13</v>
      </c>
      <c r="D31" s="8">
        <v>4.41</v>
      </c>
      <c r="E31" s="12">
        <v>10</v>
      </c>
      <c r="F31" s="8">
        <v>4.8099999999999996</v>
      </c>
      <c r="G31" s="12">
        <v>3</v>
      </c>
      <c r="H31" s="8">
        <v>3.85</v>
      </c>
      <c r="I31" s="12">
        <v>0</v>
      </c>
    </row>
    <row r="32" spans="2:9" ht="15" customHeight="1" x14ac:dyDescent="0.2">
      <c r="B32" t="s">
        <v>71</v>
      </c>
      <c r="C32" s="12">
        <v>10</v>
      </c>
      <c r="D32" s="8">
        <v>3.39</v>
      </c>
      <c r="E32" s="12">
        <v>4</v>
      </c>
      <c r="F32" s="8">
        <v>1.92</v>
      </c>
      <c r="G32" s="12">
        <v>6</v>
      </c>
      <c r="H32" s="8">
        <v>7.69</v>
      </c>
      <c r="I32" s="12">
        <v>0</v>
      </c>
    </row>
    <row r="33" spans="2:9" ht="15" customHeight="1" x14ac:dyDescent="0.2">
      <c r="B33" t="s">
        <v>87</v>
      </c>
      <c r="C33" s="12">
        <v>9</v>
      </c>
      <c r="D33" s="8">
        <v>3.05</v>
      </c>
      <c r="E33" s="12">
        <v>8</v>
      </c>
      <c r="F33" s="8">
        <v>3.85</v>
      </c>
      <c r="G33" s="12">
        <v>1</v>
      </c>
      <c r="H33" s="8">
        <v>1.28</v>
      </c>
      <c r="I33" s="12">
        <v>0</v>
      </c>
    </row>
    <row r="34" spans="2:9" ht="15" customHeight="1" x14ac:dyDescent="0.2">
      <c r="B34" t="s">
        <v>78</v>
      </c>
      <c r="C34" s="12">
        <v>8</v>
      </c>
      <c r="D34" s="8">
        <v>2.71</v>
      </c>
      <c r="E34" s="12">
        <v>7</v>
      </c>
      <c r="F34" s="8">
        <v>3.37</v>
      </c>
      <c r="G34" s="12">
        <v>1</v>
      </c>
      <c r="H34" s="8">
        <v>1.28</v>
      </c>
      <c r="I34" s="12">
        <v>0</v>
      </c>
    </row>
    <row r="35" spans="2:9" ht="15" customHeight="1" x14ac:dyDescent="0.2">
      <c r="B35" t="s">
        <v>76</v>
      </c>
      <c r="C35" s="12">
        <v>7</v>
      </c>
      <c r="D35" s="8">
        <v>2.37</v>
      </c>
      <c r="E35" s="12">
        <v>7</v>
      </c>
      <c r="F35" s="8">
        <v>3.37</v>
      </c>
      <c r="G35" s="12">
        <v>0</v>
      </c>
      <c r="H35" s="8">
        <v>0</v>
      </c>
      <c r="I35" s="12">
        <v>0</v>
      </c>
    </row>
    <row r="36" spans="2:9" ht="15" customHeight="1" x14ac:dyDescent="0.2">
      <c r="B36" t="s">
        <v>90</v>
      </c>
      <c r="C36" s="12">
        <v>6</v>
      </c>
      <c r="D36" s="8">
        <v>2.0299999999999998</v>
      </c>
      <c r="E36" s="12">
        <v>0</v>
      </c>
      <c r="F36" s="8">
        <v>0</v>
      </c>
      <c r="G36" s="12">
        <v>4</v>
      </c>
      <c r="H36" s="8">
        <v>5.13</v>
      </c>
      <c r="I36" s="12">
        <v>0</v>
      </c>
    </row>
    <row r="37" spans="2:9" ht="15" customHeight="1" x14ac:dyDescent="0.2">
      <c r="B37" t="s">
        <v>110</v>
      </c>
      <c r="C37" s="12">
        <v>5</v>
      </c>
      <c r="D37" s="8">
        <v>1.69</v>
      </c>
      <c r="E37" s="12">
        <v>4</v>
      </c>
      <c r="F37" s="8">
        <v>1.92</v>
      </c>
      <c r="G37" s="12">
        <v>1</v>
      </c>
      <c r="H37" s="8">
        <v>1.28</v>
      </c>
      <c r="I37" s="12">
        <v>0</v>
      </c>
    </row>
    <row r="38" spans="2:9" ht="15" customHeight="1" x14ac:dyDescent="0.2">
      <c r="B38" t="s">
        <v>86</v>
      </c>
      <c r="C38" s="12">
        <v>5</v>
      </c>
      <c r="D38" s="8">
        <v>1.69</v>
      </c>
      <c r="E38" s="12">
        <v>4</v>
      </c>
      <c r="F38" s="8">
        <v>1.92</v>
      </c>
      <c r="G38" s="12">
        <v>0</v>
      </c>
      <c r="H38" s="8">
        <v>0</v>
      </c>
      <c r="I38" s="12">
        <v>0</v>
      </c>
    </row>
    <row r="39" spans="2:9" ht="15" customHeight="1" x14ac:dyDescent="0.2">
      <c r="B39" t="s">
        <v>111</v>
      </c>
      <c r="C39" s="12">
        <v>5</v>
      </c>
      <c r="D39" s="8">
        <v>1.69</v>
      </c>
      <c r="E39" s="12">
        <v>1</v>
      </c>
      <c r="F39" s="8">
        <v>0.48</v>
      </c>
      <c r="G39" s="12">
        <v>4</v>
      </c>
      <c r="H39" s="8">
        <v>5.13</v>
      </c>
      <c r="I39" s="12">
        <v>0</v>
      </c>
    </row>
    <row r="40" spans="2:9" ht="15" customHeight="1" x14ac:dyDescent="0.2">
      <c r="B40" t="s">
        <v>98</v>
      </c>
      <c r="C40" s="12">
        <v>3</v>
      </c>
      <c r="D40" s="8">
        <v>1.02</v>
      </c>
      <c r="E40" s="12">
        <v>2</v>
      </c>
      <c r="F40" s="8">
        <v>0.96</v>
      </c>
      <c r="G40" s="12">
        <v>1</v>
      </c>
      <c r="H40" s="8">
        <v>1.28</v>
      </c>
      <c r="I40" s="12">
        <v>0</v>
      </c>
    </row>
    <row r="41" spans="2:9" ht="15" customHeight="1" x14ac:dyDescent="0.2">
      <c r="B41" t="s">
        <v>108</v>
      </c>
      <c r="C41" s="12">
        <v>3</v>
      </c>
      <c r="D41" s="8">
        <v>1.02</v>
      </c>
      <c r="E41" s="12">
        <v>0</v>
      </c>
      <c r="F41" s="8">
        <v>0</v>
      </c>
      <c r="G41" s="12">
        <v>3</v>
      </c>
      <c r="H41" s="8">
        <v>3.85</v>
      </c>
      <c r="I41" s="12">
        <v>0</v>
      </c>
    </row>
    <row r="42" spans="2:9" ht="15" customHeight="1" x14ac:dyDescent="0.2">
      <c r="B42" t="s">
        <v>82</v>
      </c>
      <c r="C42" s="12">
        <v>3</v>
      </c>
      <c r="D42" s="8">
        <v>1.02</v>
      </c>
      <c r="E42" s="12">
        <v>2</v>
      </c>
      <c r="F42" s="8">
        <v>0.96</v>
      </c>
      <c r="G42" s="12">
        <v>1</v>
      </c>
      <c r="H42" s="8">
        <v>1.28</v>
      </c>
      <c r="I42" s="12">
        <v>0</v>
      </c>
    </row>
    <row r="43" spans="2:9" ht="15" customHeight="1" x14ac:dyDescent="0.2">
      <c r="B43" t="s">
        <v>100</v>
      </c>
      <c r="C43" s="12">
        <v>2</v>
      </c>
      <c r="D43" s="8">
        <v>0.68</v>
      </c>
      <c r="E43" s="12">
        <v>1</v>
      </c>
      <c r="F43" s="8">
        <v>0.48</v>
      </c>
      <c r="G43" s="12">
        <v>1</v>
      </c>
      <c r="H43" s="8">
        <v>1.28</v>
      </c>
      <c r="I43" s="12">
        <v>0</v>
      </c>
    </row>
    <row r="44" spans="2:9" ht="15" customHeight="1" x14ac:dyDescent="0.2">
      <c r="B44" t="s">
        <v>91</v>
      </c>
      <c r="C44" s="12">
        <v>2</v>
      </c>
      <c r="D44" s="8">
        <v>0.68</v>
      </c>
      <c r="E44" s="12">
        <v>1</v>
      </c>
      <c r="F44" s="8">
        <v>0.48</v>
      </c>
      <c r="G44" s="12">
        <v>1</v>
      </c>
      <c r="H44" s="8">
        <v>1.28</v>
      </c>
      <c r="I44" s="12">
        <v>0</v>
      </c>
    </row>
    <row r="45" spans="2:9" ht="15" customHeight="1" x14ac:dyDescent="0.2">
      <c r="B45" t="s">
        <v>113</v>
      </c>
      <c r="C45" s="12">
        <v>2</v>
      </c>
      <c r="D45" s="8">
        <v>0.68</v>
      </c>
      <c r="E45" s="12">
        <v>2</v>
      </c>
      <c r="F45" s="8">
        <v>0.96</v>
      </c>
      <c r="G45" s="12">
        <v>0</v>
      </c>
      <c r="H45" s="8">
        <v>0</v>
      </c>
      <c r="I45" s="12">
        <v>0</v>
      </c>
    </row>
    <row r="46" spans="2:9" ht="15" customHeight="1" x14ac:dyDescent="0.2">
      <c r="B46" t="s">
        <v>92</v>
      </c>
      <c r="C46" s="12">
        <v>2</v>
      </c>
      <c r="D46" s="8">
        <v>0.68</v>
      </c>
      <c r="E46" s="12">
        <v>2</v>
      </c>
      <c r="F46" s="8">
        <v>0.96</v>
      </c>
      <c r="G46" s="12">
        <v>0</v>
      </c>
      <c r="H46" s="8">
        <v>0</v>
      </c>
      <c r="I46" s="12">
        <v>0</v>
      </c>
    </row>
    <row r="47" spans="2:9" ht="15" customHeight="1" x14ac:dyDescent="0.2">
      <c r="B47" t="s">
        <v>74</v>
      </c>
      <c r="C47" s="12">
        <v>2</v>
      </c>
      <c r="D47" s="8">
        <v>0.68</v>
      </c>
      <c r="E47" s="12">
        <v>1</v>
      </c>
      <c r="F47" s="8">
        <v>0.48</v>
      </c>
      <c r="G47" s="12">
        <v>1</v>
      </c>
      <c r="H47" s="8">
        <v>1.28</v>
      </c>
      <c r="I47" s="12">
        <v>0</v>
      </c>
    </row>
    <row r="48" spans="2:9" ht="15" customHeight="1" x14ac:dyDescent="0.2">
      <c r="B48" t="s">
        <v>109</v>
      </c>
      <c r="C48" s="12">
        <v>2</v>
      </c>
      <c r="D48" s="8">
        <v>0.68</v>
      </c>
      <c r="E48" s="12">
        <v>2</v>
      </c>
      <c r="F48" s="8">
        <v>0.96</v>
      </c>
      <c r="G48" s="12">
        <v>0</v>
      </c>
      <c r="H48" s="8">
        <v>0</v>
      </c>
      <c r="I48" s="12">
        <v>0</v>
      </c>
    </row>
    <row r="51" spans="2:9" ht="33" customHeight="1" x14ac:dyDescent="0.2">
      <c r="B51" t="s">
        <v>193</v>
      </c>
      <c r="C51" s="10" t="s">
        <v>62</v>
      </c>
      <c r="D51" s="10" t="s">
        <v>63</v>
      </c>
      <c r="E51" s="10" t="s">
        <v>64</v>
      </c>
      <c r="F51" s="10" t="s">
        <v>65</v>
      </c>
      <c r="G51" s="10" t="s">
        <v>66</v>
      </c>
      <c r="H51" s="10" t="s">
        <v>67</v>
      </c>
      <c r="I51" s="10" t="s">
        <v>68</v>
      </c>
    </row>
    <row r="52" spans="2:9" ht="15" customHeight="1" x14ac:dyDescent="0.2">
      <c r="B52" t="s">
        <v>121</v>
      </c>
      <c r="C52" s="12">
        <v>25</v>
      </c>
      <c r="D52" s="8">
        <v>8.4700000000000006</v>
      </c>
      <c r="E52" s="12">
        <v>20</v>
      </c>
      <c r="F52" s="8">
        <v>9.6199999999999992</v>
      </c>
      <c r="G52" s="12">
        <v>3</v>
      </c>
      <c r="H52" s="8">
        <v>3.85</v>
      </c>
      <c r="I52" s="12">
        <v>2</v>
      </c>
    </row>
    <row r="53" spans="2:9" ht="15" customHeight="1" x14ac:dyDescent="0.2">
      <c r="B53" t="s">
        <v>157</v>
      </c>
      <c r="C53" s="12">
        <v>23</v>
      </c>
      <c r="D53" s="8">
        <v>7.8</v>
      </c>
      <c r="E53" s="12">
        <v>12</v>
      </c>
      <c r="F53" s="8">
        <v>5.77</v>
      </c>
      <c r="G53" s="12">
        <v>8</v>
      </c>
      <c r="H53" s="8">
        <v>10.26</v>
      </c>
      <c r="I53" s="12">
        <v>3</v>
      </c>
    </row>
    <row r="54" spans="2:9" ht="15" customHeight="1" x14ac:dyDescent="0.2">
      <c r="B54" t="s">
        <v>160</v>
      </c>
      <c r="C54" s="12">
        <v>16</v>
      </c>
      <c r="D54" s="8">
        <v>5.42</v>
      </c>
      <c r="E54" s="12">
        <v>14</v>
      </c>
      <c r="F54" s="8">
        <v>6.73</v>
      </c>
      <c r="G54" s="12">
        <v>2</v>
      </c>
      <c r="H54" s="8">
        <v>2.56</v>
      </c>
      <c r="I54" s="12">
        <v>0</v>
      </c>
    </row>
    <row r="55" spans="2:9" ht="15" customHeight="1" x14ac:dyDescent="0.2">
      <c r="B55" t="s">
        <v>131</v>
      </c>
      <c r="C55" s="12">
        <v>12</v>
      </c>
      <c r="D55" s="8">
        <v>4.07</v>
      </c>
      <c r="E55" s="12">
        <v>12</v>
      </c>
      <c r="F55" s="8">
        <v>5.77</v>
      </c>
      <c r="G55" s="12">
        <v>0</v>
      </c>
      <c r="H55" s="8">
        <v>0</v>
      </c>
      <c r="I55" s="12">
        <v>0</v>
      </c>
    </row>
    <row r="56" spans="2:9" ht="15" customHeight="1" x14ac:dyDescent="0.2">
      <c r="B56" t="s">
        <v>159</v>
      </c>
      <c r="C56" s="12">
        <v>10</v>
      </c>
      <c r="D56" s="8">
        <v>3.39</v>
      </c>
      <c r="E56" s="12">
        <v>4</v>
      </c>
      <c r="F56" s="8">
        <v>1.92</v>
      </c>
      <c r="G56" s="12">
        <v>6</v>
      </c>
      <c r="H56" s="8">
        <v>7.69</v>
      </c>
      <c r="I56" s="12">
        <v>0</v>
      </c>
    </row>
    <row r="57" spans="2:9" ht="15" customHeight="1" x14ac:dyDescent="0.2">
      <c r="B57" t="s">
        <v>118</v>
      </c>
      <c r="C57" s="12">
        <v>9</v>
      </c>
      <c r="D57" s="8">
        <v>3.05</v>
      </c>
      <c r="E57" s="12">
        <v>6</v>
      </c>
      <c r="F57" s="8">
        <v>2.88</v>
      </c>
      <c r="G57" s="12">
        <v>3</v>
      </c>
      <c r="H57" s="8">
        <v>3.85</v>
      </c>
      <c r="I57" s="12">
        <v>0</v>
      </c>
    </row>
    <row r="58" spans="2:9" ht="15" customHeight="1" x14ac:dyDescent="0.2">
      <c r="B58" t="s">
        <v>132</v>
      </c>
      <c r="C58" s="12">
        <v>9</v>
      </c>
      <c r="D58" s="8">
        <v>3.05</v>
      </c>
      <c r="E58" s="12">
        <v>9</v>
      </c>
      <c r="F58" s="8">
        <v>4.33</v>
      </c>
      <c r="G58" s="12">
        <v>0</v>
      </c>
      <c r="H58" s="8">
        <v>0</v>
      </c>
      <c r="I58" s="12">
        <v>0</v>
      </c>
    </row>
    <row r="59" spans="2:9" ht="15" customHeight="1" x14ac:dyDescent="0.2">
      <c r="B59" t="s">
        <v>116</v>
      </c>
      <c r="C59" s="12">
        <v>8</v>
      </c>
      <c r="D59" s="8">
        <v>2.71</v>
      </c>
      <c r="E59" s="12">
        <v>1</v>
      </c>
      <c r="F59" s="8">
        <v>0.48</v>
      </c>
      <c r="G59" s="12">
        <v>7</v>
      </c>
      <c r="H59" s="8">
        <v>8.9700000000000006</v>
      </c>
      <c r="I59" s="12">
        <v>0</v>
      </c>
    </row>
    <row r="60" spans="2:9" ht="15" customHeight="1" x14ac:dyDescent="0.2">
      <c r="B60" t="s">
        <v>119</v>
      </c>
      <c r="C60" s="12">
        <v>8</v>
      </c>
      <c r="D60" s="8">
        <v>2.71</v>
      </c>
      <c r="E60" s="12">
        <v>3</v>
      </c>
      <c r="F60" s="8">
        <v>1.44</v>
      </c>
      <c r="G60" s="12">
        <v>5</v>
      </c>
      <c r="H60" s="8">
        <v>6.41</v>
      </c>
      <c r="I60" s="12">
        <v>0</v>
      </c>
    </row>
    <row r="61" spans="2:9" ht="15" customHeight="1" x14ac:dyDescent="0.2">
      <c r="B61" t="s">
        <v>185</v>
      </c>
      <c r="C61" s="12">
        <v>8</v>
      </c>
      <c r="D61" s="8">
        <v>2.71</v>
      </c>
      <c r="E61" s="12">
        <v>7</v>
      </c>
      <c r="F61" s="8">
        <v>3.37</v>
      </c>
      <c r="G61" s="12">
        <v>1</v>
      </c>
      <c r="H61" s="8">
        <v>1.28</v>
      </c>
      <c r="I61" s="12">
        <v>0</v>
      </c>
    </row>
    <row r="62" spans="2:9" ht="15" customHeight="1" x14ac:dyDescent="0.2">
      <c r="B62" t="s">
        <v>136</v>
      </c>
      <c r="C62" s="12">
        <v>8</v>
      </c>
      <c r="D62" s="8">
        <v>2.71</v>
      </c>
      <c r="E62" s="12">
        <v>7</v>
      </c>
      <c r="F62" s="8">
        <v>3.37</v>
      </c>
      <c r="G62" s="12">
        <v>1</v>
      </c>
      <c r="H62" s="8">
        <v>1.28</v>
      </c>
      <c r="I62" s="12">
        <v>0</v>
      </c>
    </row>
    <row r="63" spans="2:9" ht="15" customHeight="1" x14ac:dyDescent="0.2">
      <c r="B63" t="s">
        <v>161</v>
      </c>
      <c r="C63" s="12">
        <v>7</v>
      </c>
      <c r="D63" s="8">
        <v>2.37</v>
      </c>
      <c r="E63" s="12">
        <v>6</v>
      </c>
      <c r="F63" s="8">
        <v>2.88</v>
      </c>
      <c r="G63" s="12">
        <v>1</v>
      </c>
      <c r="H63" s="8">
        <v>1.28</v>
      </c>
      <c r="I63" s="12">
        <v>0</v>
      </c>
    </row>
    <row r="64" spans="2:9" ht="15" customHeight="1" x14ac:dyDescent="0.2">
      <c r="B64" t="s">
        <v>129</v>
      </c>
      <c r="C64" s="12">
        <v>7</v>
      </c>
      <c r="D64" s="8">
        <v>2.37</v>
      </c>
      <c r="E64" s="12">
        <v>7</v>
      </c>
      <c r="F64" s="8">
        <v>3.37</v>
      </c>
      <c r="G64" s="12">
        <v>0</v>
      </c>
      <c r="H64" s="8">
        <v>0</v>
      </c>
      <c r="I64" s="12">
        <v>0</v>
      </c>
    </row>
    <row r="65" spans="2:9" ht="15" customHeight="1" x14ac:dyDescent="0.2">
      <c r="B65" t="s">
        <v>128</v>
      </c>
      <c r="C65" s="12">
        <v>6</v>
      </c>
      <c r="D65" s="8">
        <v>2.0299999999999998</v>
      </c>
      <c r="E65" s="12">
        <v>6</v>
      </c>
      <c r="F65" s="8">
        <v>2.88</v>
      </c>
      <c r="G65" s="12">
        <v>0</v>
      </c>
      <c r="H65" s="8">
        <v>0</v>
      </c>
      <c r="I65" s="12">
        <v>0</v>
      </c>
    </row>
    <row r="66" spans="2:9" ht="15" customHeight="1" x14ac:dyDescent="0.2">
      <c r="B66" t="s">
        <v>139</v>
      </c>
      <c r="C66" s="12">
        <v>6</v>
      </c>
      <c r="D66" s="8">
        <v>2.0299999999999998</v>
      </c>
      <c r="E66" s="12">
        <v>5</v>
      </c>
      <c r="F66" s="8">
        <v>2.4</v>
      </c>
      <c r="G66" s="12">
        <v>1</v>
      </c>
      <c r="H66" s="8">
        <v>1.28</v>
      </c>
      <c r="I66" s="12">
        <v>0</v>
      </c>
    </row>
    <row r="67" spans="2:9" ht="15" customHeight="1" x14ac:dyDescent="0.2">
      <c r="B67" t="s">
        <v>137</v>
      </c>
      <c r="C67" s="12">
        <v>5</v>
      </c>
      <c r="D67" s="8">
        <v>1.69</v>
      </c>
      <c r="E67" s="12">
        <v>5</v>
      </c>
      <c r="F67" s="8">
        <v>2.4</v>
      </c>
      <c r="G67" s="12">
        <v>0</v>
      </c>
      <c r="H67" s="8">
        <v>0</v>
      </c>
      <c r="I67" s="12">
        <v>0</v>
      </c>
    </row>
    <row r="68" spans="2:9" ht="15" customHeight="1" x14ac:dyDescent="0.2">
      <c r="B68" t="s">
        <v>122</v>
      </c>
      <c r="C68" s="12">
        <v>5</v>
      </c>
      <c r="D68" s="8">
        <v>1.69</v>
      </c>
      <c r="E68" s="12">
        <v>4</v>
      </c>
      <c r="F68" s="8">
        <v>1.92</v>
      </c>
      <c r="G68" s="12">
        <v>1</v>
      </c>
      <c r="H68" s="8">
        <v>1.28</v>
      </c>
      <c r="I68" s="12">
        <v>0</v>
      </c>
    </row>
    <row r="69" spans="2:9" ht="15" customHeight="1" x14ac:dyDescent="0.2">
      <c r="B69" t="s">
        <v>134</v>
      </c>
      <c r="C69" s="12">
        <v>5</v>
      </c>
      <c r="D69" s="8">
        <v>1.69</v>
      </c>
      <c r="E69" s="12">
        <v>5</v>
      </c>
      <c r="F69" s="8">
        <v>2.4</v>
      </c>
      <c r="G69" s="12">
        <v>0</v>
      </c>
      <c r="H69" s="8">
        <v>0</v>
      </c>
      <c r="I69" s="12">
        <v>0</v>
      </c>
    </row>
    <row r="70" spans="2:9" ht="15" customHeight="1" x14ac:dyDescent="0.2">
      <c r="B70" t="s">
        <v>186</v>
      </c>
      <c r="C70" s="12">
        <v>4</v>
      </c>
      <c r="D70" s="8">
        <v>1.36</v>
      </c>
      <c r="E70" s="12">
        <v>3</v>
      </c>
      <c r="F70" s="8">
        <v>1.44</v>
      </c>
      <c r="G70" s="12">
        <v>1</v>
      </c>
      <c r="H70" s="8">
        <v>1.28</v>
      </c>
      <c r="I70" s="12">
        <v>0</v>
      </c>
    </row>
    <row r="71" spans="2:9" ht="15" customHeight="1" x14ac:dyDescent="0.2">
      <c r="B71" t="s">
        <v>169</v>
      </c>
      <c r="C71" s="12">
        <v>4</v>
      </c>
      <c r="D71" s="8">
        <v>1.36</v>
      </c>
      <c r="E71" s="12">
        <v>4</v>
      </c>
      <c r="F71" s="8">
        <v>1.92</v>
      </c>
      <c r="G71" s="12">
        <v>0</v>
      </c>
      <c r="H71" s="8">
        <v>0</v>
      </c>
      <c r="I71" s="12">
        <v>0</v>
      </c>
    </row>
    <row r="72" spans="2:9" ht="15" customHeight="1" x14ac:dyDescent="0.2">
      <c r="B72" t="s">
        <v>140</v>
      </c>
      <c r="C72" s="12">
        <v>4</v>
      </c>
      <c r="D72" s="8">
        <v>1.36</v>
      </c>
      <c r="E72" s="12">
        <v>4</v>
      </c>
      <c r="F72" s="8">
        <v>1.92</v>
      </c>
      <c r="G72" s="12">
        <v>0</v>
      </c>
      <c r="H72" s="8">
        <v>0</v>
      </c>
      <c r="I72" s="12">
        <v>0</v>
      </c>
    </row>
    <row r="73" spans="2:9" ht="15" customHeight="1" x14ac:dyDescent="0.2">
      <c r="B73" t="s">
        <v>187</v>
      </c>
      <c r="C73" s="12">
        <v>4</v>
      </c>
      <c r="D73" s="8">
        <v>1.36</v>
      </c>
      <c r="E73" s="12">
        <v>3</v>
      </c>
      <c r="F73" s="8">
        <v>1.44</v>
      </c>
      <c r="G73" s="12">
        <v>1</v>
      </c>
      <c r="H73" s="8">
        <v>1.28</v>
      </c>
      <c r="I73" s="12">
        <v>0</v>
      </c>
    </row>
    <row r="75" spans="2:9" ht="15" customHeight="1" x14ac:dyDescent="0.2">
      <c r="B75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55D1-374D-4B26-8A3D-A2AFC1DD2D52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189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25</v>
      </c>
      <c r="D5" s="8">
        <v>0.03</v>
      </c>
      <c r="E5" s="12">
        <v>3</v>
      </c>
      <c r="F5" s="8">
        <v>0.01</v>
      </c>
      <c r="G5" s="12">
        <v>22</v>
      </c>
      <c r="H5" s="8">
        <v>0.05</v>
      </c>
      <c r="I5" s="12">
        <v>0</v>
      </c>
    </row>
    <row r="6" spans="2:9" ht="15" customHeight="1" x14ac:dyDescent="0.2">
      <c r="B6" t="s">
        <v>47</v>
      </c>
      <c r="C6" s="12">
        <v>13849</v>
      </c>
      <c r="D6" s="8">
        <v>14.33</v>
      </c>
      <c r="E6" s="12">
        <v>4810</v>
      </c>
      <c r="F6" s="8">
        <v>9.43</v>
      </c>
      <c r="G6" s="12">
        <v>9038</v>
      </c>
      <c r="H6" s="8">
        <v>20.100000000000001</v>
      </c>
      <c r="I6" s="12">
        <v>1</v>
      </c>
    </row>
    <row r="7" spans="2:9" ht="15" customHeight="1" x14ac:dyDescent="0.2">
      <c r="B7" t="s">
        <v>48</v>
      </c>
      <c r="C7" s="12">
        <v>10720</v>
      </c>
      <c r="D7" s="8">
        <v>11.09</v>
      </c>
      <c r="E7" s="12">
        <v>3812</v>
      </c>
      <c r="F7" s="8">
        <v>7.47</v>
      </c>
      <c r="G7" s="12">
        <v>6892</v>
      </c>
      <c r="H7" s="8">
        <v>15.33</v>
      </c>
      <c r="I7" s="12">
        <v>15</v>
      </c>
    </row>
    <row r="8" spans="2:9" ht="15" customHeight="1" x14ac:dyDescent="0.2">
      <c r="B8" t="s">
        <v>49</v>
      </c>
      <c r="C8" s="12">
        <v>192</v>
      </c>
      <c r="D8" s="8">
        <v>0.2</v>
      </c>
      <c r="E8" s="12">
        <v>8</v>
      </c>
      <c r="F8" s="8">
        <v>0.02</v>
      </c>
      <c r="G8" s="12">
        <v>175</v>
      </c>
      <c r="H8" s="8">
        <v>0.39</v>
      </c>
      <c r="I8" s="12">
        <v>1</v>
      </c>
    </row>
    <row r="9" spans="2:9" ht="15" customHeight="1" x14ac:dyDescent="0.2">
      <c r="B9" t="s">
        <v>50</v>
      </c>
      <c r="C9" s="12">
        <v>747</v>
      </c>
      <c r="D9" s="8">
        <v>0.77</v>
      </c>
      <c r="E9" s="12">
        <v>66</v>
      </c>
      <c r="F9" s="8">
        <v>0.13</v>
      </c>
      <c r="G9" s="12">
        <v>680</v>
      </c>
      <c r="H9" s="8">
        <v>1.51</v>
      </c>
      <c r="I9" s="12">
        <v>1</v>
      </c>
    </row>
    <row r="10" spans="2:9" ht="15" customHeight="1" x14ac:dyDescent="0.2">
      <c r="B10" t="s">
        <v>51</v>
      </c>
      <c r="C10" s="12">
        <v>947</v>
      </c>
      <c r="D10" s="8">
        <v>0.98</v>
      </c>
      <c r="E10" s="12">
        <v>140</v>
      </c>
      <c r="F10" s="8">
        <v>0.27</v>
      </c>
      <c r="G10" s="12">
        <v>789</v>
      </c>
      <c r="H10" s="8">
        <v>1.76</v>
      </c>
      <c r="I10" s="12">
        <v>17</v>
      </c>
    </row>
    <row r="11" spans="2:9" ht="15" customHeight="1" x14ac:dyDescent="0.2">
      <c r="B11" t="s">
        <v>52</v>
      </c>
      <c r="C11" s="12">
        <v>21699</v>
      </c>
      <c r="D11" s="8">
        <v>22.45</v>
      </c>
      <c r="E11" s="12">
        <v>10237</v>
      </c>
      <c r="F11" s="8">
        <v>20.059999999999999</v>
      </c>
      <c r="G11" s="12">
        <v>11427</v>
      </c>
      <c r="H11" s="8">
        <v>25.42</v>
      </c>
      <c r="I11" s="12">
        <v>34</v>
      </c>
    </row>
    <row r="12" spans="2:9" ht="15" customHeight="1" x14ac:dyDescent="0.2">
      <c r="B12" t="s">
        <v>53</v>
      </c>
      <c r="C12" s="12">
        <v>697</v>
      </c>
      <c r="D12" s="8">
        <v>0.72</v>
      </c>
      <c r="E12" s="12">
        <v>131</v>
      </c>
      <c r="F12" s="8">
        <v>0.26</v>
      </c>
      <c r="G12" s="12">
        <v>562</v>
      </c>
      <c r="H12" s="8">
        <v>1.25</v>
      </c>
      <c r="I12" s="12">
        <v>4</v>
      </c>
    </row>
    <row r="13" spans="2:9" ht="15" customHeight="1" x14ac:dyDescent="0.2">
      <c r="B13" t="s">
        <v>54</v>
      </c>
      <c r="C13" s="12">
        <v>9064</v>
      </c>
      <c r="D13" s="8">
        <v>9.3800000000000008</v>
      </c>
      <c r="E13" s="12">
        <v>3956</v>
      </c>
      <c r="F13" s="8">
        <v>7.75</v>
      </c>
      <c r="G13" s="12">
        <v>5096</v>
      </c>
      <c r="H13" s="8">
        <v>11.34</v>
      </c>
      <c r="I13" s="12">
        <v>6</v>
      </c>
    </row>
    <row r="14" spans="2:9" ht="15" customHeight="1" x14ac:dyDescent="0.2">
      <c r="B14" t="s">
        <v>55</v>
      </c>
      <c r="C14" s="12">
        <v>4849</v>
      </c>
      <c r="D14" s="8">
        <v>5.0199999999999996</v>
      </c>
      <c r="E14" s="12">
        <v>2691</v>
      </c>
      <c r="F14" s="8">
        <v>5.27</v>
      </c>
      <c r="G14" s="12">
        <v>2128</v>
      </c>
      <c r="H14" s="8">
        <v>4.7300000000000004</v>
      </c>
      <c r="I14" s="12">
        <v>2</v>
      </c>
    </row>
    <row r="15" spans="2:9" ht="15" customHeight="1" x14ac:dyDescent="0.2">
      <c r="B15" t="s">
        <v>56</v>
      </c>
      <c r="C15" s="12">
        <v>11465</v>
      </c>
      <c r="D15" s="8">
        <v>11.86</v>
      </c>
      <c r="E15" s="12">
        <v>9392</v>
      </c>
      <c r="F15" s="8">
        <v>18.41</v>
      </c>
      <c r="G15" s="12">
        <v>2031</v>
      </c>
      <c r="H15" s="8">
        <v>4.5199999999999996</v>
      </c>
      <c r="I15" s="12">
        <v>5</v>
      </c>
    </row>
    <row r="16" spans="2:9" ht="15" customHeight="1" x14ac:dyDescent="0.2">
      <c r="B16" t="s">
        <v>57</v>
      </c>
      <c r="C16" s="12">
        <v>11461</v>
      </c>
      <c r="D16" s="8">
        <v>11.86</v>
      </c>
      <c r="E16" s="12">
        <v>9213</v>
      </c>
      <c r="F16" s="8">
        <v>18.059999999999999</v>
      </c>
      <c r="G16" s="12">
        <v>2201</v>
      </c>
      <c r="H16" s="8">
        <v>4.9000000000000004</v>
      </c>
      <c r="I16" s="12">
        <v>17</v>
      </c>
    </row>
    <row r="17" spans="2:9" ht="15" customHeight="1" x14ac:dyDescent="0.2">
      <c r="B17" t="s">
        <v>58</v>
      </c>
      <c r="C17" s="12">
        <v>3559</v>
      </c>
      <c r="D17" s="8">
        <v>3.68</v>
      </c>
      <c r="E17" s="12">
        <v>2682</v>
      </c>
      <c r="F17" s="8">
        <v>5.26</v>
      </c>
      <c r="G17" s="12">
        <v>779</v>
      </c>
      <c r="H17" s="8">
        <v>1.73</v>
      </c>
      <c r="I17" s="12">
        <v>21</v>
      </c>
    </row>
    <row r="18" spans="2:9" ht="15" customHeight="1" x14ac:dyDescent="0.2">
      <c r="B18" t="s">
        <v>59</v>
      </c>
      <c r="C18" s="12">
        <v>4156</v>
      </c>
      <c r="D18" s="8">
        <v>4.3</v>
      </c>
      <c r="E18" s="12">
        <v>2582</v>
      </c>
      <c r="F18" s="8">
        <v>5.0599999999999996</v>
      </c>
      <c r="G18" s="12">
        <v>1359</v>
      </c>
      <c r="H18" s="8">
        <v>3.02</v>
      </c>
      <c r="I18" s="12">
        <v>35</v>
      </c>
    </row>
    <row r="19" spans="2:9" ht="15" customHeight="1" x14ac:dyDescent="0.2">
      <c r="B19" t="s">
        <v>60</v>
      </c>
      <c r="C19" s="12">
        <v>3207</v>
      </c>
      <c r="D19" s="8">
        <v>3.32</v>
      </c>
      <c r="E19" s="12">
        <v>1299</v>
      </c>
      <c r="F19" s="8">
        <v>2.5499999999999998</v>
      </c>
      <c r="G19" s="12">
        <v>1775</v>
      </c>
      <c r="H19" s="8">
        <v>3.95</v>
      </c>
      <c r="I19" s="12">
        <v>30</v>
      </c>
    </row>
    <row r="20" spans="2:9" ht="15" customHeight="1" x14ac:dyDescent="0.2">
      <c r="B20" s="9" t="s">
        <v>191</v>
      </c>
      <c r="C20" s="12">
        <f>SUM(LTBL_22000[総数／事業所数])</f>
        <v>96637</v>
      </c>
      <c r="E20" s="12">
        <f>SUBTOTAL(109,LTBL_22000[個人／事業所数])</f>
        <v>51022</v>
      </c>
      <c r="G20" s="12">
        <f>SUBTOTAL(109,LTBL_22000[法人／事業所数])</f>
        <v>44954</v>
      </c>
      <c r="I20" s="12">
        <f>SUBTOTAL(109,LTBL_22000[法人以外の団体／事業所数])</f>
        <v>189</v>
      </c>
    </row>
    <row r="21" spans="2:9" ht="15" customHeight="1" x14ac:dyDescent="0.2">
      <c r="E21" s="11">
        <f>LTBL_22000[[#Totals],[個人／事業所数]]/LTBL_22000[[#Totals],[総数／事業所数]]</f>
        <v>0.52797582706416801</v>
      </c>
      <c r="G21" s="11">
        <f>LTBL_22000[[#Totals],[法人／事業所数]]/LTBL_22000[[#Totals],[総数／事業所数]]</f>
        <v>0.46518414271966224</v>
      </c>
      <c r="I21" s="11">
        <f>LTBL_22000[[#Totals],[法人以外の団体／事業所数]]/LTBL_22000[[#Totals],[総数／事業所数]]</f>
        <v>1.9557726336703334E-3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9907</v>
      </c>
      <c r="D24" s="8">
        <v>10.25</v>
      </c>
      <c r="E24" s="12">
        <v>8554</v>
      </c>
      <c r="F24" s="8">
        <v>16.77</v>
      </c>
      <c r="G24" s="12">
        <v>1351</v>
      </c>
      <c r="H24" s="8">
        <v>3.01</v>
      </c>
      <c r="I24" s="12">
        <v>2</v>
      </c>
    </row>
    <row r="25" spans="2:9" ht="15" customHeight="1" x14ac:dyDescent="0.2">
      <c r="B25" t="s">
        <v>85</v>
      </c>
      <c r="C25" s="12">
        <v>9697</v>
      </c>
      <c r="D25" s="8">
        <v>10.029999999999999</v>
      </c>
      <c r="E25" s="12">
        <v>8341</v>
      </c>
      <c r="F25" s="8">
        <v>16.350000000000001</v>
      </c>
      <c r="G25" s="12">
        <v>1344</v>
      </c>
      <c r="H25" s="8">
        <v>2.99</v>
      </c>
      <c r="I25" s="12">
        <v>7</v>
      </c>
    </row>
    <row r="26" spans="2:9" ht="15" customHeight="1" x14ac:dyDescent="0.2">
      <c r="B26" t="s">
        <v>81</v>
      </c>
      <c r="C26" s="12">
        <v>7328</v>
      </c>
      <c r="D26" s="8">
        <v>7.58</v>
      </c>
      <c r="E26" s="12">
        <v>3616</v>
      </c>
      <c r="F26" s="8">
        <v>7.09</v>
      </c>
      <c r="G26" s="12">
        <v>3700</v>
      </c>
      <c r="H26" s="8">
        <v>8.23</v>
      </c>
      <c r="I26" s="12">
        <v>6</v>
      </c>
    </row>
    <row r="27" spans="2:9" ht="15" customHeight="1" x14ac:dyDescent="0.2">
      <c r="B27" t="s">
        <v>79</v>
      </c>
      <c r="C27" s="12">
        <v>5734</v>
      </c>
      <c r="D27" s="8">
        <v>5.93</v>
      </c>
      <c r="E27" s="12">
        <v>2941</v>
      </c>
      <c r="F27" s="8">
        <v>5.76</v>
      </c>
      <c r="G27" s="12">
        <v>2789</v>
      </c>
      <c r="H27" s="8">
        <v>6.2</v>
      </c>
      <c r="I27" s="12">
        <v>3</v>
      </c>
    </row>
    <row r="28" spans="2:9" ht="15" customHeight="1" x14ac:dyDescent="0.2">
      <c r="B28" t="s">
        <v>69</v>
      </c>
      <c r="C28" s="12">
        <v>5698</v>
      </c>
      <c r="D28" s="8">
        <v>5.9</v>
      </c>
      <c r="E28" s="12">
        <v>1731</v>
      </c>
      <c r="F28" s="8">
        <v>3.39</v>
      </c>
      <c r="G28" s="12">
        <v>3967</v>
      </c>
      <c r="H28" s="8">
        <v>8.82</v>
      </c>
      <c r="I28" s="12">
        <v>0</v>
      </c>
    </row>
    <row r="29" spans="2:9" ht="15" customHeight="1" x14ac:dyDescent="0.2">
      <c r="B29" t="s">
        <v>70</v>
      </c>
      <c r="C29" s="12">
        <v>4682</v>
      </c>
      <c r="D29" s="8">
        <v>4.84</v>
      </c>
      <c r="E29" s="12">
        <v>2148</v>
      </c>
      <c r="F29" s="8">
        <v>4.21</v>
      </c>
      <c r="G29" s="12">
        <v>2534</v>
      </c>
      <c r="H29" s="8">
        <v>5.64</v>
      </c>
      <c r="I29" s="12">
        <v>0</v>
      </c>
    </row>
    <row r="30" spans="2:9" ht="15" customHeight="1" x14ac:dyDescent="0.2">
      <c r="B30" t="s">
        <v>77</v>
      </c>
      <c r="C30" s="12">
        <v>4529</v>
      </c>
      <c r="D30" s="8">
        <v>4.6900000000000004</v>
      </c>
      <c r="E30" s="12">
        <v>3215</v>
      </c>
      <c r="F30" s="8">
        <v>6.3</v>
      </c>
      <c r="G30" s="12">
        <v>1302</v>
      </c>
      <c r="H30" s="8">
        <v>2.9</v>
      </c>
      <c r="I30" s="12">
        <v>12</v>
      </c>
    </row>
    <row r="31" spans="2:9" ht="15" customHeight="1" x14ac:dyDescent="0.2">
      <c r="B31" t="s">
        <v>86</v>
      </c>
      <c r="C31" s="12">
        <v>3559</v>
      </c>
      <c r="D31" s="8">
        <v>3.68</v>
      </c>
      <c r="E31" s="12">
        <v>2682</v>
      </c>
      <c r="F31" s="8">
        <v>5.26</v>
      </c>
      <c r="G31" s="12">
        <v>779</v>
      </c>
      <c r="H31" s="8">
        <v>1.73</v>
      </c>
      <c r="I31" s="12">
        <v>21</v>
      </c>
    </row>
    <row r="32" spans="2:9" ht="15" customHeight="1" x14ac:dyDescent="0.2">
      <c r="B32" t="s">
        <v>71</v>
      </c>
      <c r="C32" s="12">
        <v>3469</v>
      </c>
      <c r="D32" s="8">
        <v>3.59</v>
      </c>
      <c r="E32" s="12">
        <v>931</v>
      </c>
      <c r="F32" s="8">
        <v>1.82</v>
      </c>
      <c r="G32" s="12">
        <v>2537</v>
      </c>
      <c r="H32" s="8">
        <v>5.64</v>
      </c>
      <c r="I32" s="12">
        <v>1</v>
      </c>
    </row>
    <row r="33" spans="2:9" ht="15" customHeight="1" x14ac:dyDescent="0.2">
      <c r="B33" t="s">
        <v>78</v>
      </c>
      <c r="C33" s="12">
        <v>3091</v>
      </c>
      <c r="D33" s="8">
        <v>3.2</v>
      </c>
      <c r="E33" s="12">
        <v>1716</v>
      </c>
      <c r="F33" s="8">
        <v>3.36</v>
      </c>
      <c r="G33" s="12">
        <v>1375</v>
      </c>
      <c r="H33" s="8">
        <v>3.06</v>
      </c>
      <c r="I33" s="12">
        <v>0</v>
      </c>
    </row>
    <row r="34" spans="2:9" ht="15" customHeight="1" x14ac:dyDescent="0.2">
      <c r="B34" t="s">
        <v>87</v>
      </c>
      <c r="C34" s="12">
        <v>2919</v>
      </c>
      <c r="D34" s="8">
        <v>3.02</v>
      </c>
      <c r="E34" s="12">
        <v>2561</v>
      </c>
      <c r="F34" s="8">
        <v>5.0199999999999996</v>
      </c>
      <c r="G34" s="12">
        <v>355</v>
      </c>
      <c r="H34" s="8">
        <v>0.79</v>
      </c>
      <c r="I34" s="12">
        <v>1</v>
      </c>
    </row>
    <row r="35" spans="2:9" ht="15" customHeight="1" x14ac:dyDescent="0.2">
      <c r="B35" t="s">
        <v>82</v>
      </c>
      <c r="C35" s="12">
        <v>2573</v>
      </c>
      <c r="D35" s="8">
        <v>2.66</v>
      </c>
      <c r="E35" s="12">
        <v>1721</v>
      </c>
      <c r="F35" s="8">
        <v>3.37</v>
      </c>
      <c r="G35" s="12">
        <v>851</v>
      </c>
      <c r="H35" s="8">
        <v>1.89</v>
      </c>
      <c r="I35" s="12">
        <v>1</v>
      </c>
    </row>
    <row r="36" spans="2:9" ht="15" customHeight="1" x14ac:dyDescent="0.2">
      <c r="B36" t="s">
        <v>76</v>
      </c>
      <c r="C36" s="12">
        <v>2434</v>
      </c>
      <c r="D36" s="8">
        <v>2.52</v>
      </c>
      <c r="E36" s="12">
        <v>1245</v>
      </c>
      <c r="F36" s="8">
        <v>2.44</v>
      </c>
      <c r="G36" s="12">
        <v>1189</v>
      </c>
      <c r="H36" s="8">
        <v>2.64</v>
      </c>
      <c r="I36" s="12">
        <v>0</v>
      </c>
    </row>
    <row r="37" spans="2:9" ht="15" customHeight="1" x14ac:dyDescent="0.2">
      <c r="B37" t="s">
        <v>83</v>
      </c>
      <c r="C37" s="12">
        <v>2063</v>
      </c>
      <c r="D37" s="8">
        <v>2.13</v>
      </c>
      <c r="E37" s="12">
        <v>957</v>
      </c>
      <c r="F37" s="8">
        <v>1.88</v>
      </c>
      <c r="G37" s="12">
        <v>1082</v>
      </c>
      <c r="H37" s="8">
        <v>2.41</v>
      </c>
      <c r="I37" s="12">
        <v>0</v>
      </c>
    </row>
    <row r="38" spans="2:9" ht="15" customHeight="1" x14ac:dyDescent="0.2">
      <c r="B38" t="s">
        <v>75</v>
      </c>
      <c r="C38" s="12">
        <v>1394</v>
      </c>
      <c r="D38" s="8">
        <v>1.44</v>
      </c>
      <c r="E38" s="12">
        <v>165</v>
      </c>
      <c r="F38" s="8">
        <v>0.32</v>
      </c>
      <c r="G38" s="12">
        <v>1229</v>
      </c>
      <c r="H38" s="8">
        <v>2.73</v>
      </c>
      <c r="I38" s="12">
        <v>0</v>
      </c>
    </row>
    <row r="39" spans="2:9" ht="15" customHeight="1" x14ac:dyDescent="0.2">
      <c r="B39" t="s">
        <v>72</v>
      </c>
      <c r="C39" s="12">
        <v>1343</v>
      </c>
      <c r="D39" s="8">
        <v>1.39</v>
      </c>
      <c r="E39" s="12">
        <v>457</v>
      </c>
      <c r="F39" s="8">
        <v>0.9</v>
      </c>
      <c r="G39" s="12">
        <v>886</v>
      </c>
      <c r="H39" s="8">
        <v>1.97</v>
      </c>
      <c r="I39" s="12">
        <v>0</v>
      </c>
    </row>
    <row r="40" spans="2:9" ht="15" customHeight="1" x14ac:dyDescent="0.2">
      <c r="B40" t="s">
        <v>74</v>
      </c>
      <c r="C40" s="12">
        <v>1341</v>
      </c>
      <c r="D40" s="8">
        <v>1.39</v>
      </c>
      <c r="E40" s="12">
        <v>238</v>
      </c>
      <c r="F40" s="8">
        <v>0.47</v>
      </c>
      <c r="G40" s="12">
        <v>1092</v>
      </c>
      <c r="H40" s="8">
        <v>2.4300000000000002</v>
      </c>
      <c r="I40" s="12">
        <v>11</v>
      </c>
    </row>
    <row r="41" spans="2:9" ht="15" customHeight="1" x14ac:dyDescent="0.2">
      <c r="B41" t="s">
        <v>80</v>
      </c>
      <c r="C41" s="12">
        <v>1339</v>
      </c>
      <c r="D41" s="8">
        <v>1.39</v>
      </c>
      <c r="E41" s="12">
        <v>291</v>
      </c>
      <c r="F41" s="8">
        <v>0.56999999999999995</v>
      </c>
      <c r="G41" s="12">
        <v>1048</v>
      </c>
      <c r="H41" s="8">
        <v>2.33</v>
      </c>
      <c r="I41" s="12">
        <v>0</v>
      </c>
    </row>
    <row r="42" spans="2:9" ht="15" customHeight="1" x14ac:dyDescent="0.2">
      <c r="B42" t="s">
        <v>73</v>
      </c>
      <c r="C42" s="12">
        <v>1303</v>
      </c>
      <c r="D42" s="8">
        <v>1.35</v>
      </c>
      <c r="E42" s="12">
        <v>346</v>
      </c>
      <c r="F42" s="8">
        <v>0.68</v>
      </c>
      <c r="G42" s="12">
        <v>957</v>
      </c>
      <c r="H42" s="8">
        <v>2.13</v>
      </c>
      <c r="I42" s="12">
        <v>0</v>
      </c>
    </row>
    <row r="43" spans="2:9" ht="15" customHeight="1" x14ac:dyDescent="0.2">
      <c r="B43" t="s">
        <v>88</v>
      </c>
      <c r="C43" s="12">
        <v>1260</v>
      </c>
      <c r="D43" s="8">
        <v>1.3</v>
      </c>
      <c r="E43" s="12">
        <v>894</v>
      </c>
      <c r="F43" s="8">
        <v>1.75</v>
      </c>
      <c r="G43" s="12">
        <v>366</v>
      </c>
      <c r="H43" s="8">
        <v>0.81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5067</v>
      </c>
      <c r="D47" s="8">
        <v>5.24</v>
      </c>
      <c r="E47" s="12">
        <v>4503</v>
      </c>
      <c r="F47" s="8">
        <v>8.83</v>
      </c>
      <c r="G47" s="12">
        <v>562</v>
      </c>
      <c r="H47" s="8">
        <v>1.25</v>
      </c>
      <c r="I47" s="12">
        <v>2</v>
      </c>
    </row>
    <row r="48" spans="2:9" ht="15" customHeight="1" x14ac:dyDescent="0.2">
      <c r="B48" t="s">
        <v>126</v>
      </c>
      <c r="C48" s="12">
        <v>4468</v>
      </c>
      <c r="D48" s="8">
        <v>4.62</v>
      </c>
      <c r="E48" s="12">
        <v>2740</v>
      </c>
      <c r="F48" s="8">
        <v>5.37</v>
      </c>
      <c r="G48" s="12">
        <v>1723</v>
      </c>
      <c r="H48" s="8">
        <v>3.83</v>
      </c>
      <c r="I48" s="12">
        <v>1</v>
      </c>
    </row>
    <row r="49" spans="2:9" ht="15" customHeight="1" x14ac:dyDescent="0.2">
      <c r="B49" t="s">
        <v>131</v>
      </c>
      <c r="C49" s="12">
        <v>2685</v>
      </c>
      <c r="D49" s="8">
        <v>2.78</v>
      </c>
      <c r="E49" s="12">
        <v>2577</v>
      </c>
      <c r="F49" s="8">
        <v>5.05</v>
      </c>
      <c r="G49" s="12">
        <v>107</v>
      </c>
      <c r="H49" s="8">
        <v>0.24</v>
      </c>
      <c r="I49" s="12">
        <v>1</v>
      </c>
    </row>
    <row r="50" spans="2:9" ht="15" customHeight="1" x14ac:dyDescent="0.2">
      <c r="B50" t="s">
        <v>128</v>
      </c>
      <c r="C50" s="12">
        <v>2554</v>
      </c>
      <c r="D50" s="8">
        <v>2.64</v>
      </c>
      <c r="E50" s="12">
        <v>2106</v>
      </c>
      <c r="F50" s="8">
        <v>4.13</v>
      </c>
      <c r="G50" s="12">
        <v>447</v>
      </c>
      <c r="H50" s="8">
        <v>0.99</v>
      </c>
      <c r="I50" s="12">
        <v>1</v>
      </c>
    </row>
    <row r="51" spans="2:9" ht="15" customHeight="1" x14ac:dyDescent="0.2">
      <c r="B51" t="s">
        <v>129</v>
      </c>
      <c r="C51" s="12">
        <v>2394</v>
      </c>
      <c r="D51" s="8">
        <v>2.48</v>
      </c>
      <c r="E51" s="12">
        <v>2182</v>
      </c>
      <c r="F51" s="8">
        <v>4.28</v>
      </c>
      <c r="G51" s="12">
        <v>212</v>
      </c>
      <c r="H51" s="8">
        <v>0.47</v>
      </c>
      <c r="I51" s="12">
        <v>0</v>
      </c>
    </row>
    <row r="52" spans="2:9" ht="15" customHeight="1" x14ac:dyDescent="0.2">
      <c r="B52" t="s">
        <v>133</v>
      </c>
      <c r="C52" s="12">
        <v>2211</v>
      </c>
      <c r="D52" s="8">
        <v>2.29</v>
      </c>
      <c r="E52" s="12">
        <v>1818</v>
      </c>
      <c r="F52" s="8">
        <v>3.56</v>
      </c>
      <c r="G52" s="12">
        <v>389</v>
      </c>
      <c r="H52" s="8">
        <v>0.87</v>
      </c>
      <c r="I52" s="12">
        <v>4</v>
      </c>
    </row>
    <row r="53" spans="2:9" ht="15" customHeight="1" x14ac:dyDescent="0.2">
      <c r="B53" t="s">
        <v>134</v>
      </c>
      <c r="C53" s="12">
        <v>2130</v>
      </c>
      <c r="D53" s="8">
        <v>2.2000000000000002</v>
      </c>
      <c r="E53" s="12">
        <v>1870</v>
      </c>
      <c r="F53" s="8">
        <v>3.67</v>
      </c>
      <c r="G53" s="12">
        <v>259</v>
      </c>
      <c r="H53" s="8">
        <v>0.57999999999999996</v>
      </c>
      <c r="I53" s="12">
        <v>1</v>
      </c>
    </row>
    <row r="54" spans="2:9" ht="15" customHeight="1" x14ac:dyDescent="0.2">
      <c r="B54" t="s">
        <v>122</v>
      </c>
      <c r="C54" s="12">
        <v>1936</v>
      </c>
      <c r="D54" s="8">
        <v>2</v>
      </c>
      <c r="E54" s="12">
        <v>1027</v>
      </c>
      <c r="F54" s="8">
        <v>2.0099999999999998</v>
      </c>
      <c r="G54" s="12">
        <v>909</v>
      </c>
      <c r="H54" s="8">
        <v>2.02</v>
      </c>
      <c r="I54" s="12">
        <v>0</v>
      </c>
    </row>
    <row r="55" spans="2:9" ht="15" customHeight="1" x14ac:dyDescent="0.2">
      <c r="B55" t="s">
        <v>130</v>
      </c>
      <c r="C55" s="12">
        <v>1867</v>
      </c>
      <c r="D55" s="8">
        <v>1.93</v>
      </c>
      <c r="E55" s="12">
        <v>1716</v>
      </c>
      <c r="F55" s="8">
        <v>3.36</v>
      </c>
      <c r="G55" s="12">
        <v>151</v>
      </c>
      <c r="H55" s="8">
        <v>0.34</v>
      </c>
      <c r="I55" s="12">
        <v>0</v>
      </c>
    </row>
    <row r="56" spans="2:9" ht="15" customHeight="1" x14ac:dyDescent="0.2">
      <c r="B56" t="s">
        <v>121</v>
      </c>
      <c r="C56" s="12">
        <v>1833</v>
      </c>
      <c r="D56" s="8">
        <v>1.9</v>
      </c>
      <c r="E56" s="12">
        <v>1201</v>
      </c>
      <c r="F56" s="8">
        <v>2.35</v>
      </c>
      <c r="G56" s="12">
        <v>626</v>
      </c>
      <c r="H56" s="8">
        <v>1.39</v>
      </c>
      <c r="I56" s="12">
        <v>6</v>
      </c>
    </row>
    <row r="57" spans="2:9" ht="15" customHeight="1" x14ac:dyDescent="0.2">
      <c r="B57" t="s">
        <v>116</v>
      </c>
      <c r="C57" s="12">
        <v>1722</v>
      </c>
      <c r="D57" s="8">
        <v>1.78</v>
      </c>
      <c r="E57" s="12">
        <v>371</v>
      </c>
      <c r="F57" s="8">
        <v>0.73</v>
      </c>
      <c r="G57" s="12">
        <v>1351</v>
      </c>
      <c r="H57" s="8">
        <v>3.01</v>
      </c>
      <c r="I57" s="12">
        <v>0</v>
      </c>
    </row>
    <row r="58" spans="2:9" ht="15" customHeight="1" x14ac:dyDescent="0.2">
      <c r="B58" t="s">
        <v>124</v>
      </c>
      <c r="C58" s="12">
        <v>1714</v>
      </c>
      <c r="D58" s="8">
        <v>1.77</v>
      </c>
      <c r="E58" s="12">
        <v>1060</v>
      </c>
      <c r="F58" s="8">
        <v>2.08</v>
      </c>
      <c r="G58" s="12">
        <v>651</v>
      </c>
      <c r="H58" s="8">
        <v>1.45</v>
      </c>
      <c r="I58" s="12">
        <v>2</v>
      </c>
    </row>
    <row r="59" spans="2:9" ht="15" customHeight="1" x14ac:dyDescent="0.2">
      <c r="B59" t="s">
        <v>118</v>
      </c>
      <c r="C59" s="12">
        <v>1637</v>
      </c>
      <c r="D59" s="8">
        <v>1.69</v>
      </c>
      <c r="E59" s="12">
        <v>847</v>
      </c>
      <c r="F59" s="8">
        <v>1.66</v>
      </c>
      <c r="G59" s="12">
        <v>790</v>
      </c>
      <c r="H59" s="8">
        <v>1.76</v>
      </c>
      <c r="I59" s="12">
        <v>0</v>
      </c>
    </row>
    <row r="60" spans="2:9" ht="15" customHeight="1" x14ac:dyDescent="0.2">
      <c r="B60" t="s">
        <v>125</v>
      </c>
      <c r="C60" s="12">
        <v>1559</v>
      </c>
      <c r="D60" s="8">
        <v>1.61</v>
      </c>
      <c r="E60" s="12">
        <v>344</v>
      </c>
      <c r="F60" s="8">
        <v>0.67</v>
      </c>
      <c r="G60" s="12">
        <v>1215</v>
      </c>
      <c r="H60" s="8">
        <v>2.7</v>
      </c>
      <c r="I60" s="12">
        <v>0</v>
      </c>
    </row>
    <row r="61" spans="2:9" ht="15" customHeight="1" x14ac:dyDescent="0.2">
      <c r="B61" t="s">
        <v>119</v>
      </c>
      <c r="C61" s="12">
        <v>1465</v>
      </c>
      <c r="D61" s="8">
        <v>1.52</v>
      </c>
      <c r="E61" s="12">
        <v>479</v>
      </c>
      <c r="F61" s="8">
        <v>0.94</v>
      </c>
      <c r="G61" s="12">
        <v>986</v>
      </c>
      <c r="H61" s="8">
        <v>2.19</v>
      </c>
      <c r="I61" s="12">
        <v>0</v>
      </c>
    </row>
    <row r="62" spans="2:9" ht="15" customHeight="1" x14ac:dyDescent="0.2">
      <c r="B62" t="s">
        <v>120</v>
      </c>
      <c r="C62" s="12">
        <v>1374</v>
      </c>
      <c r="D62" s="8">
        <v>1.42</v>
      </c>
      <c r="E62" s="12">
        <v>392</v>
      </c>
      <c r="F62" s="8">
        <v>0.77</v>
      </c>
      <c r="G62" s="12">
        <v>981</v>
      </c>
      <c r="H62" s="8">
        <v>2.1800000000000002</v>
      </c>
      <c r="I62" s="12">
        <v>1</v>
      </c>
    </row>
    <row r="63" spans="2:9" ht="15" customHeight="1" x14ac:dyDescent="0.2">
      <c r="B63" t="s">
        <v>117</v>
      </c>
      <c r="C63" s="12">
        <v>1339</v>
      </c>
      <c r="D63" s="8">
        <v>1.39</v>
      </c>
      <c r="E63" s="12">
        <v>274</v>
      </c>
      <c r="F63" s="8">
        <v>0.54</v>
      </c>
      <c r="G63" s="12">
        <v>1065</v>
      </c>
      <c r="H63" s="8">
        <v>2.37</v>
      </c>
      <c r="I63" s="12">
        <v>0</v>
      </c>
    </row>
    <row r="64" spans="2:9" ht="15" customHeight="1" x14ac:dyDescent="0.2">
      <c r="B64" t="s">
        <v>123</v>
      </c>
      <c r="C64" s="12">
        <v>1315</v>
      </c>
      <c r="D64" s="8">
        <v>1.36</v>
      </c>
      <c r="E64" s="12">
        <v>508</v>
      </c>
      <c r="F64" s="8">
        <v>1</v>
      </c>
      <c r="G64" s="12">
        <v>807</v>
      </c>
      <c r="H64" s="8">
        <v>1.8</v>
      </c>
      <c r="I64" s="12">
        <v>0</v>
      </c>
    </row>
    <row r="65" spans="2:9" ht="15" customHeight="1" x14ac:dyDescent="0.2">
      <c r="B65" t="s">
        <v>127</v>
      </c>
      <c r="C65" s="12">
        <v>1261</v>
      </c>
      <c r="D65" s="8">
        <v>1.3</v>
      </c>
      <c r="E65" s="12">
        <v>599</v>
      </c>
      <c r="F65" s="8">
        <v>1.17</v>
      </c>
      <c r="G65" s="12">
        <v>638</v>
      </c>
      <c r="H65" s="8">
        <v>1.42</v>
      </c>
      <c r="I65" s="12">
        <v>0</v>
      </c>
    </row>
    <row r="66" spans="2:9" ht="15" customHeight="1" x14ac:dyDescent="0.2">
      <c r="B66" t="s">
        <v>135</v>
      </c>
      <c r="C66" s="12">
        <v>1258</v>
      </c>
      <c r="D66" s="8">
        <v>1.3</v>
      </c>
      <c r="E66" s="12">
        <v>894</v>
      </c>
      <c r="F66" s="8">
        <v>1.75</v>
      </c>
      <c r="G66" s="12">
        <v>364</v>
      </c>
      <c r="H66" s="8">
        <v>0.81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09C6F-6062-4300-9E91-BFA52782BDB8}">
  <sheetPr>
    <pageSetUpPr fitToPage="1"/>
  </sheetPr>
  <dimension ref="B2:I73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239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105</v>
      </c>
      <c r="D6" s="8">
        <v>22.25</v>
      </c>
      <c r="E6" s="12">
        <v>52</v>
      </c>
      <c r="F6" s="8">
        <v>17.63</v>
      </c>
      <c r="G6" s="12">
        <v>53</v>
      </c>
      <c r="H6" s="8">
        <v>31.36</v>
      </c>
      <c r="I6" s="12">
        <v>0</v>
      </c>
    </row>
    <row r="7" spans="2:9" ht="15" customHeight="1" x14ac:dyDescent="0.2">
      <c r="B7" t="s">
        <v>48</v>
      </c>
      <c r="C7" s="12">
        <v>62</v>
      </c>
      <c r="D7" s="8">
        <v>13.14</v>
      </c>
      <c r="E7" s="12">
        <v>27</v>
      </c>
      <c r="F7" s="8">
        <v>9.15</v>
      </c>
      <c r="G7" s="12">
        <v>35</v>
      </c>
      <c r="H7" s="8">
        <v>20.71</v>
      </c>
      <c r="I7" s="12">
        <v>0</v>
      </c>
    </row>
    <row r="8" spans="2:9" ht="15" customHeight="1" x14ac:dyDescent="0.2">
      <c r="B8" t="s">
        <v>49</v>
      </c>
      <c r="C8" s="12">
        <v>0</v>
      </c>
      <c r="D8" s="8">
        <v>0</v>
      </c>
      <c r="E8" s="12">
        <v>0</v>
      </c>
      <c r="F8" s="8">
        <v>0</v>
      </c>
      <c r="G8" s="12">
        <v>0</v>
      </c>
      <c r="H8" s="8">
        <v>0</v>
      </c>
      <c r="I8" s="12">
        <v>0</v>
      </c>
    </row>
    <row r="9" spans="2:9" ht="15" customHeight="1" x14ac:dyDescent="0.2">
      <c r="B9" t="s">
        <v>50</v>
      </c>
      <c r="C9" s="12">
        <v>3</v>
      </c>
      <c r="D9" s="8">
        <v>0.64</v>
      </c>
      <c r="E9" s="12">
        <v>1</v>
      </c>
      <c r="F9" s="8">
        <v>0.34</v>
      </c>
      <c r="G9" s="12">
        <v>2</v>
      </c>
      <c r="H9" s="8">
        <v>1.18</v>
      </c>
      <c r="I9" s="12">
        <v>0</v>
      </c>
    </row>
    <row r="10" spans="2:9" ht="15" customHeight="1" x14ac:dyDescent="0.2">
      <c r="B10" t="s">
        <v>51</v>
      </c>
      <c r="C10" s="12">
        <v>4</v>
      </c>
      <c r="D10" s="8">
        <v>0.85</v>
      </c>
      <c r="E10" s="12">
        <v>1</v>
      </c>
      <c r="F10" s="8">
        <v>0.34</v>
      </c>
      <c r="G10" s="12">
        <v>3</v>
      </c>
      <c r="H10" s="8">
        <v>1.78</v>
      </c>
      <c r="I10" s="12">
        <v>0</v>
      </c>
    </row>
    <row r="11" spans="2:9" ht="15" customHeight="1" x14ac:dyDescent="0.2">
      <c r="B11" t="s">
        <v>52</v>
      </c>
      <c r="C11" s="12">
        <v>122</v>
      </c>
      <c r="D11" s="8">
        <v>25.85</v>
      </c>
      <c r="E11" s="12">
        <v>76</v>
      </c>
      <c r="F11" s="8">
        <v>25.76</v>
      </c>
      <c r="G11" s="12">
        <v>45</v>
      </c>
      <c r="H11" s="8">
        <v>26.63</v>
      </c>
      <c r="I11" s="12">
        <v>1</v>
      </c>
    </row>
    <row r="12" spans="2:9" ht="15" customHeight="1" x14ac:dyDescent="0.2">
      <c r="B12" t="s">
        <v>53</v>
      </c>
      <c r="C12" s="12">
        <v>3</v>
      </c>
      <c r="D12" s="8">
        <v>0.64</v>
      </c>
      <c r="E12" s="12">
        <v>0</v>
      </c>
      <c r="F12" s="8">
        <v>0</v>
      </c>
      <c r="G12" s="12">
        <v>3</v>
      </c>
      <c r="H12" s="8">
        <v>1.78</v>
      </c>
      <c r="I12" s="12">
        <v>0</v>
      </c>
    </row>
    <row r="13" spans="2:9" ht="15" customHeight="1" x14ac:dyDescent="0.2">
      <c r="B13" t="s">
        <v>54</v>
      </c>
      <c r="C13" s="12">
        <v>15</v>
      </c>
      <c r="D13" s="8">
        <v>3.18</v>
      </c>
      <c r="E13" s="12">
        <v>6</v>
      </c>
      <c r="F13" s="8">
        <v>2.0299999999999998</v>
      </c>
      <c r="G13" s="12">
        <v>8</v>
      </c>
      <c r="H13" s="8">
        <v>4.7300000000000004</v>
      </c>
      <c r="I13" s="12">
        <v>0</v>
      </c>
    </row>
    <row r="14" spans="2:9" ht="15" customHeight="1" x14ac:dyDescent="0.2">
      <c r="B14" t="s">
        <v>55</v>
      </c>
      <c r="C14" s="12">
        <v>21</v>
      </c>
      <c r="D14" s="8">
        <v>4.45</v>
      </c>
      <c r="E14" s="12">
        <v>14</v>
      </c>
      <c r="F14" s="8">
        <v>4.75</v>
      </c>
      <c r="G14" s="12">
        <v>7</v>
      </c>
      <c r="H14" s="8">
        <v>4.1399999999999997</v>
      </c>
      <c r="I14" s="12">
        <v>0</v>
      </c>
    </row>
    <row r="15" spans="2:9" ht="15" customHeight="1" x14ac:dyDescent="0.2">
      <c r="B15" t="s">
        <v>56</v>
      </c>
      <c r="C15" s="12">
        <v>27</v>
      </c>
      <c r="D15" s="8">
        <v>5.72</v>
      </c>
      <c r="E15" s="12">
        <v>25</v>
      </c>
      <c r="F15" s="8">
        <v>8.4700000000000006</v>
      </c>
      <c r="G15" s="12">
        <v>2</v>
      </c>
      <c r="H15" s="8">
        <v>1.18</v>
      </c>
      <c r="I15" s="12">
        <v>0</v>
      </c>
    </row>
    <row r="16" spans="2:9" ht="15" customHeight="1" x14ac:dyDescent="0.2">
      <c r="B16" t="s">
        <v>57</v>
      </c>
      <c r="C16" s="12">
        <v>54</v>
      </c>
      <c r="D16" s="8">
        <v>11.44</v>
      </c>
      <c r="E16" s="12">
        <v>49</v>
      </c>
      <c r="F16" s="8">
        <v>16.61</v>
      </c>
      <c r="G16" s="12">
        <v>4</v>
      </c>
      <c r="H16" s="8">
        <v>2.37</v>
      </c>
      <c r="I16" s="12">
        <v>0</v>
      </c>
    </row>
    <row r="17" spans="2:9" ht="15" customHeight="1" x14ac:dyDescent="0.2">
      <c r="B17" t="s">
        <v>58</v>
      </c>
      <c r="C17" s="12">
        <v>19</v>
      </c>
      <c r="D17" s="8">
        <v>4.03</v>
      </c>
      <c r="E17" s="12">
        <v>18</v>
      </c>
      <c r="F17" s="8">
        <v>6.1</v>
      </c>
      <c r="G17" s="12">
        <v>0</v>
      </c>
      <c r="H17" s="8">
        <v>0</v>
      </c>
      <c r="I17" s="12">
        <v>0</v>
      </c>
    </row>
    <row r="18" spans="2:9" ht="15" customHeight="1" x14ac:dyDescent="0.2">
      <c r="B18" t="s">
        <v>59</v>
      </c>
      <c r="C18" s="12">
        <v>23</v>
      </c>
      <c r="D18" s="8">
        <v>4.87</v>
      </c>
      <c r="E18" s="12">
        <v>18</v>
      </c>
      <c r="F18" s="8">
        <v>6.1</v>
      </c>
      <c r="G18" s="12">
        <v>3</v>
      </c>
      <c r="H18" s="8">
        <v>1.78</v>
      </c>
      <c r="I18" s="12">
        <v>2</v>
      </c>
    </row>
    <row r="19" spans="2:9" ht="15" customHeight="1" x14ac:dyDescent="0.2">
      <c r="B19" t="s">
        <v>60</v>
      </c>
      <c r="C19" s="12">
        <v>14</v>
      </c>
      <c r="D19" s="8">
        <v>2.97</v>
      </c>
      <c r="E19" s="12">
        <v>8</v>
      </c>
      <c r="F19" s="8">
        <v>2.71</v>
      </c>
      <c r="G19" s="12">
        <v>4</v>
      </c>
      <c r="H19" s="8">
        <v>2.37</v>
      </c>
      <c r="I19" s="12">
        <v>0</v>
      </c>
    </row>
    <row r="20" spans="2:9" ht="15" customHeight="1" x14ac:dyDescent="0.2">
      <c r="B20" s="9" t="s">
        <v>191</v>
      </c>
      <c r="C20" s="12">
        <f>SUM(LTBL_22461[総数／事業所数])</f>
        <v>472</v>
      </c>
      <c r="E20" s="12">
        <f>SUBTOTAL(109,LTBL_22461[個人／事業所数])</f>
        <v>295</v>
      </c>
      <c r="G20" s="12">
        <f>SUBTOTAL(109,LTBL_22461[法人／事業所数])</f>
        <v>169</v>
      </c>
      <c r="I20" s="12">
        <f>SUBTOTAL(109,LTBL_22461[法人以外の団体／事業所数])</f>
        <v>3</v>
      </c>
    </row>
    <row r="21" spans="2:9" ht="15" customHeight="1" x14ac:dyDescent="0.2">
      <c r="E21" s="11">
        <f>LTBL_22461[[#Totals],[個人／事業所数]]/LTBL_22461[[#Totals],[総数／事業所数]]</f>
        <v>0.625</v>
      </c>
      <c r="G21" s="11">
        <f>LTBL_22461[[#Totals],[法人／事業所数]]/LTBL_22461[[#Totals],[総数／事業所数]]</f>
        <v>0.35805084745762711</v>
      </c>
      <c r="I21" s="11">
        <f>LTBL_22461[[#Totals],[法人以外の団体／事業所数]]/LTBL_22461[[#Totals],[総数／事業所数]]</f>
        <v>6.3559322033898309E-3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69</v>
      </c>
      <c r="C24" s="12">
        <v>53</v>
      </c>
      <c r="D24" s="8">
        <v>11.23</v>
      </c>
      <c r="E24" s="12">
        <v>22</v>
      </c>
      <c r="F24" s="8">
        <v>7.46</v>
      </c>
      <c r="G24" s="12">
        <v>31</v>
      </c>
      <c r="H24" s="8">
        <v>18.34</v>
      </c>
      <c r="I24" s="12">
        <v>0</v>
      </c>
    </row>
    <row r="25" spans="2:9" ht="15" customHeight="1" x14ac:dyDescent="0.2">
      <c r="B25" t="s">
        <v>85</v>
      </c>
      <c r="C25" s="12">
        <v>48</v>
      </c>
      <c r="D25" s="8">
        <v>10.17</v>
      </c>
      <c r="E25" s="12">
        <v>46</v>
      </c>
      <c r="F25" s="8">
        <v>15.59</v>
      </c>
      <c r="G25" s="12">
        <v>2</v>
      </c>
      <c r="H25" s="8">
        <v>1.18</v>
      </c>
      <c r="I25" s="12">
        <v>0</v>
      </c>
    </row>
    <row r="26" spans="2:9" ht="15" customHeight="1" x14ac:dyDescent="0.2">
      <c r="B26" t="s">
        <v>79</v>
      </c>
      <c r="C26" s="12">
        <v>38</v>
      </c>
      <c r="D26" s="8">
        <v>8.0500000000000007</v>
      </c>
      <c r="E26" s="12">
        <v>24</v>
      </c>
      <c r="F26" s="8">
        <v>8.14</v>
      </c>
      <c r="G26" s="12">
        <v>13</v>
      </c>
      <c r="H26" s="8">
        <v>7.69</v>
      </c>
      <c r="I26" s="12">
        <v>1</v>
      </c>
    </row>
    <row r="27" spans="2:9" ht="15" customHeight="1" x14ac:dyDescent="0.2">
      <c r="B27" t="s">
        <v>77</v>
      </c>
      <c r="C27" s="12">
        <v>37</v>
      </c>
      <c r="D27" s="8">
        <v>7.84</v>
      </c>
      <c r="E27" s="12">
        <v>29</v>
      </c>
      <c r="F27" s="8">
        <v>9.83</v>
      </c>
      <c r="G27" s="12">
        <v>8</v>
      </c>
      <c r="H27" s="8">
        <v>4.7300000000000004</v>
      </c>
      <c r="I27" s="12">
        <v>0</v>
      </c>
    </row>
    <row r="28" spans="2:9" ht="15" customHeight="1" x14ac:dyDescent="0.2">
      <c r="B28" t="s">
        <v>70</v>
      </c>
      <c r="C28" s="12">
        <v>31</v>
      </c>
      <c r="D28" s="8">
        <v>6.57</v>
      </c>
      <c r="E28" s="12">
        <v>19</v>
      </c>
      <c r="F28" s="8">
        <v>6.44</v>
      </c>
      <c r="G28" s="12">
        <v>12</v>
      </c>
      <c r="H28" s="8">
        <v>7.1</v>
      </c>
      <c r="I28" s="12">
        <v>0</v>
      </c>
    </row>
    <row r="29" spans="2:9" ht="15" customHeight="1" x14ac:dyDescent="0.2">
      <c r="B29" t="s">
        <v>84</v>
      </c>
      <c r="C29" s="12">
        <v>24</v>
      </c>
      <c r="D29" s="8">
        <v>5.08</v>
      </c>
      <c r="E29" s="12">
        <v>23</v>
      </c>
      <c r="F29" s="8">
        <v>7.8</v>
      </c>
      <c r="G29" s="12">
        <v>1</v>
      </c>
      <c r="H29" s="8">
        <v>0.59</v>
      </c>
      <c r="I29" s="12">
        <v>0</v>
      </c>
    </row>
    <row r="30" spans="2:9" ht="15" customHeight="1" x14ac:dyDescent="0.2">
      <c r="B30" t="s">
        <v>71</v>
      </c>
      <c r="C30" s="12">
        <v>21</v>
      </c>
      <c r="D30" s="8">
        <v>4.45</v>
      </c>
      <c r="E30" s="12">
        <v>11</v>
      </c>
      <c r="F30" s="8">
        <v>3.73</v>
      </c>
      <c r="G30" s="12">
        <v>10</v>
      </c>
      <c r="H30" s="8">
        <v>5.92</v>
      </c>
      <c r="I30" s="12">
        <v>0</v>
      </c>
    </row>
    <row r="31" spans="2:9" ht="15" customHeight="1" x14ac:dyDescent="0.2">
      <c r="B31" t="s">
        <v>86</v>
      </c>
      <c r="C31" s="12">
        <v>19</v>
      </c>
      <c r="D31" s="8">
        <v>4.03</v>
      </c>
      <c r="E31" s="12">
        <v>18</v>
      </c>
      <c r="F31" s="8">
        <v>6.1</v>
      </c>
      <c r="G31" s="12">
        <v>0</v>
      </c>
      <c r="H31" s="8">
        <v>0</v>
      </c>
      <c r="I31" s="12">
        <v>0</v>
      </c>
    </row>
    <row r="32" spans="2:9" ht="15" customHeight="1" x14ac:dyDescent="0.2">
      <c r="B32" t="s">
        <v>87</v>
      </c>
      <c r="C32" s="12">
        <v>18</v>
      </c>
      <c r="D32" s="8">
        <v>3.81</v>
      </c>
      <c r="E32" s="12">
        <v>18</v>
      </c>
      <c r="F32" s="8">
        <v>6.1</v>
      </c>
      <c r="G32" s="12">
        <v>0</v>
      </c>
      <c r="H32" s="8">
        <v>0</v>
      </c>
      <c r="I32" s="12">
        <v>0</v>
      </c>
    </row>
    <row r="33" spans="2:9" ht="15" customHeight="1" x14ac:dyDescent="0.2">
      <c r="B33" t="s">
        <v>78</v>
      </c>
      <c r="C33" s="12">
        <v>13</v>
      </c>
      <c r="D33" s="8">
        <v>2.75</v>
      </c>
      <c r="E33" s="12">
        <v>6</v>
      </c>
      <c r="F33" s="8">
        <v>2.0299999999999998</v>
      </c>
      <c r="G33" s="12">
        <v>7</v>
      </c>
      <c r="H33" s="8">
        <v>4.1399999999999997</v>
      </c>
      <c r="I33" s="12">
        <v>0</v>
      </c>
    </row>
    <row r="34" spans="2:9" ht="15" customHeight="1" x14ac:dyDescent="0.2">
      <c r="B34" t="s">
        <v>81</v>
      </c>
      <c r="C34" s="12">
        <v>12</v>
      </c>
      <c r="D34" s="8">
        <v>2.54</v>
      </c>
      <c r="E34" s="12">
        <v>6</v>
      </c>
      <c r="F34" s="8">
        <v>2.0299999999999998</v>
      </c>
      <c r="G34" s="12">
        <v>5</v>
      </c>
      <c r="H34" s="8">
        <v>2.96</v>
      </c>
      <c r="I34" s="12">
        <v>0</v>
      </c>
    </row>
    <row r="35" spans="2:9" ht="15" customHeight="1" x14ac:dyDescent="0.2">
      <c r="B35" t="s">
        <v>83</v>
      </c>
      <c r="C35" s="12">
        <v>11</v>
      </c>
      <c r="D35" s="8">
        <v>2.33</v>
      </c>
      <c r="E35" s="12">
        <v>6</v>
      </c>
      <c r="F35" s="8">
        <v>2.0299999999999998</v>
      </c>
      <c r="G35" s="12">
        <v>5</v>
      </c>
      <c r="H35" s="8">
        <v>2.96</v>
      </c>
      <c r="I35" s="12">
        <v>0</v>
      </c>
    </row>
    <row r="36" spans="2:9" ht="15" customHeight="1" x14ac:dyDescent="0.2">
      <c r="B36" t="s">
        <v>82</v>
      </c>
      <c r="C36" s="12">
        <v>10</v>
      </c>
      <c r="D36" s="8">
        <v>2.12</v>
      </c>
      <c r="E36" s="12">
        <v>8</v>
      </c>
      <c r="F36" s="8">
        <v>2.71</v>
      </c>
      <c r="G36" s="12">
        <v>2</v>
      </c>
      <c r="H36" s="8">
        <v>1.18</v>
      </c>
      <c r="I36" s="12">
        <v>0</v>
      </c>
    </row>
    <row r="37" spans="2:9" ht="15" customHeight="1" x14ac:dyDescent="0.2">
      <c r="B37" t="s">
        <v>97</v>
      </c>
      <c r="C37" s="12">
        <v>9</v>
      </c>
      <c r="D37" s="8">
        <v>1.91</v>
      </c>
      <c r="E37" s="12">
        <v>4</v>
      </c>
      <c r="F37" s="8">
        <v>1.36</v>
      </c>
      <c r="G37" s="12">
        <v>5</v>
      </c>
      <c r="H37" s="8">
        <v>2.96</v>
      </c>
      <c r="I37" s="12">
        <v>0</v>
      </c>
    </row>
    <row r="38" spans="2:9" ht="15" customHeight="1" x14ac:dyDescent="0.2">
      <c r="B38" t="s">
        <v>74</v>
      </c>
      <c r="C38" s="12">
        <v>9</v>
      </c>
      <c r="D38" s="8">
        <v>1.91</v>
      </c>
      <c r="E38" s="12">
        <v>4</v>
      </c>
      <c r="F38" s="8">
        <v>1.36</v>
      </c>
      <c r="G38" s="12">
        <v>5</v>
      </c>
      <c r="H38" s="8">
        <v>2.96</v>
      </c>
      <c r="I38" s="12">
        <v>0</v>
      </c>
    </row>
    <row r="39" spans="2:9" ht="15" customHeight="1" x14ac:dyDescent="0.2">
      <c r="B39" t="s">
        <v>72</v>
      </c>
      <c r="C39" s="12">
        <v>8</v>
      </c>
      <c r="D39" s="8">
        <v>1.69</v>
      </c>
      <c r="E39" s="12">
        <v>2</v>
      </c>
      <c r="F39" s="8">
        <v>0.68</v>
      </c>
      <c r="G39" s="12">
        <v>6</v>
      </c>
      <c r="H39" s="8">
        <v>3.55</v>
      </c>
      <c r="I39" s="12">
        <v>0</v>
      </c>
    </row>
    <row r="40" spans="2:9" ht="15" customHeight="1" x14ac:dyDescent="0.2">
      <c r="B40" t="s">
        <v>76</v>
      </c>
      <c r="C40" s="12">
        <v>8</v>
      </c>
      <c r="D40" s="8">
        <v>1.69</v>
      </c>
      <c r="E40" s="12">
        <v>6</v>
      </c>
      <c r="F40" s="8">
        <v>2.0299999999999998</v>
      </c>
      <c r="G40" s="12">
        <v>2</v>
      </c>
      <c r="H40" s="8">
        <v>1.18</v>
      </c>
      <c r="I40" s="12">
        <v>0</v>
      </c>
    </row>
    <row r="41" spans="2:9" ht="15" customHeight="1" x14ac:dyDescent="0.2">
      <c r="B41" t="s">
        <v>100</v>
      </c>
      <c r="C41" s="12">
        <v>6</v>
      </c>
      <c r="D41" s="8">
        <v>1.27</v>
      </c>
      <c r="E41" s="12">
        <v>5</v>
      </c>
      <c r="F41" s="8">
        <v>1.69</v>
      </c>
      <c r="G41" s="12">
        <v>1</v>
      </c>
      <c r="H41" s="8">
        <v>0.59</v>
      </c>
      <c r="I41" s="12">
        <v>0</v>
      </c>
    </row>
    <row r="42" spans="2:9" ht="15" customHeight="1" x14ac:dyDescent="0.2">
      <c r="B42" t="s">
        <v>98</v>
      </c>
      <c r="C42" s="12">
        <v>6</v>
      </c>
      <c r="D42" s="8">
        <v>1.27</v>
      </c>
      <c r="E42" s="12">
        <v>1</v>
      </c>
      <c r="F42" s="8">
        <v>0.34</v>
      </c>
      <c r="G42" s="12">
        <v>5</v>
      </c>
      <c r="H42" s="8">
        <v>2.96</v>
      </c>
      <c r="I42" s="12">
        <v>0</v>
      </c>
    </row>
    <row r="43" spans="2:9" ht="15" customHeight="1" x14ac:dyDescent="0.2">
      <c r="B43" t="s">
        <v>88</v>
      </c>
      <c r="C43" s="12">
        <v>6</v>
      </c>
      <c r="D43" s="8">
        <v>1.27</v>
      </c>
      <c r="E43" s="12">
        <v>5</v>
      </c>
      <c r="F43" s="8">
        <v>1.69</v>
      </c>
      <c r="G43" s="12">
        <v>1</v>
      </c>
      <c r="H43" s="8">
        <v>0.59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24</v>
      </c>
      <c r="D47" s="8">
        <v>5.08</v>
      </c>
      <c r="E47" s="12">
        <v>24</v>
      </c>
      <c r="F47" s="8">
        <v>8.14</v>
      </c>
      <c r="G47" s="12">
        <v>0</v>
      </c>
      <c r="H47" s="8">
        <v>0</v>
      </c>
      <c r="I47" s="12">
        <v>0</v>
      </c>
    </row>
    <row r="48" spans="2:9" ht="15" customHeight="1" x14ac:dyDescent="0.2">
      <c r="B48" t="s">
        <v>118</v>
      </c>
      <c r="C48" s="12">
        <v>23</v>
      </c>
      <c r="D48" s="8">
        <v>4.87</v>
      </c>
      <c r="E48" s="12">
        <v>16</v>
      </c>
      <c r="F48" s="8">
        <v>5.42</v>
      </c>
      <c r="G48" s="12">
        <v>7</v>
      </c>
      <c r="H48" s="8">
        <v>4.1399999999999997</v>
      </c>
      <c r="I48" s="12">
        <v>0</v>
      </c>
    </row>
    <row r="49" spans="2:9" ht="15" customHeight="1" x14ac:dyDescent="0.2">
      <c r="B49" t="s">
        <v>121</v>
      </c>
      <c r="C49" s="12">
        <v>18</v>
      </c>
      <c r="D49" s="8">
        <v>3.81</v>
      </c>
      <c r="E49" s="12">
        <v>13</v>
      </c>
      <c r="F49" s="8">
        <v>4.41</v>
      </c>
      <c r="G49" s="12">
        <v>5</v>
      </c>
      <c r="H49" s="8">
        <v>2.96</v>
      </c>
      <c r="I49" s="12">
        <v>0</v>
      </c>
    </row>
    <row r="50" spans="2:9" ht="15" customHeight="1" x14ac:dyDescent="0.2">
      <c r="B50" t="s">
        <v>131</v>
      </c>
      <c r="C50" s="12">
        <v>18</v>
      </c>
      <c r="D50" s="8">
        <v>3.81</v>
      </c>
      <c r="E50" s="12">
        <v>18</v>
      </c>
      <c r="F50" s="8">
        <v>6.1</v>
      </c>
      <c r="G50" s="12">
        <v>0</v>
      </c>
      <c r="H50" s="8">
        <v>0</v>
      </c>
      <c r="I50" s="12">
        <v>0</v>
      </c>
    </row>
    <row r="51" spans="2:9" ht="15" customHeight="1" x14ac:dyDescent="0.2">
      <c r="B51" t="s">
        <v>116</v>
      </c>
      <c r="C51" s="12">
        <v>14</v>
      </c>
      <c r="D51" s="8">
        <v>2.97</v>
      </c>
      <c r="E51" s="12">
        <v>2</v>
      </c>
      <c r="F51" s="8">
        <v>0.68</v>
      </c>
      <c r="G51" s="12">
        <v>12</v>
      </c>
      <c r="H51" s="8">
        <v>7.1</v>
      </c>
      <c r="I51" s="12">
        <v>0</v>
      </c>
    </row>
    <row r="52" spans="2:9" ht="15" customHeight="1" x14ac:dyDescent="0.2">
      <c r="B52" t="s">
        <v>133</v>
      </c>
      <c r="C52" s="12">
        <v>14</v>
      </c>
      <c r="D52" s="8">
        <v>2.97</v>
      </c>
      <c r="E52" s="12">
        <v>14</v>
      </c>
      <c r="F52" s="8">
        <v>4.75</v>
      </c>
      <c r="G52" s="12">
        <v>0</v>
      </c>
      <c r="H52" s="8">
        <v>0</v>
      </c>
      <c r="I52" s="12">
        <v>0</v>
      </c>
    </row>
    <row r="53" spans="2:9" ht="15" customHeight="1" x14ac:dyDescent="0.2">
      <c r="B53" t="s">
        <v>134</v>
      </c>
      <c r="C53" s="12">
        <v>13</v>
      </c>
      <c r="D53" s="8">
        <v>2.75</v>
      </c>
      <c r="E53" s="12">
        <v>13</v>
      </c>
      <c r="F53" s="8">
        <v>4.41</v>
      </c>
      <c r="G53" s="12">
        <v>0</v>
      </c>
      <c r="H53" s="8">
        <v>0</v>
      </c>
      <c r="I53" s="12">
        <v>0</v>
      </c>
    </row>
    <row r="54" spans="2:9" ht="15" customHeight="1" x14ac:dyDescent="0.2">
      <c r="B54" t="s">
        <v>119</v>
      </c>
      <c r="C54" s="12">
        <v>10</v>
      </c>
      <c r="D54" s="8">
        <v>2.12</v>
      </c>
      <c r="E54" s="12">
        <v>5</v>
      </c>
      <c r="F54" s="8">
        <v>1.69</v>
      </c>
      <c r="G54" s="12">
        <v>5</v>
      </c>
      <c r="H54" s="8">
        <v>2.96</v>
      </c>
      <c r="I54" s="12">
        <v>0</v>
      </c>
    </row>
    <row r="55" spans="2:9" ht="15" customHeight="1" x14ac:dyDescent="0.2">
      <c r="B55" t="s">
        <v>136</v>
      </c>
      <c r="C55" s="12">
        <v>10</v>
      </c>
      <c r="D55" s="8">
        <v>2.12</v>
      </c>
      <c r="E55" s="12">
        <v>9</v>
      </c>
      <c r="F55" s="8">
        <v>3.05</v>
      </c>
      <c r="G55" s="12">
        <v>1</v>
      </c>
      <c r="H55" s="8">
        <v>0.59</v>
      </c>
      <c r="I55" s="12">
        <v>0</v>
      </c>
    </row>
    <row r="56" spans="2:9" ht="15" customHeight="1" x14ac:dyDescent="0.2">
      <c r="B56" t="s">
        <v>126</v>
      </c>
      <c r="C56" s="12">
        <v>10</v>
      </c>
      <c r="D56" s="8">
        <v>2.12</v>
      </c>
      <c r="E56" s="12">
        <v>5</v>
      </c>
      <c r="F56" s="8">
        <v>1.69</v>
      </c>
      <c r="G56" s="12">
        <v>4</v>
      </c>
      <c r="H56" s="8">
        <v>2.37</v>
      </c>
      <c r="I56" s="12">
        <v>0</v>
      </c>
    </row>
    <row r="57" spans="2:9" ht="15" customHeight="1" x14ac:dyDescent="0.2">
      <c r="B57" t="s">
        <v>117</v>
      </c>
      <c r="C57" s="12">
        <v>9</v>
      </c>
      <c r="D57" s="8">
        <v>1.91</v>
      </c>
      <c r="E57" s="12">
        <v>1</v>
      </c>
      <c r="F57" s="8">
        <v>0.34</v>
      </c>
      <c r="G57" s="12">
        <v>8</v>
      </c>
      <c r="H57" s="8">
        <v>4.7300000000000004</v>
      </c>
      <c r="I57" s="12">
        <v>0</v>
      </c>
    </row>
    <row r="58" spans="2:9" ht="15" customHeight="1" x14ac:dyDescent="0.2">
      <c r="B58" t="s">
        <v>157</v>
      </c>
      <c r="C58" s="12">
        <v>9</v>
      </c>
      <c r="D58" s="8">
        <v>1.91</v>
      </c>
      <c r="E58" s="12">
        <v>4</v>
      </c>
      <c r="F58" s="8">
        <v>1.36</v>
      </c>
      <c r="G58" s="12">
        <v>5</v>
      </c>
      <c r="H58" s="8">
        <v>2.96</v>
      </c>
      <c r="I58" s="12">
        <v>0</v>
      </c>
    </row>
    <row r="59" spans="2:9" ht="15" customHeight="1" x14ac:dyDescent="0.2">
      <c r="B59" t="s">
        <v>179</v>
      </c>
      <c r="C59" s="12">
        <v>8</v>
      </c>
      <c r="D59" s="8">
        <v>1.69</v>
      </c>
      <c r="E59" s="12">
        <v>4</v>
      </c>
      <c r="F59" s="8">
        <v>1.36</v>
      </c>
      <c r="G59" s="12">
        <v>4</v>
      </c>
      <c r="H59" s="8">
        <v>2.37</v>
      </c>
      <c r="I59" s="12">
        <v>0</v>
      </c>
    </row>
    <row r="60" spans="2:9" ht="15" customHeight="1" x14ac:dyDescent="0.2">
      <c r="B60" t="s">
        <v>159</v>
      </c>
      <c r="C60" s="12">
        <v>8</v>
      </c>
      <c r="D60" s="8">
        <v>1.69</v>
      </c>
      <c r="E60" s="12">
        <v>3</v>
      </c>
      <c r="F60" s="8">
        <v>1.02</v>
      </c>
      <c r="G60" s="12">
        <v>5</v>
      </c>
      <c r="H60" s="8">
        <v>2.96</v>
      </c>
      <c r="I60" s="12">
        <v>0</v>
      </c>
    </row>
    <row r="61" spans="2:9" ht="15" customHeight="1" x14ac:dyDescent="0.2">
      <c r="B61" t="s">
        <v>127</v>
      </c>
      <c r="C61" s="12">
        <v>8</v>
      </c>
      <c r="D61" s="8">
        <v>1.69</v>
      </c>
      <c r="E61" s="12">
        <v>4</v>
      </c>
      <c r="F61" s="8">
        <v>1.36</v>
      </c>
      <c r="G61" s="12">
        <v>4</v>
      </c>
      <c r="H61" s="8">
        <v>2.37</v>
      </c>
      <c r="I61" s="12">
        <v>0</v>
      </c>
    </row>
    <row r="62" spans="2:9" ht="15" customHeight="1" x14ac:dyDescent="0.2">
      <c r="B62" t="s">
        <v>129</v>
      </c>
      <c r="C62" s="12">
        <v>8</v>
      </c>
      <c r="D62" s="8">
        <v>1.69</v>
      </c>
      <c r="E62" s="12">
        <v>8</v>
      </c>
      <c r="F62" s="8">
        <v>2.71</v>
      </c>
      <c r="G62" s="12">
        <v>0</v>
      </c>
      <c r="H62" s="8">
        <v>0</v>
      </c>
      <c r="I62" s="12">
        <v>0</v>
      </c>
    </row>
    <row r="63" spans="2:9" ht="15" customHeight="1" x14ac:dyDescent="0.2">
      <c r="B63" t="s">
        <v>120</v>
      </c>
      <c r="C63" s="12">
        <v>7</v>
      </c>
      <c r="D63" s="8">
        <v>1.48</v>
      </c>
      <c r="E63" s="12">
        <v>4</v>
      </c>
      <c r="F63" s="8">
        <v>1.36</v>
      </c>
      <c r="G63" s="12">
        <v>3</v>
      </c>
      <c r="H63" s="8">
        <v>1.78</v>
      </c>
      <c r="I63" s="12">
        <v>0</v>
      </c>
    </row>
    <row r="64" spans="2:9" ht="15" customHeight="1" x14ac:dyDescent="0.2">
      <c r="B64" t="s">
        <v>122</v>
      </c>
      <c r="C64" s="12">
        <v>7</v>
      </c>
      <c r="D64" s="8">
        <v>1.48</v>
      </c>
      <c r="E64" s="12">
        <v>2</v>
      </c>
      <c r="F64" s="8">
        <v>0.68</v>
      </c>
      <c r="G64" s="12">
        <v>5</v>
      </c>
      <c r="H64" s="8">
        <v>2.96</v>
      </c>
      <c r="I64" s="12">
        <v>0</v>
      </c>
    </row>
    <row r="65" spans="2:9" ht="15" customHeight="1" x14ac:dyDescent="0.2">
      <c r="B65" t="s">
        <v>124</v>
      </c>
      <c r="C65" s="12">
        <v>7</v>
      </c>
      <c r="D65" s="8">
        <v>1.48</v>
      </c>
      <c r="E65" s="12">
        <v>6</v>
      </c>
      <c r="F65" s="8">
        <v>2.0299999999999998</v>
      </c>
      <c r="G65" s="12">
        <v>1</v>
      </c>
      <c r="H65" s="8">
        <v>0.59</v>
      </c>
      <c r="I65" s="12">
        <v>0</v>
      </c>
    </row>
    <row r="66" spans="2:9" ht="15" customHeight="1" x14ac:dyDescent="0.2">
      <c r="B66" t="s">
        <v>149</v>
      </c>
      <c r="C66" s="12">
        <v>6</v>
      </c>
      <c r="D66" s="8">
        <v>1.27</v>
      </c>
      <c r="E66" s="12">
        <v>3</v>
      </c>
      <c r="F66" s="8">
        <v>1.02</v>
      </c>
      <c r="G66" s="12">
        <v>3</v>
      </c>
      <c r="H66" s="8">
        <v>1.78</v>
      </c>
      <c r="I66" s="12">
        <v>0</v>
      </c>
    </row>
    <row r="67" spans="2:9" ht="15" customHeight="1" x14ac:dyDescent="0.2">
      <c r="B67" t="s">
        <v>156</v>
      </c>
      <c r="C67" s="12">
        <v>6</v>
      </c>
      <c r="D67" s="8">
        <v>1.27</v>
      </c>
      <c r="E67" s="12">
        <v>3</v>
      </c>
      <c r="F67" s="8">
        <v>1.02</v>
      </c>
      <c r="G67" s="12">
        <v>3</v>
      </c>
      <c r="H67" s="8">
        <v>1.78</v>
      </c>
      <c r="I67" s="12">
        <v>0</v>
      </c>
    </row>
    <row r="68" spans="2:9" ht="15" customHeight="1" x14ac:dyDescent="0.2">
      <c r="B68" t="s">
        <v>144</v>
      </c>
      <c r="C68" s="12">
        <v>6</v>
      </c>
      <c r="D68" s="8">
        <v>1.27</v>
      </c>
      <c r="E68" s="12">
        <v>2</v>
      </c>
      <c r="F68" s="8">
        <v>0.68</v>
      </c>
      <c r="G68" s="12">
        <v>4</v>
      </c>
      <c r="H68" s="8">
        <v>2.37</v>
      </c>
      <c r="I68" s="12">
        <v>0</v>
      </c>
    </row>
    <row r="69" spans="2:9" ht="15" customHeight="1" x14ac:dyDescent="0.2">
      <c r="B69" t="s">
        <v>123</v>
      </c>
      <c r="C69" s="12">
        <v>6</v>
      </c>
      <c r="D69" s="8">
        <v>1.27</v>
      </c>
      <c r="E69" s="12">
        <v>4</v>
      </c>
      <c r="F69" s="8">
        <v>1.36</v>
      </c>
      <c r="G69" s="12">
        <v>2</v>
      </c>
      <c r="H69" s="8">
        <v>1.18</v>
      </c>
      <c r="I69" s="12">
        <v>0</v>
      </c>
    </row>
    <row r="70" spans="2:9" ht="15" customHeight="1" x14ac:dyDescent="0.2">
      <c r="B70" t="s">
        <v>161</v>
      </c>
      <c r="C70" s="12">
        <v>6</v>
      </c>
      <c r="D70" s="8">
        <v>1.27</v>
      </c>
      <c r="E70" s="12">
        <v>6</v>
      </c>
      <c r="F70" s="8">
        <v>2.0299999999999998</v>
      </c>
      <c r="G70" s="12">
        <v>0</v>
      </c>
      <c r="H70" s="8">
        <v>0</v>
      </c>
      <c r="I70" s="12">
        <v>0</v>
      </c>
    </row>
    <row r="71" spans="2:9" ht="15" customHeight="1" x14ac:dyDescent="0.2">
      <c r="B71" t="s">
        <v>135</v>
      </c>
      <c r="C71" s="12">
        <v>6</v>
      </c>
      <c r="D71" s="8">
        <v>1.27</v>
      </c>
      <c r="E71" s="12">
        <v>5</v>
      </c>
      <c r="F71" s="8">
        <v>1.69</v>
      </c>
      <c r="G71" s="12">
        <v>1</v>
      </c>
      <c r="H71" s="8">
        <v>0.59</v>
      </c>
      <c r="I71" s="12">
        <v>0</v>
      </c>
    </row>
    <row r="73" spans="2:9" ht="15" customHeight="1" x14ac:dyDescent="0.2">
      <c r="B73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94AED-87B9-4BE9-8236-9408E041C53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195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2</v>
      </c>
      <c r="D5" s="8">
        <v>0.01</v>
      </c>
      <c r="E5" s="12">
        <v>1</v>
      </c>
      <c r="F5" s="8">
        <v>0.01</v>
      </c>
      <c r="G5" s="12">
        <v>1</v>
      </c>
      <c r="H5" s="8">
        <v>0.01</v>
      </c>
      <c r="I5" s="12">
        <v>0</v>
      </c>
    </row>
    <row r="6" spans="2:9" ht="15" customHeight="1" x14ac:dyDescent="0.2">
      <c r="B6" t="s">
        <v>47</v>
      </c>
      <c r="C6" s="12">
        <v>2517</v>
      </c>
      <c r="D6" s="8">
        <v>12.92</v>
      </c>
      <c r="E6" s="12">
        <v>746</v>
      </c>
      <c r="F6" s="8">
        <v>7.44</v>
      </c>
      <c r="G6" s="12">
        <v>1771</v>
      </c>
      <c r="H6" s="8">
        <v>18.87</v>
      </c>
      <c r="I6" s="12">
        <v>0</v>
      </c>
    </row>
    <row r="7" spans="2:9" ht="15" customHeight="1" x14ac:dyDescent="0.2">
      <c r="B7" t="s">
        <v>48</v>
      </c>
      <c r="C7" s="12">
        <v>2059</v>
      </c>
      <c r="D7" s="8">
        <v>10.57</v>
      </c>
      <c r="E7" s="12">
        <v>818</v>
      </c>
      <c r="F7" s="8">
        <v>8.16</v>
      </c>
      <c r="G7" s="12">
        <v>1241</v>
      </c>
      <c r="H7" s="8">
        <v>13.22</v>
      </c>
      <c r="I7" s="12">
        <v>0</v>
      </c>
    </row>
    <row r="8" spans="2:9" ht="15" customHeight="1" x14ac:dyDescent="0.2">
      <c r="B8" t="s">
        <v>49</v>
      </c>
      <c r="C8" s="12">
        <v>17</v>
      </c>
      <c r="D8" s="8">
        <v>0.09</v>
      </c>
      <c r="E8" s="12">
        <v>0</v>
      </c>
      <c r="F8" s="8">
        <v>0</v>
      </c>
      <c r="G8" s="12">
        <v>17</v>
      </c>
      <c r="H8" s="8">
        <v>0.18</v>
      </c>
      <c r="I8" s="12">
        <v>0</v>
      </c>
    </row>
    <row r="9" spans="2:9" ht="15" customHeight="1" x14ac:dyDescent="0.2">
      <c r="B9" t="s">
        <v>50</v>
      </c>
      <c r="C9" s="12">
        <v>186</v>
      </c>
      <c r="D9" s="8">
        <v>0.95</v>
      </c>
      <c r="E9" s="12">
        <v>21</v>
      </c>
      <c r="F9" s="8">
        <v>0.21</v>
      </c>
      <c r="G9" s="12">
        <v>164</v>
      </c>
      <c r="H9" s="8">
        <v>1.75</v>
      </c>
      <c r="I9" s="12">
        <v>1</v>
      </c>
    </row>
    <row r="10" spans="2:9" ht="15" customHeight="1" x14ac:dyDescent="0.2">
      <c r="B10" t="s">
        <v>51</v>
      </c>
      <c r="C10" s="12">
        <v>205</v>
      </c>
      <c r="D10" s="8">
        <v>1.05</v>
      </c>
      <c r="E10" s="12">
        <v>30</v>
      </c>
      <c r="F10" s="8">
        <v>0.3</v>
      </c>
      <c r="G10" s="12">
        <v>174</v>
      </c>
      <c r="H10" s="8">
        <v>1.85</v>
      </c>
      <c r="I10" s="12">
        <v>1</v>
      </c>
    </row>
    <row r="11" spans="2:9" ht="15" customHeight="1" x14ac:dyDescent="0.2">
      <c r="B11" t="s">
        <v>52</v>
      </c>
      <c r="C11" s="12">
        <v>4715</v>
      </c>
      <c r="D11" s="8">
        <v>24.2</v>
      </c>
      <c r="E11" s="12">
        <v>2189</v>
      </c>
      <c r="F11" s="8">
        <v>21.83</v>
      </c>
      <c r="G11" s="12">
        <v>2523</v>
      </c>
      <c r="H11" s="8">
        <v>26.88</v>
      </c>
      <c r="I11" s="12">
        <v>3</v>
      </c>
    </row>
    <row r="12" spans="2:9" ht="15" customHeight="1" x14ac:dyDescent="0.2">
      <c r="B12" t="s">
        <v>53</v>
      </c>
      <c r="C12" s="12">
        <v>170</v>
      </c>
      <c r="D12" s="8">
        <v>0.87</v>
      </c>
      <c r="E12" s="12">
        <v>30</v>
      </c>
      <c r="F12" s="8">
        <v>0.3</v>
      </c>
      <c r="G12" s="12">
        <v>140</v>
      </c>
      <c r="H12" s="8">
        <v>1.49</v>
      </c>
      <c r="I12" s="12">
        <v>0</v>
      </c>
    </row>
    <row r="13" spans="2:9" ht="15" customHeight="1" x14ac:dyDescent="0.2">
      <c r="B13" t="s">
        <v>54</v>
      </c>
      <c r="C13" s="12">
        <v>1790</v>
      </c>
      <c r="D13" s="8">
        <v>9.19</v>
      </c>
      <c r="E13" s="12">
        <v>621</v>
      </c>
      <c r="F13" s="8">
        <v>6.19</v>
      </c>
      <c r="G13" s="12">
        <v>1166</v>
      </c>
      <c r="H13" s="8">
        <v>12.42</v>
      </c>
      <c r="I13" s="12">
        <v>2</v>
      </c>
    </row>
    <row r="14" spans="2:9" ht="15" customHeight="1" x14ac:dyDescent="0.2">
      <c r="B14" t="s">
        <v>55</v>
      </c>
      <c r="C14" s="12">
        <v>1140</v>
      </c>
      <c r="D14" s="8">
        <v>5.85</v>
      </c>
      <c r="E14" s="12">
        <v>577</v>
      </c>
      <c r="F14" s="8">
        <v>5.75</v>
      </c>
      <c r="G14" s="12">
        <v>558</v>
      </c>
      <c r="H14" s="8">
        <v>5.95</v>
      </c>
      <c r="I14" s="12">
        <v>1</v>
      </c>
    </row>
    <row r="15" spans="2:9" ht="15" customHeight="1" x14ac:dyDescent="0.2">
      <c r="B15" t="s">
        <v>56</v>
      </c>
      <c r="C15" s="12">
        <v>2230</v>
      </c>
      <c r="D15" s="8">
        <v>11.44</v>
      </c>
      <c r="E15" s="12">
        <v>1871</v>
      </c>
      <c r="F15" s="8">
        <v>18.66</v>
      </c>
      <c r="G15" s="12">
        <v>350</v>
      </c>
      <c r="H15" s="8">
        <v>3.73</v>
      </c>
      <c r="I15" s="12">
        <v>1</v>
      </c>
    </row>
    <row r="16" spans="2:9" ht="15" customHeight="1" x14ac:dyDescent="0.2">
      <c r="B16" t="s">
        <v>57</v>
      </c>
      <c r="C16" s="12">
        <v>2287</v>
      </c>
      <c r="D16" s="8">
        <v>11.74</v>
      </c>
      <c r="E16" s="12">
        <v>1838</v>
      </c>
      <c r="F16" s="8">
        <v>18.329999999999998</v>
      </c>
      <c r="G16" s="12">
        <v>439</v>
      </c>
      <c r="H16" s="8">
        <v>4.68</v>
      </c>
      <c r="I16" s="12">
        <v>2</v>
      </c>
    </row>
    <row r="17" spans="2:9" ht="15" customHeight="1" x14ac:dyDescent="0.2">
      <c r="B17" t="s">
        <v>58</v>
      </c>
      <c r="C17" s="12">
        <v>662</v>
      </c>
      <c r="D17" s="8">
        <v>3.4</v>
      </c>
      <c r="E17" s="12">
        <v>495</v>
      </c>
      <c r="F17" s="8">
        <v>4.9400000000000004</v>
      </c>
      <c r="G17" s="12">
        <v>155</v>
      </c>
      <c r="H17" s="8">
        <v>1.65</v>
      </c>
      <c r="I17" s="12">
        <v>5</v>
      </c>
    </row>
    <row r="18" spans="2:9" ht="15" customHeight="1" x14ac:dyDescent="0.2">
      <c r="B18" t="s">
        <v>59</v>
      </c>
      <c r="C18" s="12">
        <v>859</v>
      </c>
      <c r="D18" s="8">
        <v>4.41</v>
      </c>
      <c r="E18" s="12">
        <v>529</v>
      </c>
      <c r="F18" s="8">
        <v>5.28</v>
      </c>
      <c r="G18" s="12">
        <v>311</v>
      </c>
      <c r="H18" s="8">
        <v>3.31</v>
      </c>
      <c r="I18" s="12">
        <v>11</v>
      </c>
    </row>
    <row r="19" spans="2:9" ht="15" customHeight="1" x14ac:dyDescent="0.2">
      <c r="B19" t="s">
        <v>60</v>
      </c>
      <c r="C19" s="12">
        <v>647</v>
      </c>
      <c r="D19" s="8">
        <v>3.32</v>
      </c>
      <c r="E19" s="12">
        <v>261</v>
      </c>
      <c r="F19" s="8">
        <v>2.6</v>
      </c>
      <c r="G19" s="12">
        <v>375</v>
      </c>
      <c r="H19" s="8">
        <v>4</v>
      </c>
      <c r="I19" s="12">
        <v>7</v>
      </c>
    </row>
    <row r="20" spans="2:9" ht="15" customHeight="1" x14ac:dyDescent="0.2">
      <c r="B20" s="9" t="s">
        <v>191</v>
      </c>
      <c r="C20" s="12">
        <f>SUM(LTBL_22100[総数／事業所数])</f>
        <v>19486</v>
      </c>
      <c r="E20" s="12">
        <f>SUBTOTAL(109,LTBL_22100[個人／事業所数])</f>
        <v>10027</v>
      </c>
      <c r="G20" s="12">
        <f>SUBTOTAL(109,LTBL_22100[法人／事業所数])</f>
        <v>9385</v>
      </c>
      <c r="I20" s="12">
        <f>SUBTOTAL(109,LTBL_22100[法人以外の団体／事業所数])</f>
        <v>34</v>
      </c>
    </row>
    <row r="21" spans="2:9" ht="15" customHeight="1" x14ac:dyDescent="0.2">
      <c r="E21" s="11">
        <f>LTBL_22100[[#Totals],[個人／事業所数]]/LTBL_22100[[#Totals],[総数／事業所数]]</f>
        <v>0.51457456635533205</v>
      </c>
      <c r="G21" s="11">
        <f>LTBL_22100[[#Totals],[法人／事業所数]]/LTBL_22100[[#Totals],[総数／事業所数]]</f>
        <v>0.48162783536898285</v>
      </c>
      <c r="I21" s="11">
        <f>LTBL_22100[[#Totals],[法人以外の団体／事業所数]]/LTBL_22100[[#Totals],[総数／事業所数]]</f>
        <v>1.7448424509904548E-3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2055</v>
      </c>
      <c r="D24" s="8">
        <v>10.55</v>
      </c>
      <c r="E24" s="12">
        <v>1796</v>
      </c>
      <c r="F24" s="8">
        <v>17.91</v>
      </c>
      <c r="G24" s="12">
        <v>258</v>
      </c>
      <c r="H24" s="8">
        <v>2.75</v>
      </c>
      <c r="I24" s="12">
        <v>1</v>
      </c>
    </row>
    <row r="25" spans="2:9" ht="15" customHeight="1" x14ac:dyDescent="0.2">
      <c r="B25" t="s">
        <v>85</v>
      </c>
      <c r="C25" s="12">
        <v>1970</v>
      </c>
      <c r="D25" s="8">
        <v>10.11</v>
      </c>
      <c r="E25" s="12">
        <v>1691</v>
      </c>
      <c r="F25" s="8">
        <v>16.86</v>
      </c>
      <c r="G25" s="12">
        <v>278</v>
      </c>
      <c r="H25" s="8">
        <v>2.96</v>
      </c>
      <c r="I25" s="12">
        <v>1</v>
      </c>
    </row>
    <row r="26" spans="2:9" ht="15" customHeight="1" x14ac:dyDescent="0.2">
      <c r="B26" t="s">
        <v>81</v>
      </c>
      <c r="C26" s="12">
        <v>1385</v>
      </c>
      <c r="D26" s="8">
        <v>7.11</v>
      </c>
      <c r="E26" s="12">
        <v>534</v>
      </c>
      <c r="F26" s="8">
        <v>5.33</v>
      </c>
      <c r="G26" s="12">
        <v>848</v>
      </c>
      <c r="H26" s="8">
        <v>9.0399999999999991</v>
      </c>
      <c r="I26" s="12">
        <v>2</v>
      </c>
    </row>
    <row r="27" spans="2:9" ht="15" customHeight="1" x14ac:dyDescent="0.2">
      <c r="B27" t="s">
        <v>79</v>
      </c>
      <c r="C27" s="12">
        <v>1135</v>
      </c>
      <c r="D27" s="8">
        <v>5.82</v>
      </c>
      <c r="E27" s="12">
        <v>623</v>
      </c>
      <c r="F27" s="8">
        <v>6.21</v>
      </c>
      <c r="G27" s="12">
        <v>511</v>
      </c>
      <c r="H27" s="8">
        <v>5.44</v>
      </c>
      <c r="I27" s="12">
        <v>1</v>
      </c>
    </row>
    <row r="28" spans="2:9" ht="15" customHeight="1" x14ac:dyDescent="0.2">
      <c r="B28" t="s">
        <v>69</v>
      </c>
      <c r="C28" s="12">
        <v>930</v>
      </c>
      <c r="D28" s="8">
        <v>4.7699999999999996</v>
      </c>
      <c r="E28" s="12">
        <v>208</v>
      </c>
      <c r="F28" s="8">
        <v>2.0699999999999998</v>
      </c>
      <c r="G28" s="12">
        <v>722</v>
      </c>
      <c r="H28" s="8">
        <v>7.69</v>
      </c>
      <c r="I28" s="12">
        <v>0</v>
      </c>
    </row>
    <row r="29" spans="2:9" ht="15" customHeight="1" x14ac:dyDescent="0.2">
      <c r="B29" t="s">
        <v>70</v>
      </c>
      <c r="C29" s="12">
        <v>908</v>
      </c>
      <c r="D29" s="8">
        <v>4.66</v>
      </c>
      <c r="E29" s="12">
        <v>364</v>
      </c>
      <c r="F29" s="8">
        <v>3.63</v>
      </c>
      <c r="G29" s="12">
        <v>544</v>
      </c>
      <c r="H29" s="8">
        <v>5.8</v>
      </c>
      <c r="I29" s="12">
        <v>0</v>
      </c>
    </row>
    <row r="30" spans="2:9" ht="15" customHeight="1" x14ac:dyDescent="0.2">
      <c r="B30" t="s">
        <v>77</v>
      </c>
      <c r="C30" s="12">
        <v>898</v>
      </c>
      <c r="D30" s="8">
        <v>4.6100000000000003</v>
      </c>
      <c r="E30" s="12">
        <v>681</v>
      </c>
      <c r="F30" s="8">
        <v>6.79</v>
      </c>
      <c r="G30" s="12">
        <v>216</v>
      </c>
      <c r="H30" s="8">
        <v>2.2999999999999998</v>
      </c>
      <c r="I30" s="12">
        <v>1</v>
      </c>
    </row>
    <row r="31" spans="2:9" ht="15" customHeight="1" x14ac:dyDescent="0.2">
      <c r="B31" t="s">
        <v>71</v>
      </c>
      <c r="C31" s="12">
        <v>679</v>
      </c>
      <c r="D31" s="8">
        <v>3.48</v>
      </c>
      <c r="E31" s="12">
        <v>174</v>
      </c>
      <c r="F31" s="8">
        <v>1.74</v>
      </c>
      <c r="G31" s="12">
        <v>505</v>
      </c>
      <c r="H31" s="8">
        <v>5.38</v>
      </c>
      <c r="I31" s="12">
        <v>0</v>
      </c>
    </row>
    <row r="32" spans="2:9" ht="15" customHeight="1" x14ac:dyDescent="0.2">
      <c r="B32" t="s">
        <v>86</v>
      </c>
      <c r="C32" s="12">
        <v>662</v>
      </c>
      <c r="D32" s="8">
        <v>3.4</v>
      </c>
      <c r="E32" s="12">
        <v>495</v>
      </c>
      <c r="F32" s="8">
        <v>4.9400000000000004</v>
      </c>
      <c r="G32" s="12">
        <v>155</v>
      </c>
      <c r="H32" s="8">
        <v>1.65</v>
      </c>
      <c r="I32" s="12">
        <v>5</v>
      </c>
    </row>
    <row r="33" spans="2:9" ht="15" customHeight="1" x14ac:dyDescent="0.2">
      <c r="B33" t="s">
        <v>82</v>
      </c>
      <c r="C33" s="12">
        <v>647</v>
      </c>
      <c r="D33" s="8">
        <v>3.32</v>
      </c>
      <c r="E33" s="12">
        <v>395</v>
      </c>
      <c r="F33" s="8">
        <v>3.94</v>
      </c>
      <c r="G33" s="12">
        <v>252</v>
      </c>
      <c r="H33" s="8">
        <v>2.69</v>
      </c>
      <c r="I33" s="12">
        <v>0</v>
      </c>
    </row>
    <row r="34" spans="2:9" ht="15" customHeight="1" x14ac:dyDescent="0.2">
      <c r="B34" t="s">
        <v>87</v>
      </c>
      <c r="C34" s="12">
        <v>589</v>
      </c>
      <c r="D34" s="8">
        <v>3.02</v>
      </c>
      <c r="E34" s="12">
        <v>527</v>
      </c>
      <c r="F34" s="8">
        <v>5.26</v>
      </c>
      <c r="G34" s="12">
        <v>62</v>
      </c>
      <c r="H34" s="8">
        <v>0.66</v>
      </c>
      <c r="I34" s="12">
        <v>0</v>
      </c>
    </row>
    <row r="35" spans="2:9" ht="15" customHeight="1" x14ac:dyDescent="0.2">
      <c r="B35" t="s">
        <v>78</v>
      </c>
      <c r="C35" s="12">
        <v>574</v>
      </c>
      <c r="D35" s="8">
        <v>2.95</v>
      </c>
      <c r="E35" s="12">
        <v>355</v>
      </c>
      <c r="F35" s="8">
        <v>3.54</v>
      </c>
      <c r="G35" s="12">
        <v>219</v>
      </c>
      <c r="H35" s="8">
        <v>2.33</v>
      </c>
      <c r="I35" s="12">
        <v>0</v>
      </c>
    </row>
    <row r="36" spans="2:9" ht="15" customHeight="1" x14ac:dyDescent="0.2">
      <c r="B36" t="s">
        <v>76</v>
      </c>
      <c r="C36" s="12">
        <v>551</v>
      </c>
      <c r="D36" s="8">
        <v>2.83</v>
      </c>
      <c r="E36" s="12">
        <v>280</v>
      </c>
      <c r="F36" s="8">
        <v>2.79</v>
      </c>
      <c r="G36" s="12">
        <v>271</v>
      </c>
      <c r="H36" s="8">
        <v>2.89</v>
      </c>
      <c r="I36" s="12">
        <v>0</v>
      </c>
    </row>
    <row r="37" spans="2:9" ht="15" customHeight="1" x14ac:dyDescent="0.2">
      <c r="B37" t="s">
        <v>83</v>
      </c>
      <c r="C37" s="12">
        <v>433</v>
      </c>
      <c r="D37" s="8">
        <v>2.2200000000000002</v>
      </c>
      <c r="E37" s="12">
        <v>178</v>
      </c>
      <c r="F37" s="8">
        <v>1.78</v>
      </c>
      <c r="G37" s="12">
        <v>251</v>
      </c>
      <c r="H37" s="8">
        <v>2.67</v>
      </c>
      <c r="I37" s="12">
        <v>0</v>
      </c>
    </row>
    <row r="38" spans="2:9" ht="15" customHeight="1" x14ac:dyDescent="0.2">
      <c r="B38" t="s">
        <v>75</v>
      </c>
      <c r="C38" s="12">
        <v>412</v>
      </c>
      <c r="D38" s="8">
        <v>2.11</v>
      </c>
      <c r="E38" s="12">
        <v>43</v>
      </c>
      <c r="F38" s="8">
        <v>0.43</v>
      </c>
      <c r="G38" s="12">
        <v>369</v>
      </c>
      <c r="H38" s="8">
        <v>3.93</v>
      </c>
      <c r="I38" s="12">
        <v>0</v>
      </c>
    </row>
    <row r="39" spans="2:9" ht="15" customHeight="1" x14ac:dyDescent="0.2">
      <c r="B39" t="s">
        <v>74</v>
      </c>
      <c r="C39" s="12">
        <v>345</v>
      </c>
      <c r="D39" s="8">
        <v>1.77</v>
      </c>
      <c r="E39" s="12">
        <v>55</v>
      </c>
      <c r="F39" s="8">
        <v>0.55000000000000004</v>
      </c>
      <c r="G39" s="12">
        <v>290</v>
      </c>
      <c r="H39" s="8">
        <v>3.09</v>
      </c>
      <c r="I39" s="12">
        <v>0</v>
      </c>
    </row>
    <row r="40" spans="2:9" ht="15" customHeight="1" x14ac:dyDescent="0.2">
      <c r="B40" t="s">
        <v>89</v>
      </c>
      <c r="C40" s="12">
        <v>338</v>
      </c>
      <c r="D40" s="8">
        <v>1.73</v>
      </c>
      <c r="E40" s="12">
        <v>71</v>
      </c>
      <c r="F40" s="8">
        <v>0.71</v>
      </c>
      <c r="G40" s="12">
        <v>267</v>
      </c>
      <c r="H40" s="8">
        <v>2.84</v>
      </c>
      <c r="I40" s="12">
        <v>0</v>
      </c>
    </row>
    <row r="41" spans="2:9" ht="15" customHeight="1" x14ac:dyDescent="0.2">
      <c r="B41" t="s">
        <v>80</v>
      </c>
      <c r="C41" s="12">
        <v>306</v>
      </c>
      <c r="D41" s="8">
        <v>1.57</v>
      </c>
      <c r="E41" s="12">
        <v>80</v>
      </c>
      <c r="F41" s="8">
        <v>0.8</v>
      </c>
      <c r="G41" s="12">
        <v>226</v>
      </c>
      <c r="H41" s="8">
        <v>2.41</v>
      </c>
      <c r="I41" s="12">
        <v>0</v>
      </c>
    </row>
    <row r="42" spans="2:9" ht="15" customHeight="1" x14ac:dyDescent="0.2">
      <c r="B42" t="s">
        <v>72</v>
      </c>
      <c r="C42" s="12">
        <v>287</v>
      </c>
      <c r="D42" s="8">
        <v>1.47</v>
      </c>
      <c r="E42" s="12">
        <v>106</v>
      </c>
      <c r="F42" s="8">
        <v>1.06</v>
      </c>
      <c r="G42" s="12">
        <v>181</v>
      </c>
      <c r="H42" s="8">
        <v>1.93</v>
      </c>
      <c r="I42" s="12">
        <v>0</v>
      </c>
    </row>
    <row r="43" spans="2:9" ht="15" customHeight="1" x14ac:dyDescent="0.2">
      <c r="B43" t="s">
        <v>90</v>
      </c>
      <c r="C43" s="12">
        <v>270</v>
      </c>
      <c r="D43" s="8">
        <v>1.39</v>
      </c>
      <c r="E43" s="12">
        <v>2</v>
      </c>
      <c r="F43" s="8">
        <v>0.02</v>
      </c>
      <c r="G43" s="12">
        <v>249</v>
      </c>
      <c r="H43" s="8">
        <v>2.65</v>
      </c>
      <c r="I43" s="12">
        <v>11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1036</v>
      </c>
      <c r="D47" s="8">
        <v>5.32</v>
      </c>
      <c r="E47" s="12">
        <v>910</v>
      </c>
      <c r="F47" s="8">
        <v>9.08</v>
      </c>
      <c r="G47" s="12">
        <v>126</v>
      </c>
      <c r="H47" s="8">
        <v>1.34</v>
      </c>
      <c r="I47" s="12">
        <v>0</v>
      </c>
    </row>
    <row r="48" spans="2:9" ht="15" customHeight="1" x14ac:dyDescent="0.2">
      <c r="B48" t="s">
        <v>126</v>
      </c>
      <c r="C48" s="12">
        <v>729</v>
      </c>
      <c r="D48" s="8">
        <v>3.74</v>
      </c>
      <c r="E48" s="12">
        <v>356</v>
      </c>
      <c r="F48" s="8">
        <v>3.55</v>
      </c>
      <c r="G48" s="12">
        <v>373</v>
      </c>
      <c r="H48" s="8">
        <v>3.97</v>
      </c>
      <c r="I48" s="12">
        <v>0</v>
      </c>
    </row>
    <row r="49" spans="2:9" ht="15" customHeight="1" x14ac:dyDescent="0.2">
      <c r="B49" t="s">
        <v>129</v>
      </c>
      <c r="C49" s="12">
        <v>613</v>
      </c>
      <c r="D49" s="8">
        <v>3.15</v>
      </c>
      <c r="E49" s="12">
        <v>574</v>
      </c>
      <c r="F49" s="8">
        <v>5.72</v>
      </c>
      <c r="G49" s="12">
        <v>39</v>
      </c>
      <c r="H49" s="8">
        <v>0.42</v>
      </c>
      <c r="I49" s="12">
        <v>0</v>
      </c>
    </row>
    <row r="50" spans="2:9" ht="15" customHeight="1" x14ac:dyDescent="0.2">
      <c r="B50" t="s">
        <v>131</v>
      </c>
      <c r="C50" s="12">
        <v>549</v>
      </c>
      <c r="D50" s="8">
        <v>2.82</v>
      </c>
      <c r="E50" s="12">
        <v>536</v>
      </c>
      <c r="F50" s="8">
        <v>5.35</v>
      </c>
      <c r="G50" s="12">
        <v>13</v>
      </c>
      <c r="H50" s="8">
        <v>0.14000000000000001</v>
      </c>
      <c r="I50" s="12">
        <v>0</v>
      </c>
    </row>
    <row r="51" spans="2:9" ht="15" customHeight="1" x14ac:dyDescent="0.2">
      <c r="B51" t="s">
        <v>128</v>
      </c>
      <c r="C51" s="12">
        <v>505</v>
      </c>
      <c r="D51" s="8">
        <v>2.59</v>
      </c>
      <c r="E51" s="12">
        <v>418</v>
      </c>
      <c r="F51" s="8">
        <v>4.17</v>
      </c>
      <c r="G51" s="12">
        <v>87</v>
      </c>
      <c r="H51" s="8">
        <v>0.93</v>
      </c>
      <c r="I51" s="12">
        <v>0</v>
      </c>
    </row>
    <row r="52" spans="2:9" ht="15" customHeight="1" x14ac:dyDescent="0.2">
      <c r="B52" t="s">
        <v>134</v>
      </c>
      <c r="C52" s="12">
        <v>445</v>
      </c>
      <c r="D52" s="8">
        <v>2.2799999999999998</v>
      </c>
      <c r="E52" s="12">
        <v>400</v>
      </c>
      <c r="F52" s="8">
        <v>3.99</v>
      </c>
      <c r="G52" s="12">
        <v>45</v>
      </c>
      <c r="H52" s="8">
        <v>0.48</v>
      </c>
      <c r="I52" s="12">
        <v>0</v>
      </c>
    </row>
    <row r="53" spans="2:9" ht="15" customHeight="1" x14ac:dyDescent="0.2">
      <c r="B53" t="s">
        <v>133</v>
      </c>
      <c r="C53" s="12">
        <v>411</v>
      </c>
      <c r="D53" s="8">
        <v>2.11</v>
      </c>
      <c r="E53" s="12">
        <v>332</v>
      </c>
      <c r="F53" s="8">
        <v>3.31</v>
      </c>
      <c r="G53" s="12">
        <v>78</v>
      </c>
      <c r="H53" s="8">
        <v>0.83</v>
      </c>
      <c r="I53" s="12">
        <v>1</v>
      </c>
    </row>
    <row r="54" spans="2:9" ht="15" customHeight="1" x14ac:dyDescent="0.2">
      <c r="B54" t="s">
        <v>121</v>
      </c>
      <c r="C54" s="12">
        <v>372</v>
      </c>
      <c r="D54" s="8">
        <v>1.91</v>
      </c>
      <c r="E54" s="12">
        <v>266</v>
      </c>
      <c r="F54" s="8">
        <v>2.65</v>
      </c>
      <c r="G54" s="12">
        <v>105</v>
      </c>
      <c r="H54" s="8">
        <v>1.1200000000000001</v>
      </c>
      <c r="I54" s="12">
        <v>1</v>
      </c>
    </row>
    <row r="55" spans="2:9" ht="15" customHeight="1" x14ac:dyDescent="0.2">
      <c r="B55" t="s">
        <v>124</v>
      </c>
      <c r="C55" s="12">
        <v>370</v>
      </c>
      <c r="D55" s="8">
        <v>1.9</v>
      </c>
      <c r="E55" s="12">
        <v>252</v>
      </c>
      <c r="F55" s="8">
        <v>2.5099999999999998</v>
      </c>
      <c r="G55" s="12">
        <v>117</v>
      </c>
      <c r="H55" s="8">
        <v>1.25</v>
      </c>
      <c r="I55" s="12">
        <v>1</v>
      </c>
    </row>
    <row r="56" spans="2:9" ht="15" customHeight="1" x14ac:dyDescent="0.2">
      <c r="B56" t="s">
        <v>122</v>
      </c>
      <c r="C56" s="12">
        <v>352</v>
      </c>
      <c r="D56" s="8">
        <v>1.81</v>
      </c>
      <c r="E56" s="12">
        <v>214</v>
      </c>
      <c r="F56" s="8">
        <v>2.13</v>
      </c>
      <c r="G56" s="12">
        <v>138</v>
      </c>
      <c r="H56" s="8">
        <v>1.47</v>
      </c>
      <c r="I56" s="12">
        <v>0</v>
      </c>
    </row>
    <row r="57" spans="2:9" ht="15" customHeight="1" x14ac:dyDescent="0.2">
      <c r="B57" t="s">
        <v>125</v>
      </c>
      <c r="C57" s="12">
        <v>341</v>
      </c>
      <c r="D57" s="8">
        <v>1.75</v>
      </c>
      <c r="E57" s="12">
        <v>72</v>
      </c>
      <c r="F57" s="8">
        <v>0.72</v>
      </c>
      <c r="G57" s="12">
        <v>269</v>
      </c>
      <c r="H57" s="8">
        <v>2.87</v>
      </c>
      <c r="I57" s="12">
        <v>0</v>
      </c>
    </row>
    <row r="58" spans="2:9" ht="15" customHeight="1" x14ac:dyDescent="0.2">
      <c r="B58" t="s">
        <v>130</v>
      </c>
      <c r="C58" s="12">
        <v>326</v>
      </c>
      <c r="D58" s="8">
        <v>1.67</v>
      </c>
      <c r="E58" s="12">
        <v>303</v>
      </c>
      <c r="F58" s="8">
        <v>3.02</v>
      </c>
      <c r="G58" s="12">
        <v>23</v>
      </c>
      <c r="H58" s="8">
        <v>0.25</v>
      </c>
      <c r="I58" s="12">
        <v>0</v>
      </c>
    </row>
    <row r="59" spans="2:9" ht="15" customHeight="1" x14ac:dyDescent="0.2">
      <c r="B59" t="s">
        <v>127</v>
      </c>
      <c r="C59" s="12">
        <v>285</v>
      </c>
      <c r="D59" s="8">
        <v>1.46</v>
      </c>
      <c r="E59" s="12">
        <v>111</v>
      </c>
      <c r="F59" s="8">
        <v>1.1100000000000001</v>
      </c>
      <c r="G59" s="12">
        <v>170</v>
      </c>
      <c r="H59" s="8">
        <v>1.81</v>
      </c>
      <c r="I59" s="12">
        <v>0</v>
      </c>
    </row>
    <row r="60" spans="2:9" ht="15" customHeight="1" x14ac:dyDescent="0.2">
      <c r="B60" t="s">
        <v>120</v>
      </c>
      <c r="C60" s="12">
        <v>269</v>
      </c>
      <c r="D60" s="8">
        <v>1.38</v>
      </c>
      <c r="E60" s="12">
        <v>75</v>
      </c>
      <c r="F60" s="8">
        <v>0.75</v>
      </c>
      <c r="G60" s="12">
        <v>194</v>
      </c>
      <c r="H60" s="8">
        <v>2.0699999999999998</v>
      </c>
      <c r="I60" s="12">
        <v>0</v>
      </c>
    </row>
    <row r="61" spans="2:9" ht="15" customHeight="1" x14ac:dyDescent="0.2">
      <c r="B61" t="s">
        <v>117</v>
      </c>
      <c r="C61" s="12">
        <v>267</v>
      </c>
      <c r="D61" s="8">
        <v>1.37</v>
      </c>
      <c r="E61" s="12">
        <v>46</v>
      </c>
      <c r="F61" s="8">
        <v>0.46</v>
      </c>
      <c r="G61" s="12">
        <v>221</v>
      </c>
      <c r="H61" s="8">
        <v>2.35</v>
      </c>
      <c r="I61" s="12">
        <v>0</v>
      </c>
    </row>
    <row r="62" spans="2:9" ht="15" customHeight="1" x14ac:dyDescent="0.2">
      <c r="B62" t="s">
        <v>123</v>
      </c>
      <c r="C62" s="12">
        <v>260</v>
      </c>
      <c r="D62" s="8">
        <v>1.33</v>
      </c>
      <c r="E62" s="12">
        <v>95</v>
      </c>
      <c r="F62" s="8">
        <v>0.95</v>
      </c>
      <c r="G62" s="12">
        <v>165</v>
      </c>
      <c r="H62" s="8">
        <v>1.76</v>
      </c>
      <c r="I62" s="12">
        <v>0</v>
      </c>
    </row>
    <row r="63" spans="2:9" ht="15" customHeight="1" x14ac:dyDescent="0.2">
      <c r="B63" t="s">
        <v>119</v>
      </c>
      <c r="C63" s="12">
        <v>242</v>
      </c>
      <c r="D63" s="8">
        <v>1.24</v>
      </c>
      <c r="E63" s="12">
        <v>82</v>
      </c>
      <c r="F63" s="8">
        <v>0.82</v>
      </c>
      <c r="G63" s="12">
        <v>160</v>
      </c>
      <c r="H63" s="8">
        <v>1.7</v>
      </c>
      <c r="I63" s="12">
        <v>0</v>
      </c>
    </row>
    <row r="64" spans="2:9" ht="15" customHeight="1" x14ac:dyDescent="0.2">
      <c r="B64" t="s">
        <v>136</v>
      </c>
      <c r="C64" s="12">
        <v>238</v>
      </c>
      <c r="D64" s="8">
        <v>1.22</v>
      </c>
      <c r="E64" s="12">
        <v>193</v>
      </c>
      <c r="F64" s="8">
        <v>1.92</v>
      </c>
      <c r="G64" s="12">
        <v>45</v>
      </c>
      <c r="H64" s="8">
        <v>0.48</v>
      </c>
      <c r="I64" s="12">
        <v>0</v>
      </c>
    </row>
    <row r="65" spans="2:9" ht="15" customHeight="1" x14ac:dyDescent="0.2">
      <c r="B65" t="s">
        <v>135</v>
      </c>
      <c r="C65" s="12">
        <v>238</v>
      </c>
      <c r="D65" s="8">
        <v>1.22</v>
      </c>
      <c r="E65" s="12">
        <v>190</v>
      </c>
      <c r="F65" s="8">
        <v>1.89</v>
      </c>
      <c r="G65" s="12">
        <v>48</v>
      </c>
      <c r="H65" s="8">
        <v>0.51</v>
      </c>
      <c r="I65" s="12">
        <v>0</v>
      </c>
    </row>
    <row r="66" spans="2:9" ht="15" customHeight="1" x14ac:dyDescent="0.2">
      <c r="B66" t="s">
        <v>116</v>
      </c>
      <c r="C66" s="12">
        <v>236</v>
      </c>
      <c r="D66" s="8">
        <v>1.21</v>
      </c>
      <c r="E66" s="12">
        <v>33</v>
      </c>
      <c r="F66" s="8">
        <v>0.33</v>
      </c>
      <c r="G66" s="12">
        <v>203</v>
      </c>
      <c r="H66" s="8">
        <v>2.16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9F6E-350C-4D74-8892-7C98592E2AED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196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2</v>
      </c>
      <c r="D5" s="8">
        <v>0.03</v>
      </c>
      <c r="E5" s="12">
        <v>1</v>
      </c>
      <c r="F5" s="8">
        <v>0.03</v>
      </c>
      <c r="G5" s="12">
        <v>1</v>
      </c>
      <c r="H5" s="8">
        <v>0.03</v>
      </c>
      <c r="I5" s="12">
        <v>0</v>
      </c>
    </row>
    <row r="6" spans="2:9" ht="15" customHeight="1" x14ac:dyDescent="0.2">
      <c r="B6" t="s">
        <v>47</v>
      </c>
      <c r="C6" s="12">
        <v>757</v>
      </c>
      <c r="D6" s="8">
        <v>9.67</v>
      </c>
      <c r="E6" s="12">
        <v>210</v>
      </c>
      <c r="F6" s="8">
        <v>5.27</v>
      </c>
      <c r="G6" s="12">
        <v>547</v>
      </c>
      <c r="H6" s="8">
        <v>14.38</v>
      </c>
      <c r="I6" s="12">
        <v>0</v>
      </c>
    </row>
    <row r="7" spans="2:9" ht="15" customHeight="1" x14ac:dyDescent="0.2">
      <c r="B7" t="s">
        <v>48</v>
      </c>
      <c r="C7" s="12">
        <v>717</v>
      </c>
      <c r="D7" s="8">
        <v>9.16</v>
      </c>
      <c r="E7" s="12">
        <v>314</v>
      </c>
      <c r="F7" s="8">
        <v>7.89</v>
      </c>
      <c r="G7" s="12">
        <v>403</v>
      </c>
      <c r="H7" s="8">
        <v>10.59</v>
      </c>
      <c r="I7" s="12">
        <v>0</v>
      </c>
    </row>
    <row r="8" spans="2:9" ht="15" customHeight="1" x14ac:dyDescent="0.2">
      <c r="B8" t="s">
        <v>49</v>
      </c>
      <c r="C8" s="12">
        <v>8</v>
      </c>
      <c r="D8" s="8">
        <v>0.1</v>
      </c>
      <c r="E8" s="12">
        <v>0</v>
      </c>
      <c r="F8" s="8">
        <v>0</v>
      </c>
      <c r="G8" s="12">
        <v>8</v>
      </c>
      <c r="H8" s="8">
        <v>0.21</v>
      </c>
      <c r="I8" s="12">
        <v>0</v>
      </c>
    </row>
    <row r="9" spans="2:9" ht="15" customHeight="1" x14ac:dyDescent="0.2">
      <c r="B9" t="s">
        <v>50</v>
      </c>
      <c r="C9" s="12">
        <v>93</v>
      </c>
      <c r="D9" s="8">
        <v>1.19</v>
      </c>
      <c r="E9" s="12">
        <v>13</v>
      </c>
      <c r="F9" s="8">
        <v>0.33</v>
      </c>
      <c r="G9" s="12">
        <v>80</v>
      </c>
      <c r="H9" s="8">
        <v>2.1</v>
      </c>
      <c r="I9" s="12">
        <v>0</v>
      </c>
    </row>
    <row r="10" spans="2:9" ht="15" customHeight="1" x14ac:dyDescent="0.2">
      <c r="B10" t="s">
        <v>51</v>
      </c>
      <c r="C10" s="12">
        <v>50</v>
      </c>
      <c r="D10" s="8">
        <v>0.64</v>
      </c>
      <c r="E10" s="12">
        <v>7</v>
      </c>
      <c r="F10" s="8">
        <v>0.18</v>
      </c>
      <c r="G10" s="12">
        <v>43</v>
      </c>
      <c r="H10" s="8">
        <v>1.1299999999999999</v>
      </c>
      <c r="I10" s="12">
        <v>0</v>
      </c>
    </row>
    <row r="11" spans="2:9" ht="15" customHeight="1" x14ac:dyDescent="0.2">
      <c r="B11" t="s">
        <v>52</v>
      </c>
      <c r="C11" s="12">
        <v>2008</v>
      </c>
      <c r="D11" s="8">
        <v>25.64</v>
      </c>
      <c r="E11" s="12">
        <v>913</v>
      </c>
      <c r="F11" s="8">
        <v>22.93</v>
      </c>
      <c r="G11" s="12">
        <v>1095</v>
      </c>
      <c r="H11" s="8">
        <v>28.79</v>
      </c>
      <c r="I11" s="12">
        <v>0</v>
      </c>
    </row>
    <row r="12" spans="2:9" ht="15" customHeight="1" x14ac:dyDescent="0.2">
      <c r="B12" t="s">
        <v>53</v>
      </c>
      <c r="C12" s="12">
        <v>82</v>
      </c>
      <c r="D12" s="8">
        <v>1.05</v>
      </c>
      <c r="E12" s="12">
        <v>10</v>
      </c>
      <c r="F12" s="8">
        <v>0.25</v>
      </c>
      <c r="G12" s="12">
        <v>72</v>
      </c>
      <c r="H12" s="8">
        <v>1.89</v>
      </c>
      <c r="I12" s="12">
        <v>0</v>
      </c>
    </row>
    <row r="13" spans="2:9" ht="15" customHeight="1" x14ac:dyDescent="0.2">
      <c r="B13" t="s">
        <v>54</v>
      </c>
      <c r="C13" s="12">
        <v>697</v>
      </c>
      <c r="D13" s="8">
        <v>8.9</v>
      </c>
      <c r="E13" s="12">
        <v>192</v>
      </c>
      <c r="F13" s="8">
        <v>4.82</v>
      </c>
      <c r="G13" s="12">
        <v>503</v>
      </c>
      <c r="H13" s="8">
        <v>13.22</v>
      </c>
      <c r="I13" s="12">
        <v>1</v>
      </c>
    </row>
    <row r="14" spans="2:9" ht="15" customHeight="1" x14ac:dyDescent="0.2">
      <c r="B14" t="s">
        <v>55</v>
      </c>
      <c r="C14" s="12">
        <v>556</v>
      </c>
      <c r="D14" s="8">
        <v>7.1</v>
      </c>
      <c r="E14" s="12">
        <v>287</v>
      </c>
      <c r="F14" s="8">
        <v>7.21</v>
      </c>
      <c r="G14" s="12">
        <v>266</v>
      </c>
      <c r="H14" s="8">
        <v>6.99</v>
      </c>
      <c r="I14" s="12">
        <v>1</v>
      </c>
    </row>
    <row r="15" spans="2:9" ht="15" customHeight="1" x14ac:dyDescent="0.2">
      <c r="B15" t="s">
        <v>56</v>
      </c>
      <c r="C15" s="12">
        <v>1058</v>
      </c>
      <c r="D15" s="8">
        <v>13.51</v>
      </c>
      <c r="E15" s="12">
        <v>859</v>
      </c>
      <c r="F15" s="8">
        <v>21.57</v>
      </c>
      <c r="G15" s="12">
        <v>194</v>
      </c>
      <c r="H15" s="8">
        <v>5.0999999999999996</v>
      </c>
      <c r="I15" s="12">
        <v>1</v>
      </c>
    </row>
    <row r="16" spans="2:9" ht="15" customHeight="1" x14ac:dyDescent="0.2">
      <c r="B16" t="s">
        <v>57</v>
      </c>
      <c r="C16" s="12">
        <v>927</v>
      </c>
      <c r="D16" s="8">
        <v>11.84</v>
      </c>
      <c r="E16" s="12">
        <v>707</v>
      </c>
      <c r="F16" s="8">
        <v>17.75</v>
      </c>
      <c r="G16" s="12">
        <v>214</v>
      </c>
      <c r="H16" s="8">
        <v>5.63</v>
      </c>
      <c r="I16" s="12">
        <v>2</v>
      </c>
    </row>
    <row r="17" spans="2:9" ht="15" customHeight="1" x14ac:dyDescent="0.2">
      <c r="B17" t="s">
        <v>58</v>
      </c>
      <c r="C17" s="12">
        <v>278</v>
      </c>
      <c r="D17" s="8">
        <v>3.55</v>
      </c>
      <c r="E17" s="12">
        <v>186</v>
      </c>
      <c r="F17" s="8">
        <v>4.67</v>
      </c>
      <c r="G17" s="12">
        <v>85</v>
      </c>
      <c r="H17" s="8">
        <v>2.23</v>
      </c>
      <c r="I17" s="12">
        <v>2</v>
      </c>
    </row>
    <row r="18" spans="2:9" ht="15" customHeight="1" x14ac:dyDescent="0.2">
      <c r="B18" t="s">
        <v>59</v>
      </c>
      <c r="C18" s="12">
        <v>361</v>
      </c>
      <c r="D18" s="8">
        <v>4.6100000000000003</v>
      </c>
      <c r="E18" s="12">
        <v>207</v>
      </c>
      <c r="F18" s="8">
        <v>5.2</v>
      </c>
      <c r="G18" s="12">
        <v>139</v>
      </c>
      <c r="H18" s="8">
        <v>3.65</v>
      </c>
      <c r="I18" s="12">
        <v>11</v>
      </c>
    </row>
    <row r="19" spans="2:9" ht="15" customHeight="1" x14ac:dyDescent="0.2">
      <c r="B19" t="s">
        <v>60</v>
      </c>
      <c r="C19" s="12">
        <v>236</v>
      </c>
      <c r="D19" s="8">
        <v>3.01</v>
      </c>
      <c r="E19" s="12">
        <v>76</v>
      </c>
      <c r="F19" s="8">
        <v>1.91</v>
      </c>
      <c r="G19" s="12">
        <v>154</v>
      </c>
      <c r="H19" s="8">
        <v>4.05</v>
      </c>
      <c r="I19" s="12">
        <v>4</v>
      </c>
    </row>
    <row r="20" spans="2:9" ht="15" customHeight="1" x14ac:dyDescent="0.2">
      <c r="B20" s="9" t="s">
        <v>191</v>
      </c>
      <c r="C20" s="12">
        <f>SUM(LTBL_22101[総数／事業所数])</f>
        <v>7830</v>
      </c>
      <c r="E20" s="12">
        <f>SUBTOTAL(109,LTBL_22101[個人／事業所数])</f>
        <v>3982</v>
      </c>
      <c r="G20" s="12">
        <f>SUBTOTAL(109,LTBL_22101[法人／事業所数])</f>
        <v>3804</v>
      </c>
      <c r="I20" s="12">
        <f>SUBTOTAL(109,LTBL_22101[法人以外の団体／事業所数])</f>
        <v>22</v>
      </c>
    </row>
    <row r="21" spans="2:9" ht="15" customHeight="1" x14ac:dyDescent="0.2">
      <c r="E21" s="11">
        <f>LTBL_22101[[#Totals],[個人／事業所数]]/LTBL_22101[[#Totals],[総数／事業所数]]</f>
        <v>0.50855683269476371</v>
      </c>
      <c r="G21" s="11">
        <f>LTBL_22101[[#Totals],[法人／事業所数]]/LTBL_22101[[#Totals],[総数／事業所数]]</f>
        <v>0.48582375478927203</v>
      </c>
      <c r="I21" s="11">
        <f>LTBL_22101[[#Totals],[法人以外の団体／事業所数]]/LTBL_22101[[#Totals],[総数／事業所数]]</f>
        <v>2.80970625798212E-3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84</v>
      </c>
      <c r="C24" s="12">
        <v>980</v>
      </c>
      <c r="D24" s="8">
        <v>12.52</v>
      </c>
      <c r="E24" s="12">
        <v>829</v>
      </c>
      <c r="F24" s="8">
        <v>20.82</v>
      </c>
      <c r="G24" s="12">
        <v>150</v>
      </c>
      <c r="H24" s="8">
        <v>3.94</v>
      </c>
      <c r="I24" s="12">
        <v>1</v>
      </c>
    </row>
    <row r="25" spans="2:9" ht="15" customHeight="1" x14ac:dyDescent="0.2">
      <c r="B25" t="s">
        <v>85</v>
      </c>
      <c r="C25" s="12">
        <v>790</v>
      </c>
      <c r="D25" s="8">
        <v>10.09</v>
      </c>
      <c r="E25" s="12">
        <v>653</v>
      </c>
      <c r="F25" s="8">
        <v>16.399999999999999</v>
      </c>
      <c r="G25" s="12">
        <v>136</v>
      </c>
      <c r="H25" s="8">
        <v>3.58</v>
      </c>
      <c r="I25" s="12">
        <v>1</v>
      </c>
    </row>
    <row r="26" spans="2:9" ht="15" customHeight="1" x14ac:dyDescent="0.2">
      <c r="B26" t="s">
        <v>81</v>
      </c>
      <c r="C26" s="12">
        <v>526</v>
      </c>
      <c r="D26" s="8">
        <v>6.72</v>
      </c>
      <c r="E26" s="12">
        <v>159</v>
      </c>
      <c r="F26" s="8">
        <v>3.99</v>
      </c>
      <c r="G26" s="12">
        <v>365</v>
      </c>
      <c r="H26" s="8">
        <v>9.6</v>
      </c>
      <c r="I26" s="12">
        <v>1</v>
      </c>
    </row>
    <row r="27" spans="2:9" ht="15" customHeight="1" x14ac:dyDescent="0.2">
      <c r="B27" t="s">
        <v>79</v>
      </c>
      <c r="C27" s="12">
        <v>517</v>
      </c>
      <c r="D27" s="8">
        <v>6.6</v>
      </c>
      <c r="E27" s="12">
        <v>266</v>
      </c>
      <c r="F27" s="8">
        <v>6.68</v>
      </c>
      <c r="G27" s="12">
        <v>251</v>
      </c>
      <c r="H27" s="8">
        <v>6.6</v>
      </c>
      <c r="I27" s="12">
        <v>0</v>
      </c>
    </row>
    <row r="28" spans="2:9" ht="15" customHeight="1" x14ac:dyDescent="0.2">
      <c r="B28" t="s">
        <v>77</v>
      </c>
      <c r="C28" s="12">
        <v>391</v>
      </c>
      <c r="D28" s="8">
        <v>4.99</v>
      </c>
      <c r="E28" s="12">
        <v>279</v>
      </c>
      <c r="F28" s="8">
        <v>7.01</v>
      </c>
      <c r="G28" s="12">
        <v>112</v>
      </c>
      <c r="H28" s="8">
        <v>2.94</v>
      </c>
      <c r="I28" s="12">
        <v>0</v>
      </c>
    </row>
    <row r="29" spans="2:9" ht="15" customHeight="1" x14ac:dyDescent="0.2">
      <c r="B29" t="s">
        <v>69</v>
      </c>
      <c r="C29" s="12">
        <v>340</v>
      </c>
      <c r="D29" s="8">
        <v>4.34</v>
      </c>
      <c r="E29" s="12">
        <v>67</v>
      </c>
      <c r="F29" s="8">
        <v>1.68</v>
      </c>
      <c r="G29" s="12">
        <v>273</v>
      </c>
      <c r="H29" s="8">
        <v>7.18</v>
      </c>
      <c r="I29" s="12">
        <v>0</v>
      </c>
    </row>
    <row r="30" spans="2:9" ht="15" customHeight="1" x14ac:dyDescent="0.2">
      <c r="B30" t="s">
        <v>82</v>
      </c>
      <c r="C30" s="12">
        <v>329</v>
      </c>
      <c r="D30" s="8">
        <v>4.2</v>
      </c>
      <c r="E30" s="12">
        <v>205</v>
      </c>
      <c r="F30" s="8">
        <v>5.15</v>
      </c>
      <c r="G30" s="12">
        <v>124</v>
      </c>
      <c r="H30" s="8">
        <v>3.26</v>
      </c>
      <c r="I30" s="12">
        <v>0</v>
      </c>
    </row>
    <row r="31" spans="2:9" ht="15" customHeight="1" x14ac:dyDescent="0.2">
      <c r="B31" t="s">
        <v>76</v>
      </c>
      <c r="C31" s="12">
        <v>320</v>
      </c>
      <c r="D31" s="8">
        <v>4.09</v>
      </c>
      <c r="E31" s="12">
        <v>148</v>
      </c>
      <c r="F31" s="8">
        <v>3.72</v>
      </c>
      <c r="G31" s="12">
        <v>172</v>
      </c>
      <c r="H31" s="8">
        <v>4.5199999999999996</v>
      </c>
      <c r="I31" s="12">
        <v>0</v>
      </c>
    </row>
    <row r="32" spans="2:9" ht="15" customHeight="1" x14ac:dyDescent="0.2">
      <c r="B32" t="s">
        <v>86</v>
      </c>
      <c r="C32" s="12">
        <v>278</v>
      </c>
      <c r="D32" s="8">
        <v>3.55</v>
      </c>
      <c r="E32" s="12">
        <v>186</v>
      </c>
      <c r="F32" s="8">
        <v>4.67</v>
      </c>
      <c r="G32" s="12">
        <v>85</v>
      </c>
      <c r="H32" s="8">
        <v>2.23</v>
      </c>
      <c r="I32" s="12">
        <v>2</v>
      </c>
    </row>
    <row r="33" spans="2:9" ht="15" customHeight="1" x14ac:dyDescent="0.2">
      <c r="B33" t="s">
        <v>70</v>
      </c>
      <c r="C33" s="12">
        <v>254</v>
      </c>
      <c r="D33" s="8">
        <v>3.24</v>
      </c>
      <c r="E33" s="12">
        <v>95</v>
      </c>
      <c r="F33" s="8">
        <v>2.39</v>
      </c>
      <c r="G33" s="12">
        <v>159</v>
      </c>
      <c r="H33" s="8">
        <v>4.18</v>
      </c>
      <c r="I33" s="12">
        <v>0</v>
      </c>
    </row>
    <row r="34" spans="2:9" ht="15" customHeight="1" x14ac:dyDescent="0.2">
      <c r="B34" t="s">
        <v>87</v>
      </c>
      <c r="C34" s="12">
        <v>229</v>
      </c>
      <c r="D34" s="8">
        <v>2.92</v>
      </c>
      <c r="E34" s="12">
        <v>206</v>
      </c>
      <c r="F34" s="8">
        <v>5.17</v>
      </c>
      <c r="G34" s="12">
        <v>23</v>
      </c>
      <c r="H34" s="8">
        <v>0.6</v>
      </c>
      <c r="I34" s="12">
        <v>0</v>
      </c>
    </row>
    <row r="35" spans="2:9" ht="15" customHeight="1" x14ac:dyDescent="0.2">
      <c r="B35" t="s">
        <v>78</v>
      </c>
      <c r="C35" s="12">
        <v>204</v>
      </c>
      <c r="D35" s="8">
        <v>2.61</v>
      </c>
      <c r="E35" s="12">
        <v>133</v>
      </c>
      <c r="F35" s="8">
        <v>3.34</v>
      </c>
      <c r="G35" s="12">
        <v>71</v>
      </c>
      <c r="H35" s="8">
        <v>1.87</v>
      </c>
      <c r="I35" s="12">
        <v>0</v>
      </c>
    </row>
    <row r="36" spans="2:9" ht="15" customHeight="1" x14ac:dyDescent="0.2">
      <c r="B36" t="s">
        <v>83</v>
      </c>
      <c r="C36" s="12">
        <v>196</v>
      </c>
      <c r="D36" s="8">
        <v>2.5</v>
      </c>
      <c r="E36" s="12">
        <v>80</v>
      </c>
      <c r="F36" s="8">
        <v>2.0099999999999998</v>
      </c>
      <c r="G36" s="12">
        <v>114</v>
      </c>
      <c r="H36" s="8">
        <v>3</v>
      </c>
      <c r="I36" s="12">
        <v>0</v>
      </c>
    </row>
    <row r="37" spans="2:9" ht="15" customHeight="1" x14ac:dyDescent="0.2">
      <c r="B37" t="s">
        <v>71</v>
      </c>
      <c r="C37" s="12">
        <v>163</v>
      </c>
      <c r="D37" s="8">
        <v>2.08</v>
      </c>
      <c r="E37" s="12">
        <v>48</v>
      </c>
      <c r="F37" s="8">
        <v>1.21</v>
      </c>
      <c r="G37" s="12">
        <v>115</v>
      </c>
      <c r="H37" s="8">
        <v>3.02</v>
      </c>
      <c r="I37" s="12">
        <v>0</v>
      </c>
    </row>
    <row r="38" spans="2:9" ht="15" customHeight="1" x14ac:dyDescent="0.2">
      <c r="B38" t="s">
        <v>75</v>
      </c>
      <c r="C38" s="12">
        <v>143</v>
      </c>
      <c r="D38" s="8">
        <v>1.83</v>
      </c>
      <c r="E38" s="12">
        <v>18</v>
      </c>
      <c r="F38" s="8">
        <v>0.45</v>
      </c>
      <c r="G38" s="12">
        <v>125</v>
      </c>
      <c r="H38" s="8">
        <v>3.29</v>
      </c>
      <c r="I38" s="12">
        <v>0</v>
      </c>
    </row>
    <row r="39" spans="2:9" ht="15" customHeight="1" x14ac:dyDescent="0.2">
      <c r="B39" t="s">
        <v>80</v>
      </c>
      <c r="C39" s="12">
        <v>133</v>
      </c>
      <c r="D39" s="8">
        <v>1.7</v>
      </c>
      <c r="E39" s="12">
        <v>32</v>
      </c>
      <c r="F39" s="8">
        <v>0.8</v>
      </c>
      <c r="G39" s="12">
        <v>101</v>
      </c>
      <c r="H39" s="8">
        <v>2.66</v>
      </c>
      <c r="I39" s="12">
        <v>0</v>
      </c>
    </row>
    <row r="40" spans="2:9" ht="15" customHeight="1" x14ac:dyDescent="0.2">
      <c r="B40" t="s">
        <v>90</v>
      </c>
      <c r="C40" s="12">
        <v>132</v>
      </c>
      <c r="D40" s="8">
        <v>1.69</v>
      </c>
      <c r="E40" s="12">
        <v>1</v>
      </c>
      <c r="F40" s="8">
        <v>0.03</v>
      </c>
      <c r="G40" s="12">
        <v>116</v>
      </c>
      <c r="H40" s="8">
        <v>3.05</v>
      </c>
      <c r="I40" s="12">
        <v>11</v>
      </c>
    </row>
    <row r="41" spans="2:9" ht="15" customHeight="1" x14ac:dyDescent="0.2">
      <c r="B41" t="s">
        <v>89</v>
      </c>
      <c r="C41" s="12">
        <v>126</v>
      </c>
      <c r="D41" s="8">
        <v>1.61</v>
      </c>
      <c r="E41" s="12">
        <v>24</v>
      </c>
      <c r="F41" s="8">
        <v>0.6</v>
      </c>
      <c r="G41" s="12">
        <v>102</v>
      </c>
      <c r="H41" s="8">
        <v>2.68</v>
      </c>
      <c r="I41" s="12">
        <v>0</v>
      </c>
    </row>
    <row r="42" spans="2:9" ht="15" customHeight="1" x14ac:dyDescent="0.2">
      <c r="B42" t="s">
        <v>74</v>
      </c>
      <c r="C42" s="12">
        <v>114</v>
      </c>
      <c r="D42" s="8">
        <v>1.46</v>
      </c>
      <c r="E42" s="12">
        <v>14</v>
      </c>
      <c r="F42" s="8">
        <v>0.35</v>
      </c>
      <c r="G42" s="12">
        <v>100</v>
      </c>
      <c r="H42" s="8">
        <v>2.63</v>
      </c>
      <c r="I42" s="12">
        <v>0</v>
      </c>
    </row>
    <row r="43" spans="2:9" ht="15" customHeight="1" x14ac:dyDescent="0.2">
      <c r="B43" t="s">
        <v>91</v>
      </c>
      <c r="C43" s="12">
        <v>113</v>
      </c>
      <c r="D43" s="8">
        <v>1.44</v>
      </c>
      <c r="E43" s="12">
        <v>65</v>
      </c>
      <c r="F43" s="8">
        <v>1.63</v>
      </c>
      <c r="G43" s="12">
        <v>48</v>
      </c>
      <c r="H43" s="8">
        <v>1.26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421</v>
      </c>
      <c r="D47" s="8">
        <v>5.38</v>
      </c>
      <c r="E47" s="12">
        <v>357</v>
      </c>
      <c r="F47" s="8">
        <v>8.9700000000000006</v>
      </c>
      <c r="G47" s="12">
        <v>64</v>
      </c>
      <c r="H47" s="8">
        <v>1.68</v>
      </c>
      <c r="I47" s="12">
        <v>0</v>
      </c>
    </row>
    <row r="48" spans="2:9" ht="15" customHeight="1" x14ac:dyDescent="0.2">
      <c r="B48" t="s">
        <v>129</v>
      </c>
      <c r="C48" s="12">
        <v>280</v>
      </c>
      <c r="D48" s="8">
        <v>3.58</v>
      </c>
      <c r="E48" s="12">
        <v>255</v>
      </c>
      <c r="F48" s="8">
        <v>6.4</v>
      </c>
      <c r="G48" s="12">
        <v>25</v>
      </c>
      <c r="H48" s="8">
        <v>0.66</v>
      </c>
      <c r="I48" s="12">
        <v>0</v>
      </c>
    </row>
    <row r="49" spans="2:9" ht="15" customHeight="1" x14ac:dyDescent="0.2">
      <c r="B49" t="s">
        <v>128</v>
      </c>
      <c r="C49" s="12">
        <v>248</v>
      </c>
      <c r="D49" s="8">
        <v>3.17</v>
      </c>
      <c r="E49" s="12">
        <v>197</v>
      </c>
      <c r="F49" s="8">
        <v>4.95</v>
      </c>
      <c r="G49" s="12">
        <v>51</v>
      </c>
      <c r="H49" s="8">
        <v>1.34</v>
      </c>
      <c r="I49" s="12">
        <v>0</v>
      </c>
    </row>
    <row r="50" spans="2:9" ht="15" customHeight="1" x14ac:dyDescent="0.2">
      <c r="B50" t="s">
        <v>126</v>
      </c>
      <c r="C50" s="12">
        <v>241</v>
      </c>
      <c r="D50" s="8">
        <v>3.08</v>
      </c>
      <c r="E50" s="12">
        <v>90</v>
      </c>
      <c r="F50" s="8">
        <v>2.2599999999999998</v>
      </c>
      <c r="G50" s="12">
        <v>151</v>
      </c>
      <c r="H50" s="8">
        <v>3.97</v>
      </c>
      <c r="I50" s="12">
        <v>0</v>
      </c>
    </row>
    <row r="51" spans="2:9" ht="15" customHeight="1" x14ac:dyDescent="0.2">
      <c r="B51" t="s">
        <v>131</v>
      </c>
      <c r="C51" s="12">
        <v>196</v>
      </c>
      <c r="D51" s="8">
        <v>2.5</v>
      </c>
      <c r="E51" s="12">
        <v>189</v>
      </c>
      <c r="F51" s="8">
        <v>4.75</v>
      </c>
      <c r="G51" s="12">
        <v>7</v>
      </c>
      <c r="H51" s="8">
        <v>0.18</v>
      </c>
      <c r="I51" s="12">
        <v>0</v>
      </c>
    </row>
    <row r="52" spans="2:9" ht="15" customHeight="1" x14ac:dyDescent="0.2">
      <c r="B52" t="s">
        <v>124</v>
      </c>
      <c r="C52" s="12">
        <v>174</v>
      </c>
      <c r="D52" s="8">
        <v>2.2200000000000002</v>
      </c>
      <c r="E52" s="12">
        <v>105</v>
      </c>
      <c r="F52" s="8">
        <v>2.64</v>
      </c>
      <c r="G52" s="12">
        <v>69</v>
      </c>
      <c r="H52" s="8">
        <v>1.81</v>
      </c>
      <c r="I52" s="12">
        <v>0</v>
      </c>
    </row>
    <row r="53" spans="2:9" ht="15" customHeight="1" x14ac:dyDescent="0.2">
      <c r="B53" t="s">
        <v>121</v>
      </c>
      <c r="C53" s="12">
        <v>172</v>
      </c>
      <c r="D53" s="8">
        <v>2.2000000000000002</v>
      </c>
      <c r="E53" s="12">
        <v>118</v>
      </c>
      <c r="F53" s="8">
        <v>2.96</v>
      </c>
      <c r="G53" s="12">
        <v>54</v>
      </c>
      <c r="H53" s="8">
        <v>1.42</v>
      </c>
      <c r="I53" s="12">
        <v>0</v>
      </c>
    </row>
    <row r="54" spans="2:9" ht="15" customHeight="1" x14ac:dyDescent="0.2">
      <c r="B54" t="s">
        <v>130</v>
      </c>
      <c r="C54" s="12">
        <v>171</v>
      </c>
      <c r="D54" s="8">
        <v>2.1800000000000002</v>
      </c>
      <c r="E54" s="12">
        <v>154</v>
      </c>
      <c r="F54" s="8">
        <v>3.87</v>
      </c>
      <c r="G54" s="12">
        <v>17</v>
      </c>
      <c r="H54" s="8">
        <v>0.45</v>
      </c>
      <c r="I54" s="12">
        <v>0</v>
      </c>
    </row>
    <row r="55" spans="2:9" ht="15" customHeight="1" x14ac:dyDescent="0.2">
      <c r="B55" t="s">
        <v>133</v>
      </c>
      <c r="C55" s="12">
        <v>170</v>
      </c>
      <c r="D55" s="8">
        <v>2.17</v>
      </c>
      <c r="E55" s="12">
        <v>128</v>
      </c>
      <c r="F55" s="8">
        <v>3.21</v>
      </c>
      <c r="G55" s="12">
        <v>42</v>
      </c>
      <c r="H55" s="8">
        <v>1.1000000000000001</v>
      </c>
      <c r="I55" s="12">
        <v>0</v>
      </c>
    </row>
    <row r="56" spans="2:9" ht="15" customHeight="1" x14ac:dyDescent="0.2">
      <c r="B56" t="s">
        <v>134</v>
      </c>
      <c r="C56" s="12">
        <v>165</v>
      </c>
      <c r="D56" s="8">
        <v>2.11</v>
      </c>
      <c r="E56" s="12">
        <v>149</v>
      </c>
      <c r="F56" s="8">
        <v>3.74</v>
      </c>
      <c r="G56" s="12">
        <v>16</v>
      </c>
      <c r="H56" s="8">
        <v>0.42</v>
      </c>
      <c r="I56" s="12">
        <v>0</v>
      </c>
    </row>
    <row r="57" spans="2:9" ht="15" customHeight="1" x14ac:dyDescent="0.2">
      <c r="B57" t="s">
        <v>125</v>
      </c>
      <c r="C57" s="12">
        <v>151</v>
      </c>
      <c r="D57" s="8">
        <v>1.93</v>
      </c>
      <c r="E57" s="12">
        <v>30</v>
      </c>
      <c r="F57" s="8">
        <v>0.75</v>
      </c>
      <c r="G57" s="12">
        <v>121</v>
      </c>
      <c r="H57" s="8">
        <v>3.18</v>
      </c>
      <c r="I57" s="12">
        <v>0</v>
      </c>
    </row>
    <row r="58" spans="2:9" ht="15" customHeight="1" x14ac:dyDescent="0.2">
      <c r="B58" t="s">
        <v>127</v>
      </c>
      <c r="C58" s="12">
        <v>145</v>
      </c>
      <c r="D58" s="8">
        <v>1.85</v>
      </c>
      <c r="E58" s="12">
        <v>54</v>
      </c>
      <c r="F58" s="8">
        <v>1.36</v>
      </c>
      <c r="G58" s="12">
        <v>89</v>
      </c>
      <c r="H58" s="8">
        <v>2.34</v>
      </c>
      <c r="I58" s="12">
        <v>0</v>
      </c>
    </row>
    <row r="59" spans="2:9" ht="15" customHeight="1" x14ac:dyDescent="0.2">
      <c r="B59" t="s">
        <v>137</v>
      </c>
      <c r="C59" s="12">
        <v>128</v>
      </c>
      <c r="D59" s="8">
        <v>1.63</v>
      </c>
      <c r="E59" s="12">
        <v>61</v>
      </c>
      <c r="F59" s="8">
        <v>1.53</v>
      </c>
      <c r="G59" s="12">
        <v>67</v>
      </c>
      <c r="H59" s="8">
        <v>1.76</v>
      </c>
      <c r="I59" s="12">
        <v>0</v>
      </c>
    </row>
    <row r="60" spans="2:9" ht="15" customHeight="1" x14ac:dyDescent="0.2">
      <c r="B60" t="s">
        <v>123</v>
      </c>
      <c r="C60" s="12">
        <v>117</v>
      </c>
      <c r="D60" s="8">
        <v>1.49</v>
      </c>
      <c r="E60" s="12">
        <v>35</v>
      </c>
      <c r="F60" s="8">
        <v>0.88</v>
      </c>
      <c r="G60" s="12">
        <v>82</v>
      </c>
      <c r="H60" s="8">
        <v>2.16</v>
      </c>
      <c r="I60" s="12">
        <v>0</v>
      </c>
    </row>
    <row r="61" spans="2:9" ht="15" customHeight="1" x14ac:dyDescent="0.2">
      <c r="B61" t="s">
        <v>139</v>
      </c>
      <c r="C61" s="12">
        <v>111</v>
      </c>
      <c r="D61" s="8">
        <v>1.42</v>
      </c>
      <c r="E61" s="12">
        <v>97</v>
      </c>
      <c r="F61" s="8">
        <v>2.44</v>
      </c>
      <c r="G61" s="12">
        <v>14</v>
      </c>
      <c r="H61" s="8">
        <v>0.37</v>
      </c>
      <c r="I61" s="12">
        <v>0</v>
      </c>
    </row>
    <row r="62" spans="2:9" ht="15" customHeight="1" x14ac:dyDescent="0.2">
      <c r="B62" t="s">
        <v>122</v>
      </c>
      <c r="C62" s="12">
        <v>110</v>
      </c>
      <c r="D62" s="8">
        <v>1.4</v>
      </c>
      <c r="E62" s="12">
        <v>68</v>
      </c>
      <c r="F62" s="8">
        <v>1.71</v>
      </c>
      <c r="G62" s="12">
        <v>42</v>
      </c>
      <c r="H62" s="8">
        <v>1.1000000000000001</v>
      </c>
      <c r="I62" s="12">
        <v>0</v>
      </c>
    </row>
    <row r="63" spans="2:9" ht="15" customHeight="1" x14ac:dyDescent="0.2">
      <c r="B63" t="s">
        <v>136</v>
      </c>
      <c r="C63" s="12">
        <v>106</v>
      </c>
      <c r="D63" s="8">
        <v>1.35</v>
      </c>
      <c r="E63" s="12">
        <v>81</v>
      </c>
      <c r="F63" s="8">
        <v>2.0299999999999998</v>
      </c>
      <c r="G63" s="12">
        <v>25</v>
      </c>
      <c r="H63" s="8">
        <v>0.66</v>
      </c>
      <c r="I63" s="12">
        <v>0</v>
      </c>
    </row>
    <row r="64" spans="2:9" ht="15" customHeight="1" x14ac:dyDescent="0.2">
      <c r="B64" t="s">
        <v>117</v>
      </c>
      <c r="C64" s="12">
        <v>96</v>
      </c>
      <c r="D64" s="8">
        <v>1.23</v>
      </c>
      <c r="E64" s="12">
        <v>16</v>
      </c>
      <c r="F64" s="8">
        <v>0.4</v>
      </c>
      <c r="G64" s="12">
        <v>80</v>
      </c>
      <c r="H64" s="8">
        <v>2.1</v>
      </c>
      <c r="I64" s="12">
        <v>0</v>
      </c>
    </row>
    <row r="65" spans="2:9" ht="15" customHeight="1" x14ac:dyDescent="0.2">
      <c r="B65" t="s">
        <v>140</v>
      </c>
      <c r="C65" s="12">
        <v>96</v>
      </c>
      <c r="D65" s="8">
        <v>1.23</v>
      </c>
      <c r="E65" s="12">
        <v>63</v>
      </c>
      <c r="F65" s="8">
        <v>1.58</v>
      </c>
      <c r="G65" s="12">
        <v>33</v>
      </c>
      <c r="H65" s="8">
        <v>0.87</v>
      </c>
      <c r="I65" s="12">
        <v>0</v>
      </c>
    </row>
    <row r="66" spans="2:9" ht="15" customHeight="1" x14ac:dyDescent="0.2">
      <c r="B66" t="s">
        <v>138</v>
      </c>
      <c r="C66" s="12">
        <v>95</v>
      </c>
      <c r="D66" s="8">
        <v>1.21</v>
      </c>
      <c r="E66" s="12">
        <v>28</v>
      </c>
      <c r="F66" s="8">
        <v>0.7</v>
      </c>
      <c r="G66" s="12">
        <v>67</v>
      </c>
      <c r="H66" s="8">
        <v>1.76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08A02-2C2F-4D50-A316-4126CF959684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197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823</v>
      </c>
      <c r="D6" s="8">
        <v>15.31</v>
      </c>
      <c r="E6" s="12">
        <v>161</v>
      </c>
      <c r="F6" s="8">
        <v>6.82</v>
      </c>
      <c r="G6" s="12">
        <v>662</v>
      </c>
      <c r="H6" s="8">
        <v>22.04</v>
      </c>
      <c r="I6" s="12">
        <v>0</v>
      </c>
    </row>
    <row r="7" spans="2:9" ht="15" customHeight="1" x14ac:dyDescent="0.2">
      <c r="B7" t="s">
        <v>48</v>
      </c>
      <c r="C7" s="12">
        <v>641</v>
      </c>
      <c r="D7" s="8">
        <v>11.92</v>
      </c>
      <c r="E7" s="12">
        <v>228</v>
      </c>
      <c r="F7" s="8">
        <v>9.66</v>
      </c>
      <c r="G7" s="12">
        <v>413</v>
      </c>
      <c r="H7" s="8">
        <v>13.75</v>
      </c>
      <c r="I7" s="12">
        <v>0</v>
      </c>
    </row>
    <row r="8" spans="2:9" ht="15" customHeight="1" x14ac:dyDescent="0.2">
      <c r="B8" t="s">
        <v>49</v>
      </c>
      <c r="C8" s="12">
        <v>2</v>
      </c>
      <c r="D8" s="8">
        <v>0.04</v>
      </c>
      <c r="E8" s="12">
        <v>0</v>
      </c>
      <c r="F8" s="8">
        <v>0</v>
      </c>
      <c r="G8" s="12">
        <v>2</v>
      </c>
      <c r="H8" s="8">
        <v>7.0000000000000007E-2</v>
      </c>
      <c r="I8" s="12">
        <v>0</v>
      </c>
    </row>
    <row r="9" spans="2:9" ht="15" customHeight="1" x14ac:dyDescent="0.2">
      <c r="B9" t="s">
        <v>50</v>
      </c>
      <c r="C9" s="12">
        <v>53</v>
      </c>
      <c r="D9" s="8">
        <v>0.99</v>
      </c>
      <c r="E9" s="12">
        <v>1</v>
      </c>
      <c r="F9" s="8">
        <v>0.04</v>
      </c>
      <c r="G9" s="12">
        <v>51</v>
      </c>
      <c r="H9" s="8">
        <v>1.7</v>
      </c>
      <c r="I9" s="12">
        <v>1</v>
      </c>
    </row>
    <row r="10" spans="2:9" ht="15" customHeight="1" x14ac:dyDescent="0.2">
      <c r="B10" t="s">
        <v>51</v>
      </c>
      <c r="C10" s="12">
        <v>38</v>
      </c>
      <c r="D10" s="8">
        <v>0.71</v>
      </c>
      <c r="E10" s="12">
        <v>5</v>
      </c>
      <c r="F10" s="8">
        <v>0.21</v>
      </c>
      <c r="G10" s="12">
        <v>33</v>
      </c>
      <c r="H10" s="8">
        <v>1.1000000000000001</v>
      </c>
      <c r="I10" s="12">
        <v>0</v>
      </c>
    </row>
    <row r="11" spans="2:9" ht="15" customHeight="1" x14ac:dyDescent="0.2">
      <c r="B11" t="s">
        <v>52</v>
      </c>
      <c r="C11" s="12">
        <v>1232</v>
      </c>
      <c r="D11" s="8">
        <v>22.92</v>
      </c>
      <c r="E11" s="12">
        <v>456</v>
      </c>
      <c r="F11" s="8">
        <v>19.32</v>
      </c>
      <c r="G11" s="12">
        <v>775</v>
      </c>
      <c r="H11" s="8">
        <v>25.8</v>
      </c>
      <c r="I11" s="12">
        <v>1</v>
      </c>
    </row>
    <row r="12" spans="2:9" ht="15" customHeight="1" x14ac:dyDescent="0.2">
      <c r="B12" t="s">
        <v>53</v>
      </c>
      <c r="C12" s="12">
        <v>43</v>
      </c>
      <c r="D12" s="8">
        <v>0.8</v>
      </c>
      <c r="E12" s="12">
        <v>10</v>
      </c>
      <c r="F12" s="8">
        <v>0.42</v>
      </c>
      <c r="G12" s="12">
        <v>33</v>
      </c>
      <c r="H12" s="8">
        <v>1.1000000000000001</v>
      </c>
      <c r="I12" s="12">
        <v>0</v>
      </c>
    </row>
    <row r="13" spans="2:9" ht="15" customHeight="1" x14ac:dyDescent="0.2">
      <c r="B13" t="s">
        <v>54</v>
      </c>
      <c r="C13" s="12">
        <v>618</v>
      </c>
      <c r="D13" s="8">
        <v>11.5</v>
      </c>
      <c r="E13" s="12">
        <v>195</v>
      </c>
      <c r="F13" s="8">
        <v>8.26</v>
      </c>
      <c r="G13" s="12">
        <v>423</v>
      </c>
      <c r="H13" s="8">
        <v>14.08</v>
      </c>
      <c r="I13" s="12">
        <v>0</v>
      </c>
    </row>
    <row r="14" spans="2:9" ht="15" customHeight="1" x14ac:dyDescent="0.2">
      <c r="B14" t="s">
        <v>55</v>
      </c>
      <c r="C14" s="12">
        <v>305</v>
      </c>
      <c r="D14" s="8">
        <v>5.67</v>
      </c>
      <c r="E14" s="12">
        <v>128</v>
      </c>
      <c r="F14" s="8">
        <v>5.42</v>
      </c>
      <c r="G14" s="12">
        <v>177</v>
      </c>
      <c r="H14" s="8">
        <v>5.89</v>
      </c>
      <c r="I14" s="12">
        <v>0</v>
      </c>
    </row>
    <row r="15" spans="2:9" ht="15" customHeight="1" x14ac:dyDescent="0.2">
      <c r="B15" t="s">
        <v>56</v>
      </c>
      <c r="C15" s="12">
        <v>452</v>
      </c>
      <c r="D15" s="8">
        <v>8.41</v>
      </c>
      <c r="E15" s="12">
        <v>377</v>
      </c>
      <c r="F15" s="8">
        <v>15.97</v>
      </c>
      <c r="G15" s="12">
        <v>72</v>
      </c>
      <c r="H15" s="8">
        <v>2.4</v>
      </c>
      <c r="I15" s="12">
        <v>0</v>
      </c>
    </row>
    <row r="16" spans="2:9" ht="15" customHeight="1" x14ac:dyDescent="0.2">
      <c r="B16" t="s">
        <v>57</v>
      </c>
      <c r="C16" s="12">
        <v>587</v>
      </c>
      <c r="D16" s="8">
        <v>10.92</v>
      </c>
      <c r="E16" s="12">
        <v>473</v>
      </c>
      <c r="F16" s="8">
        <v>20.04</v>
      </c>
      <c r="G16" s="12">
        <v>113</v>
      </c>
      <c r="H16" s="8">
        <v>3.76</v>
      </c>
      <c r="I16" s="12">
        <v>0</v>
      </c>
    </row>
    <row r="17" spans="2:9" ht="15" customHeight="1" x14ac:dyDescent="0.2">
      <c r="B17" t="s">
        <v>58</v>
      </c>
      <c r="C17" s="12">
        <v>160</v>
      </c>
      <c r="D17" s="8">
        <v>2.98</v>
      </c>
      <c r="E17" s="12">
        <v>111</v>
      </c>
      <c r="F17" s="8">
        <v>4.7</v>
      </c>
      <c r="G17" s="12">
        <v>47</v>
      </c>
      <c r="H17" s="8">
        <v>1.56</v>
      </c>
      <c r="I17" s="12">
        <v>1</v>
      </c>
    </row>
    <row r="18" spans="2:9" ht="15" customHeight="1" x14ac:dyDescent="0.2">
      <c r="B18" t="s">
        <v>59</v>
      </c>
      <c r="C18" s="12">
        <v>227</v>
      </c>
      <c r="D18" s="8">
        <v>4.22</v>
      </c>
      <c r="E18" s="12">
        <v>138</v>
      </c>
      <c r="F18" s="8">
        <v>5.85</v>
      </c>
      <c r="G18" s="12">
        <v>86</v>
      </c>
      <c r="H18" s="8">
        <v>2.86</v>
      </c>
      <c r="I18" s="12">
        <v>0</v>
      </c>
    </row>
    <row r="19" spans="2:9" ht="15" customHeight="1" x14ac:dyDescent="0.2">
      <c r="B19" t="s">
        <v>60</v>
      </c>
      <c r="C19" s="12">
        <v>195</v>
      </c>
      <c r="D19" s="8">
        <v>3.63</v>
      </c>
      <c r="E19" s="12">
        <v>77</v>
      </c>
      <c r="F19" s="8">
        <v>3.26</v>
      </c>
      <c r="G19" s="12">
        <v>117</v>
      </c>
      <c r="H19" s="8">
        <v>3.89</v>
      </c>
      <c r="I19" s="12">
        <v>1</v>
      </c>
    </row>
    <row r="20" spans="2:9" ht="15" customHeight="1" x14ac:dyDescent="0.2">
      <c r="B20" s="9" t="s">
        <v>191</v>
      </c>
      <c r="C20" s="12">
        <f>SUM(LTBL_22102[総数／事業所数])</f>
        <v>5376</v>
      </c>
      <c r="E20" s="12">
        <f>SUBTOTAL(109,LTBL_22102[個人／事業所数])</f>
        <v>2360</v>
      </c>
      <c r="G20" s="12">
        <f>SUBTOTAL(109,LTBL_22102[法人／事業所数])</f>
        <v>3004</v>
      </c>
      <c r="I20" s="12">
        <f>SUBTOTAL(109,LTBL_22102[法人以外の団体／事業所数])</f>
        <v>4</v>
      </c>
    </row>
    <row r="21" spans="2:9" ht="15" customHeight="1" x14ac:dyDescent="0.2">
      <c r="E21" s="11">
        <f>LTBL_22102[[#Totals],[個人／事業所数]]/LTBL_22102[[#Totals],[総数／事業所数]]</f>
        <v>0.43898809523809523</v>
      </c>
      <c r="G21" s="11">
        <f>LTBL_22102[[#Totals],[法人／事業所数]]/LTBL_22102[[#Totals],[総数／事業所数]]</f>
        <v>0.55877976190476186</v>
      </c>
      <c r="I21" s="11">
        <f>LTBL_22102[[#Totals],[法人以外の団体／事業所数]]/LTBL_22102[[#Totals],[総数／事業所数]]</f>
        <v>7.4404761904761901E-4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508</v>
      </c>
      <c r="D24" s="8">
        <v>9.4499999999999993</v>
      </c>
      <c r="E24" s="12">
        <v>433</v>
      </c>
      <c r="F24" s="8">
        <v>18.350000000000001</v>
      </c>
      <c r="G24" s="12">
        <v>75</v>
      </c>
      <c r="H24" s="8">
        <v>2.5</v>
      </c>
      <c r="I24" s="12">
        <v>0</v>
      </c>
    </row>
    <row r="25" spans="2:9" ht="15" customHeight="1" x14ac:dyDescent="0.2">
      <c r="B25" t="s">
        <v>81</v>
      </c>
      <c r="C25" s="12">
        <v>475</v>
      </c>
      <c r="D25" s="8">
        <v>8.84</v>
      </c>
      <c r="E25" s="12">
        <v>167</v>
      </c>
      <c r="F25" s="8">
        <v>7.08</v>
      </c>
      <c r="G25" s="12">
        <v>308</v>
      </c>
      <c r="H25" s="8">
        <v>10.25</v>
      </c>
      <c r="I25" s="12">
        <v>0</v>
      </c>
    </row>
    <row r="26" spans="2:9" ht="15" customHeight="1" x14ac:dyDescent="0.2">
      <c r="B26" t="s">
        <v>84</v>
      </c>
      <c r="C26" s="12">
        <v>409</v>
      </c>
      <c r="D26" s="8">
        <v>7.61</v>
      </c>
      <c r="E26" s="12">
        <v>359</v>
      </c>
      <c r="F26" s="8">
        <v>15.21</v>
      </c>
      <c r="G26" s="12">
        <v>50</v>
      </c>
      <c r="H26" s="8">
        <v>1.66</v>
      </c>
      <c r="I26" s="12">
        <v>0</v>
      </c>
    </row>
    <row r="27" spans="2:9" ht="15" customHeight="1" x14ac:dyDescent="0.2">
      <c r="B27" t="s">
        <v>69</v>
      </c>
      <c r="C27" s="12">
        <v>297</v>
      </c>
      <c r="D27" s="8">
        <v>5.52</v>
      </c>
      <c r="E27" s="12">
        <v>49</v>
      </c>
      <c r="F27" s="8">
        <v>2.08</v>
      </c>
      <c r="G27" s="12">
        <v>248</v>
      </c>
      <c r="H27" s="8">
        <v>8.26</v>
      </c>
      <c r="I27" s="12">
        <v>0</v>
      </c>
    </row>
    <row r="28" spans="2:9" ht="15" customHeight="1" x14ac:dyDescent="0.2">
      <c r="B28" t="s">
        <v>70</v>
      </c>
      <c r="C28" s="12">
        <v>274</v>
      </c>
      <c r="D28" s="8">
        <v>5.0999999999999996</v>
      </c>
      <c r="E28" s="12">
        <v>66</v>
      </c>
      <c r="F28" s="8">
        <v>2.8</v>
      </c>
      <c r="G28" s="12">
        <v>208</v>
      </c>
      <c r="H28" s="8">
        <v>6.92</v>
      </c>
      <c r="I28" s="12">
        <v>0</v>
      </c>
    </row>
    <row r="29" spans="2:9" ht="15" customHeight="1" x14ac:dyDescent="0.2">
      <c r="B29" t="s">
        <v>71</v>
      </c>
      <c r="C29" s="12">
        <v>252</v>
      </c>
      <c r="D29" s="8">
        <v>4.6900000000000004</v>
      </c>
      <c r="E29" s="12">
        <v>46</v>
      </c>
      <c r="F29" s="8">
        <v>1.95</v>
      </c>
      <c r="G29" s="12">
        <v>206</v>
      </c>
      <c r="H29" s="8">
        <v>6.86</v>
      </c>
      <c r="I29" s="12">
        <v>0</v>
      </c>
    </row>
    <row r="30" spans="2:9" ht="15" customHeight="1" x14ac:dyDescent="0.2">
      <c r="B30" t="s">
        <v>79</v>
      </c>
      <c r="C30" s="12">
        <v>246</v>
      </c>
      <c r="D30" s="8">
        <v>4.58</v>
      </c>
      <c r="E30" s="12">
        <v>129</v>
      </c>
      <c r="F30" s="8">
        <v>5.47</v>
      </c>
      <c r="G30" s="12">
        <v>116</v>
      </c>
      <c r="H30" s="8">
        <v>3.86</v>
      </c>
      <c r="I30" s="12">
        <v>1</v>
      </c>
    </row>
    <row r="31" spans="2:9" ht="15" customHeight="1" x14ac:dyDescent="0.2">
      <c r="B31" t="s">
        <v>75</v>
      </c>
      <c r="C31" s="12">
        <v>189</v>
      </c>
      <c r="D31" s="8">
        <v>3.52</v>
      </c>
      <c r="E31" s="12">
        <v>9</v>
      </c>
      <c r="F31" s="8">
        <v>0.38</v>
      </c>
      <c r="G31" s="12">
        <v>180</v>
      </c>
      <c r="H31" s="8">
        <v>5.99</v>
      </c>
      <c r="I31" s="12">
        <v>0</v>
      </c>
    </row>
    <row r="32" spans="2:9" ht="15" customHeight="1" x14ac:dyDescent="0.2">
      <c r="B32" t="s">
        <v>78</v>
      </c>
      <c r="C32" s="12">
        <v>176</v>
      </c>
      <c r="D32" s="8">
        <v>3.27</v>
      </c>
      <c r="E32" s="12">
        <v>104</v>
      </c>
      <c r="F32" s="8">
        <v>4.41</v>
      </c>
      <c r="G32" s="12">
        <v>72</v>
      </c>
      <c r="H32" s="8">
        <v>2.4</v>
      </c>
      <c r="I32" s="12">
        <v>0</v>
      </c>
    </row>
    <row r="33" spans="2:9" ht="15" customHeight="1" x14ac:dyDescent="0.2">
      <c r="B33" t="s">
        <v>82</v>
      </c>
      <c r="C33" s="12">
        <v>168</v>
      </c>
      <c r="D33" s="8">
        <v>3.13</v>
      </c>
      <c r="E33" s="12">
        <v>89</v>
      </c>
      <c r="F33" s="8">
        <v>3.77</v>
      </c>
      <c r="G33" s="12">
        <v>79</v>
      </c>
      <c r="H33" s="8">
        <v>2.63</v>
      </c>
      <c r="I33" s="12">
        <v>0</v>
      </c>
    </row>
    <row r="34" spans="2:9" ht="15" customHeight="1" x14ac:dyDescent="0.2">
      <c r="B34" t="s">
        <v>86</v>
      </c>
      <c r="C34" s="12">
        <v>160</v>
      </c>
      <c r="D34" s="8">
        <v>2.98</v>
      </c>
      <c r="E34" s="12">
        <v>111</v>
      </c>
      <c r="F34" s="8">
        <v>4.7</v>
      </c>
      <c r="G34" s="12">
        <v>47</v>
      </c>
      <c r="H34" s="8">
        <v>1.56</v>
      </c>
      <c r="I34" s="12">
        <v>1</v>
      </c>
    </row>
    <row r="35" spans="2:9" ht="15" customHeight="1" x14ac:dyDescent="0.2">
      <c r="B35" t="s">
        <v>77</v>
      </c>
      <c r="C35" s="12">
        <v>159</v>
      </c>
      <c r="D35" s="8">
        <v>2.96</v>
      </c>
      <c r="E35" s="12">
        <v>119</v>
      </c>
      <c r="F35" s="8">
        <v>5.04</v>
      </c>
      <c r="G35" s="12">
        <v>40</v>
      </c>
      <c r="H35" s="8">
        <v>1.33</v>
      </c>
      <c r="I35" s="12">
        <v>0</v>
      </c>
    </row>
    <row r="36" spans="2:9" ht="15" customHeight="1" x14ac:dyDescent="0.2">
      <c r="B36" t="s">
        <v>87</v>
      </c>
      <c r="C36" s="12">
        <v>156</v>
      </c>
      <c r="D36" s="8">
        <v>2.9</v>
      </c>
      <c r="E36" s="12">
        <v>137</v>
      </c>
      <c r="F36" s="8">
        <v>5.81</v>
      </c>
      <c r="G36" s="12">
        <v>19</v>
      </c>
      <c r="H36" s="8">
        <v>0.63</v>
      </c>
      <c r="I36" s="12">
        <v>0</v>
      </c>
    </row>
    <row r="37" spans="2:9" ht="15" customHeight="1" x14ac:dyDescent="0.2">
      <c r="B37" t="s">
        <v>74</v>
      </c>
      <c r="C37" s="12">
        <v>131</v>
      </c>
      <c r="D37" s="8">
        <v>2.44</v>
      </c>
      <c r="E37" s="12">
        <v>16</v>
      </c>
      <c r="F37" s="8">
        <v>0.68</v>
      </c>
      <c r="G37" s="12">
        <v>115</v>
      </c>
      <c r="H37" s="8">
        <v>3.83</v>
      </c>
      <c r="I37" s="12">
        <v>0</v>
      </c>
    </row>
    <row r="38" spans="2:9" ht="15" customHeight="1" x14ac:dyDescent="0.2">
      <c r="B38" t="s">
        <v>89</v>
      </c>
      <c r="C38" s="12">
        <v>127</v>
      </c>
      <c r="D38" s="8">
        <v>2.36</v>
      </c>
      <c r="E38" s="12">
        <v>20</v>
      </c>
      <c r="F38" s="8">
        <v>0.85</v>
      </c>
      <c r="G38" s="12">
        <v>107</v>
      </c>
      <c r="H38" s="8">
        <v>3.56</v>
      </c>
      <c r="I38" s="12">
        <v>0</v>
      </c>
    </row>
    <row r="39" spans="2:9" ht="15" customHeight="1" x14ac:dyDescent="0.2">
      <c r="B39" t="s">
        <v>83</v>
      </c>
      <c r="C39" s="12">
        <v>121</v>
      </c>
      <c r="D39" s="8">
        <v>2.25</v>
      </c>
      <c r="E39" s="12">
        <v>38</v>
      </c>
      <c r="F39" s="8">
        <v>1.61</v>
      </c>
      <c r="G39" s="12">
        <v>83</v>
      </c>
      <c r="H39" s="8">
        <v>2.76</v>
      </c>
      <c r="I39" s="12">
        <v>0</v>
      </c>
    </row>
    <row r="40" spans="2:9" ht="15" customHeight="1" x14ac:dyDescent="0.2">
      <c r="B40" t="s">
        <v>91</v>
      </c>
      <c r="C40" s="12">
        <v>114</v>
      </c>
      <c r="D40" s="8">
        <v>2.12</v>
      </c>
      <c r="E40" s="12">
        <v>68</v>
      </c>
      <c r="F40" s="8">
        <v>2.88</v>
      </c>
      <c r="G40" s="12">
        <v>46</v>
      </c>
      <c r="H40" s="8">
        <v>1.53</v>
      </c>
      <c r="I40" s="12">
        <v>0</v>
      </c>
    </row>
    <row r="41" spans="2:9" ht="15" customHeight="1" x14ac:dyDescent="0.2">
      <c r="B41" t="s">
        <v>72</v>
      </c>
      <c r="C41" s="12">
        <v>110</v>
      </c>
      <c r="D41" s="8">
        <v>2.0499999999999998</v>
      </c>
      <c r="E41" s="12">
        <v>43</v>
      </c>
      <c r="F41" s="8">
        <v>1.82</v>
      </c>
      <c r="G41" s="12">
        <v>67</v>
      </c>
      <c r="H41" s="8">
        <v>2.23</v>
      </c>
      <c r="I41" s="12">
        <v>0</v>
      </c>
    </row>
    <row r="42" spans="2:9" ht="15" customHeight="1" x14ac:dyDescent="0.2">
      <c r="B42" t="s">
        <v>80</v>
      </c>
      <c r="C42" s="12">
        <v>104</v>
      </c>
      <c r="D42" s="8">
        <v>1.93</v>
      </c>
      <c r="E42" s="12">
        <v>26</v>
      </c>
      <c r="F42" s="8">
        <v>1.1000000000000001</v>
      </c>
      <c r="G42" s="12">
        <v>78</v>
      </c>
      <c r="H42" s="8">
        <v>2.6</v>
      </c>
      <c r="I42" s="12">
        <v>0</v>
      </c>
    </row>
    <row r="43" spans="2:9" ht="15" customHeight="1" x14ac:dyDescent="0.2">
      <c r="B43" t="s">
        <v>92</v>
      </c>
      <c r="C43" s="12">
        <v>86</v>
      </c>
      <c r="D43" s="8">
        <v>1.6</v>
      </c>
      <c r="E43" s="12">
        <v>30</v>
      </c>
      <c r="F43" s="8">
        <v>1.27</v>
      </c>
      <c r="G43" s="12">
        <v>56</v>
      </c>
      <c r="H43" s="8">
        <v>1.86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126</v>
      </c>
      <c r="C47" s="12">
        <v>276</v>
      </c>
      <c r="D47" s="8">
        <v>5.13</v>
      </c>
      <c r="E47" s="12">
        <v>132</v>
      </c>
      <c r="F47" s="8">
        <v>5.59</v>
      </c>
      <c r="G47" s="12">
        <v>144</v>
      </c>
      <c r="H47" s="8">
        <v>4.79</v>
      </c>
      <c r="I47" s="12">
        <v>0</v>
      </c>
    </row>
    <row r="48" spans="2:9" ht="15" customHeight="1" x14ac:dyDescent="0.2">
      <c r="B48" t="s">
        <v>132</v>
      </c>
      <c r="C48" s="12">
        <v>268</v>
      </c>
      <c r="D48" s="8">
        <v>4.99</v>
      </c>
      <c r="E48" s="12">
        <v>238</v>
      </c>
      <c r="F48" s="8">
        <v>10.08</v>
      </c>
      <c r="G48" s="12">
        <v>30</v>
      </c>
      <c r="H48" s="8">
        <v>1</v>
      </c>
      <c r="I48" s="12">
        <v>0</v>
      </c>
    </row>
    <row r="49" spans="2:9" ht="15" customHeight="1" x14ac:dyDescent="0.2">
      <c r="B49" t="s">
        <v>131</v>
      </c>
      <c r="C49" s="12">
        <v>141</v>
      </c>
      <c r="D49" s="8">
        <v>2.62</v>
      </c>
      <c r="E49" s="12">
        <v>137</v>
      </c>
      <c r="F49" s="8">
        <v>5.81</v>
      </c>
      <c r="G49" s="12">
        <v>4</v>
      </c>
      <c r="H49" s="8">
        <v>0.13</v>
      </c>
      <c r="I49" s="12">
        <v>0</v>
      </c>
    </row>
    <row r="50" spans="2:9" ht="15" customHeight="1" x14ac:dyDescent="0.2">
      <c r="B50" t="s">
        <v>129</v>
      </c>
      <c r="C50" s="12">
        <v>140</v>
      </c>
      <c r="D50" s="8">
        <v>2.6</v>
      </c>
      <c r="E50" s="12">
        <v>135</v>
      </c>
      <c r="F50" s="8">
        <v>5.72</v>
      </c>
      <c r="G50" s="12">
        <v>5</v>
      </c>
      <c r="H50" s="8">
        <v>0.17</v>
      </c>
      <c r="I50" s="12">
        <v>0</v>
      </c>
    </row>
    <row r="51" spans="2:9" ht="15" customHeight="1" x14ac:dyDescent="0.2">
      <c r="B51" t="s">
        <v>134</v>
      </c>
      <c r="C51" s="12">
        <v>118</v>
      </c>
      <c r="D51" s="8">
        <v>2.19</v>
      </c>
      <c r="E51" s="12">
        <v>103</v>
      </c>
      <c r="F51" s="8">
        <v>4.3600000000000003</v>
      </c>
      <c r="G51" s="12">
        <v>15</v>
      </c>
      <c r="H51" s="8">
        <v>0.5</v>
      </c>
      <c r="I51" s="12">
        <v>0</v>
      </c>
    </row>
    <row r="52" spans="2:9" ht="15" customHeight="1" x14ac:dyDescent="0.2">
      <c r="B52" t="s">
        <v>122</v>
      </c>
      <c r="C52" s="12">
        <v>117</v>
      </c>
      <c r="D52" s="8">
        <v>2.1800000000000002</v>
      </c>
      <c r="E52" s="12">
        <v>67</v>
      </c>
      <c r="F52" s="8">
        <v>2.84</v>
      </c>
      <c r="G52" s="12">
        <v>50</v>
      </c>
      <c r="H52" s="8">
        <v>1.66</v>
      </c>
      <c r="I52" s="12">
        <v>0</v>
      </c>
    </row>
    <row r="53" spans="2:9" ht="15" customHeight="1" x14ac:dyDescent="0.2">
      <c r="B53" t="s">
        <v>125</v>
      </c>
      <c r="C53" s="12">
        <v>113</v>
      </c>
      <c r="D53" s="8">
        <v>2.1</v>
      </c>
      <c r="E53" s="12">
        <v>18</v>
      </c>
      <c r="F53" s="8">
        <v>0.76</v>
      </c>
      <c r="G53" s="12">
        <v>95</v>
      </c>
      <c r="H53" s="8">
        <v>3.16</v>
      </c>
      <c r="I53" s="12">
        <v>0</v>
      </c>
    </row>
    <row r="54" spans="2:9" ht="15" customHeight="1" x14ac:dyDescent="0.2">
      <c r="B54" t="s">
        <v>120</v>
      </c>
      <c r="C54" s="12">
        <v>101</v>
      </c>
      <c r="D54" s="8">
        <v>1.88</v>
      </c>
      <c r="E54" s="12">
        <v>19</v>
      </c>
      <c r="F54" s="8">
        <v>0.81</v>
      </c>
      <c r="G54" s="12">
        <v>82</v>
      </c>
      <c r="H54" s="8">
        <v>2.73</v>
      </c>
      <c r="I54" s="12">
        <v>0</v>
      </c>
    </row>
    <row r="55" spans="2:9" ht="15" customHeight="1" x14ac:dyDescent="0.2">
      <c r="B55" t="s">
        <v>128</v>
      </c>
      <c r="C55" s="12">
        <v>101</v>
      </c>
      <c r="D55" s="8">
        <v>1.88</v>
      </c>
      <c r="E55" s="12">
        <v>84</v>
      </c>
      <c r="F55" s="8">
        <v>3.56</v>
      </c>
      <c r="G55" s="12">
        <v>17</v>
      </c>
      <c r="H55" s="8">
        <v>0.56999999999999995</v>
      </c>
      <c r="I55" s="12">
        <v>0</v>
      </c>
    </row>
    <row r="56" spans="2:9" ht="15" customHeight="1" x14ac:dyDescent="0.2">
      <c r="B56" t="s">
        <v>142</v>
      </c>
      <c r="C56" s="12">
        <v>95</v>
      </c>
      <c r="D56" s="8">
        <v>1.77</v>
      </c>
      <c r="E56" s="12">
        <v>5</v>
      </c>
      <c r="F56" s="8">
        <v>0.21</v>
      </c>
      <c r="G56" s="12">
        <v>90</v>
      </c>
      <c r="H56" s="8">
        <v>3</v>
      </c>
      <c r="I56" s="12">
        <v>0</v>
      </c>
    </row>
    <row r="57" spans="2:9" ht="15" customHeight="1" x14ac:dyDescent="0.2">
      <c r="B57" t="s">
        <v>117</v>
      </c>
      <c r="C57" s="12">
        <v>93</v>
      </c>
      <c r="D57" s="8">
        <v>1.73</v>
      </c>
      <c r="E57" s="12">
        <v>11</v>
      </c>
      <c r="F57" s="8">
        <v>0.47</v>
      </c>
      <c r="G57" s="12">
        <v>82</v>
      </c>
      <c r="H57" s="8">
        <v>2.73</v>
      </c>
      <c r="I57" s="12">
        <v>0</v>
      </c>
    </row>
    <row r="58" spans="2:9" ht="15" customHeight="1" x14ac:dyDescent="0.2">
      <c r="B58" t="s">
        <v>133</v>
      </c>
      <c r="C58" s="12">
        <v>93</v>
      </c>
      <c r="D58" s="8">
        <v>1.73</v>
      </c>
      <c r="E58" s="12">
        <v>72</v>
      </c>
      <c r="F58" s="8">
        <v>3.05</v>
      </c>
      <c r="G58" s="12">
        <v>21</v>
      </c>
      <c r="H58" s="8">
        <v>0.7</v>
      </c>
      <c r="I58" s="12">
        <v>0</v>
      </c>
    </row>
    <row r="59" spans="2:9" ht="15" customHeight="1" x14ac:dyDescent="0.2">
      <c r="B59" t="s">
        <v>119</v>
      </c>
      <c r="C59" s="12">
        <v>86</v>
      </c>
      <c r="D59" s="8">
        <v>1.6</v>
      </c>
      <c r="E59" s="12">
        <v>23</v>
      </c>
      <c r="F59" s="8">
        <v>0.97</v>
      </c>
      <c r="G59" s="12">
        <v>63</v>
      </c>
      <c r="H59" s="8">
        <v>2.1</v>
      </c>
      <c r="I59" s="12">
        <v>0</v>
      </c>
    </row>
    <row r="60" spans="2:9" ht="15" customHeight="1" x14ac:dyDescent="0.2">
      <c r="B60" t="s">
        <v>124</v>
      </c>
      <c r="C60" s="12">
        <v>85</v>
      </c>
      <c r="D60" s="8">
        <v>1.58</v>
      </c>
      <c r="E60" s="12">
        <v>58</v>
      </c>
      <c r="F60" s="8">
        <v>2.46</v>
      </c>
      <c r="G60" s="12">
        <v>26</v>
      </c>
      <c r="H60" s="8">
        <v>0.87</v>
      </c>
      <c r="I60" s="12">
        <v>1</v>
      </c>
    </row>
    <row r="61" spans="2:9" ht="15" customHeight="1" x14ac:dyDescent="0.2">
      <c r="B61" t="s">
        <v>127</v>
      </c>
      <c r="C61" s="12">
        <v>77</v>
      </c>
      <c r="D61" s="8">
        <v>1.43</v>
      </c>
      <c r="E61" s="12">
        <v>22</v>
      </c>
      <c r="F61" s="8">
        <v>0.93</v>
      </c>
      <c r="G61" s="12">
        <v>55</v>
      </c>
      <c r="H61" s="8">
        <v>1.83</v>
      </c>
      <c r="I61" s="12">
        <v>0</v>
      </c>
    </row>
    <row r="62" spans="2:9" ht="15" customHeight="1" x14ac:dyDescent="0.2">
      <c r="B62" t="s">
        <v>138</v>
      </c>
      <c r="C62" s="12">
        <v>76</v>
      </c>
      <c r="D62" s="8">
        <v>1.41</v>
      </c>
      <c r="E62" s="12">
        <v>19</v>
      </c>
      <c r="F62" s="8">
        <v>0.81</v>
      </c>
      <c r="G62" s="12">
        <v>57</v>
      </c>
      <c r="H62" s="8">
        <v>1.9</v>
      </c>
      <c r="I62" s="12">
        <v>0</v>
      </c>
    </row>
    <row r="63" spans="2:9" ht="15" customHeight="1" x14ac:dyDescent="0.2">
      <c r="B63" t="s">
        <v>135</v>
      </c>
      <c r="C63" s="12">
        <v>75</v>
      </c>
      <c r="D63" s="8">
        <v>1.4</v>
      </c>
      <c r="E63" s="12">
        <v>59</v>
      </c>
      <c r="F63" s="8">
        <v>2.5</v>
      </c>
      <c r="G63" s="12">
        <v>16</v>
      </c>
      <c r="H63" s="8">
        <v>0.53</v>
      </c>
      <c r="I63" s="12">
        <v>0</v>
      </c>
    </row>
    <row r="64" spans="2:9" ht="15" customHeight="1" x14ac:dyDescent="0.2">
      <c r="B64" t="s">
        <v>141</v>
      </c>
      <c r="C64" s="12">
        <v>74</v>
      </c>
      <c r="D64" s="8">
        <v>1.38</v>
      </c>
      <c r="E64" s="12">
        <v>45</v>
      </c>
      <c r="F64" s="8">
        <v>1.91</v>
      </c>
      <c r="G64" s="12">
        <v>29</v>
      </c>
      <c r="H64" s="8">
        <v>0.97</v>
      </c>
      <c r="I64" s="12">
        <v>0</v>
      </c>
    </row>
    <row r="65" spans="2:9" ht="15" customHeight="1" x14ac:dyDescent="0.2">
      <c r="B65" t="s">
        <v>143</v>
      </c>
      <c r="C65" s="12">
        <v>73</v>
      </c>
      <c r="D65" s="8">
        <v>1.36</v>
      </c>
      <c r="E65" s="12">
        <v>9</v>
      </c>
      <c r="F65" s="8">
        <v>0.38</v>
      </c>
      <c r="G65" s="12">
        <v>64</v>
      </c>
      <c r="H65" s="8">
        <v>2.13</v>
      </c>
      <c r="I65" s="12">
        <v>0</v>
      </c>
    </row>
    <row r="66" spans="2:9" ht="15" customHeight="1" x14ac:dyDescent="0.2">
      <c r="B66" t="s">
        <v>123</v>
      </c>
      <c r="C66" s="12">
        <v>72</v>
      </c>
      <c r="D66" s="8">
        <v>1.34</v>
      </c>
      <c r="E66" s="12">
        <v>28</v>
      </c>
      <c r="F66" s="8">
        <v>1.19</v>
      </c>
      <c r="G66" s="12">
        <v>44</v>
      </c>
      <c r="H66" s="8">
        <v>1.46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40A94-5E3A-4F3A-82F7-B9AC06BA7B2F}">
  <sheetPr>
    <pageSetUpPr fitToPage="1"/>
  </sheetPr>
  <dimension ref="B2:I68"/>
  <sheetViews>
    <sheetView workbookViewId="0">
      <selection activeCell="B2" sqref="B2"/>
    </sheetView>
  </sheetViews>
  <sheetFormatPr defaultRowHeight="15" customHeight="1" x14ac:dyDescent="0.2"/>
  <cols>
    <col min="1" max="1" width="3.6640625" customWidth="1"/>
    <col min="2" max="2" width="40.77734375" customWidth="1"/>
    <col min="3" max="9" width="13.5546875" customWidth="1"/>
  </cols>
  <sheetData>
    <row r="2" spans="2:9" ht="15" customHeight="1" x14ac:dyDescent="0.2">
      <c r="B2" t="s">
        <v>198</v>
      </c>
    </row>
    <row r="4" spans="2:9" ht="33" customHeight="1" x14ac:dyDescent="0.2">
      <c r="B4" t="s">
        <v>190</v>
      </c>
      <c r="C4" s="10" t="s">
        <v>62</v>
      </c>
      <c r="D4" s="10" t="s">
        <v>63</v>
      </c>
      <c r="E4" s="10" t="s">
        <v>64</v>
      </c>
      <c r="F4" s="10" t="s">
        <v>65</v>
      </c>
      <c r="G4" s="10" t="s">
        <v>66</v>
      </c>
      <c r="H4" s="10" t="s">
        <v>67</v>
      </c>
      <c r="I4" s="10" t="s">
        <v>68</v>
      </c>
    </row>
    <row r="5" spans="2:9" ht="15" customHeight="1" x14ac:dyDescent="0.2">
      <c r="B5" t="s">
        <v>46</v>
      </c>
      <c r="C5" s="12">
        <v>0</v>
      </c>
      <c r="D5" s="8">
        <v>0</v>
      </c>
      <c r="E5" s="12">
        <v>0</v>
      </c>
      <c r="F5" s="8">
        <v>0</v>
      </c>
      <c r="G5" s="12">
        <v>0</v>
      </c>
      <c r="H5" s="8">
        <v>0</v>
      </c>
      <c r="I5" s="12">
        <v>0</v>
      </c>
    </row>
    <row r="6" spans="2:9" ht="15" customHeight="1" x14ac:dyDescent="0.2">
      <c r="B6" t="s">
        <v>47</v>
      </c>
      <c r="C6" s="12">
        <v>937</v>
      </c>
      <c r="D6" s="8">
        <v>14.92</v>
      </c>
      <c r="E6" s="12">
        <v>375</v>
      </c>
      <c r="F6" s="8">
        <v>10.18</v>
      </c>
      <c r="G6" s="12">
        <v>562</v>
      </c>
      <c r="H6" s="8">
        <v>21.81</v>
      </c>
      <c r="I6" s="12">
        <v>0</v>
      </c>
    </row>
    <row r="7" spans="2:9" ht="15" customHeight="1" x14ac:dyDescent="0.2">
      <c r="B7" t="s">
        <v>48</v>
      </c>
      <c r="C7" s="12">
        <v>701</v>
      </c>
      <c r="D7" s="8">
        <v>11.16</v>
      </c>
      <c r="E7" s="12">
        <v>276</v>
      </c>
      <c r="F7" s="8">
        <v>7.49</v>
      </c>
      <c r="G7" s="12">
        <v>425</v>
      </c>
      <c r="H7" s="8">
        <v>16.489999999999998</v>
      </c>
      <c r="I7" s="12">
        <v>0</v>
      </c>
    </row>
    <row r="8" spans="2:9" ht="15" customHeight="1" x14ac:dyDescent="0.2">
      <c r="B8" t="s">
        <v>49</v>
      </c>
      <c r="C8" s="12">
        <v>7</v>
      </c>
      <c r="D8" s="8">
        <v>0.11</v>
      </c>
      <c r="E8" s="12">
        <v>0</v>
      </c>
      <c r="F8" s="8">
        <v>0</v>
      </c>
      <c r="G8" s="12">
        <v>7</v>
      </c>
      <c r="H8" s="8">
        <v>0.27</v>
      </c>
      <c r="I8" s="12">
        <v>0</v>
      </c>
    </row>
    <row r="9" spans="2:9" ht="15" customHeight="1" x14ac:dyDescent="0.2">
      <c r="B9" t="s">
        <v>50</v>
      </c>
      <c r="C9" s="12">
        <v>40</v>
      </c>
      <c r="D9" s="8">
        <v>0.64</v>
      </c>
      <c r="E9" s="12">
        <v>7</v>
      </c>
      <c r="F9" s="8">
        <v>0.19</v>
      </c>
      <c r="G9" s="12">
        <v>33</v>
      </c>
      <c r="H9" s="8">
        <v>1.28</v>
      </c>
      <c r="I9" s="12">
        <v>0</v>
      </c>
    </row>
    <row r="10" spans="2:9" ht="15" customHeight="1" x14ac:dyDescent="0.2">
      <c r="B10" t="s">
        <v>51</v>
      </c>
      <c r="C10" s="12">
        <v>117</v>
      </c>
      <c r="D10" s="8">
        <v>1.86</v>
      </c>
      <c r="E10" s="12">
        <v>18</v>
      </c>
      <c r="F10" s="8">
        <v>0.49</v>
      </c>
      <c r="G10" s="12">
        <v>98</v>
      </c>
      <c r="H10" s="8">
        <v>3.8</v>
      </c>
      <c r="I10" s="12">
        <v>1</v>
      </c>
    </row>
    <row r="11" spans="2:9" ht="15" customHeight="1" x14ac:dyDescent="0.2">
      <c r="B11" t="s">
        <v>52</v>
      </c>
      <c r="C11" s="12">
        <v>1475</v>
      </c>
      <c r="D11" s="8">
        <v>23.49</v>
      </c>
      <c r="E11" s="12">
        <v>820</v>
      </c>
      <c r="F11" s="8">
        <v>22.25</v>
      </c>
      <c r="G11" s="12">
        <v>653</v>
      </c>
      <c r="H11" s="8">
        <v>25.34</v>
      </c>
      <c r="I11" s="12">
        <v>2</v>
      </c>
    </row>
    <row r="12" spans="2:9" ht="15" customHeight="1" x14ac:dyDescent="0.2">
      <c r="B12" t="s">
        <v>53</v>
      </c>
      <c r="C12" s="12">
        <v>45</v>
      </c>
      <c r="D12" s="8">
        <v>0.72</v>
      </c>
      <c r="E12" s="12">
        <v>10</v>
      </c>
      <c r="F12" s="8">
        <v>0.27</v>
      </c>
      <c r="G12" s="12">
        <v>35</v>
      </c>
      <c r="H12" s="8">
        <v>1.36</v>
      </c>
      <c r="I12" s="12">
        <v>0</v>
      </c>
    </row>
    <row r="13" spans="2:9" ht="15" customHeight="1" x14ac:dyDescent="0.2">
      <c r="B13" t="s">
        <v>54</v>
      </c>
      <c r="C13" s="12">
        <v>475</v>
      </c>
      <c r="D13" s="8">
        <v>7.56</v>
      </c>
      <c r="E13" s="12">
        <v>234</v>
      </c>
      <c r="F13" s="8">
        <v>6.35</v>
      </c>
      <c r="G13" s="12">
        <v>240</v>
      </c>
      <c r="H13" s="8">
        <v>9.31</v>
      </c>
      <c r="I13" s="12">
        <v>1</v>
      </c>
    </row>
    <row r="14" spans="2:9" ht="15" customHeight="1" x14ac:dyDescent="0.2">
      <c r="B14" t="s">
        <v>55</v>
      </c>
      <c r="C14" s="12">
        <v>279</v>
      </c>
      <c r="D14" s="8">
        <v>4.4400000000000004</v>
      </c>
      <c r="E14" s="12">
        <v>162</v>
      </c>
      <c r="F14" s="8">
        <v>4.4000000000000004</v>
      </c>
      <c r="G14" s="12">
        <v>115</v>
      </c>
      <c r="H14" s="8">
        <v>4.46</v>
      </c>
      <c r="I14" s="12">
        <v>0</v>
      </c>
    </row>
    <row r="15" spans="2:9" ht="15" customHeight="1" x14ac:dyDescent="0.2">
      <c r="B15" t="s">
        <v>56</v>
      </c>
      <c r="C15" s="12">
        <v>720</v>
      </c>
      <c r="D15" s="8">
        <v>11.46</v>
      </c>
      <c r="E15" s="12">
        <v>635</v>
      </c>
      <c r="F15" s="8">
        <v>17.23</v>
      </c>
      <c r="G15" s="12">
        <v>84</v>
      </c>
      <c r="H15" s="8">
        <v>3.26</v>
      </c>
      <c r="I15" s="12">
        <v>0</v>
      </c>
    </row>
    <row r="16" spans="2:9" ht="15" customHeight="1" x14ac:dyDescent="0.2">
      <c r="B16" t="s">
        <v>57</v>
      </c>
      <c r="C16" s="12">
        <v>773</v>
      </c>
      <c r="D16" s="8">
        <v>12.31</v>
      </c>
      <c r="E16" s="12">
        <v>658</v>
      </c>
      <c r="F16" s="8">
        <v>17.86</v>
      </c>
      <c r="G16" s="12">
        <v>112</v>
      </c>
      <c r="H16" s="8">
        <v>4.3499999999999996</v>
      </c>
      <c r="I16" s="12">
        <v>0</v>
      </c>
    </row>
    <row r="17" spans="2:9" ht="15" customHeight="1" x14ac:dyDescent="0.2">
      <c r="B17" t="s">
        <v>58</v>
      </c>
      <c r="C17" s="12">
        <v>224</v>
      </c>
      <c r="D17" s="8">
        <v>3.57</v>
      </c>
      <c r="E17" s="12">
        <v>198</v>
      </c>
      <c r="F17" s="8">
        <v>5.37</v>
      </c>
      <c r="G17" s="12">
        <v>23</v>
      </c>
      <c r="H17" s="8">
        <v>0.89</v>
      </c>
      <c r="I17" s="12">
        <v>2</v>
      </c>
    </row>
    <row r="18" spans="2:9" ht="15" customHeight="1" x14ac:dyDescent="0.2">
      <c r="B18" t="s">
        <v>59</v>
      </c>
      <c r="C18" s="12">
        <v>271</v>
      </c>
      <c r="D18" s="8">
        <v>4.32</v>
      </c>
      <c r="E18" s="12">
        <v>184</v>
      </c>
      <c r="F18" s="8">
        <v>4.99</v>
      </c>
      <c r="G18" s="12">
        <v>86</v>
      </c>
      <c r="H18" s="8">
        <v>3.34</v>
      </c>
      <c r="I18" s="12">
        <v>0</v>
      </c>
    </row>
    <row r="19" spans="2:9" ht="15" customHeight="1" x14ac:dyDescent="0.2">
      <c r="B19" t="s">
        <v>60</v>
      </c>
      <c r="C19" s="12">
        <v>216</v>
      </c>
      <c r="D19" s="8">
        <v>3.44</v>
      </c>
      <c r="E19" s="12">
        <v>108</v>
      </c>
      <c r="F19" s="8">
        <v>2.93</v>
      </c>
      <c r="G19" s="12">
        <v>104</v>
      </c>
      <c r="H19" s="8">
        <v>4.04</v>
      </c>
      <c r="I19" s="12">
        <v>2</v>
      </c>
    </row>
    <row r="20" spans="2:9" ht="15" customHeight="1" x14ac:dyDescent="0.2">
      <c r="B20" s="9" t="s">
        <v>191</v>
      </c>
      <c r="C20" s="12">
        <f>SUM(LTBL_22103[総数／事業所数])</f>
        <v>6280</v>
      </c>
      <c r="E20" s="12">
        <f>SUBTOTAL(109,LTBL_22103[個人／事業所数])</f>
        <v>3685</v>
      </c>
      <c r="G20" s="12">
        <f>SUBTOTAL(109,LTBL_22103[法人／事業所数])</f>
        <v>2577</v>
      </c>
      <c r="I20" s="12">
        <f>SUBTOTAL(109,LTBL_22103[法人以外の団体／事業所数])</f>
        <v>8</v>
      </c>
    </row>
    <row r="21" spans="2:9" ht="15" customHeight="1" x14ac:dyDescent="0.2">
      <c r="E21" s="11">
        <f>LTBL_22103[[#Totals],[個人／事業所数]]/LTBL_22103[[#Totals],[総数／事業所数]]</f>
        <v>0.58678343949044587</v>
      </c>
      <c r="G21" s="11">
        <f>LTBL_22103[[#Totals],[法人／事業所数]]/LTBL_22103[[#Totals],[総数／事業所数]]</f>
        <v>0.41035031847133757</v>
      </c>
      <c r="I21" s="11">
        <f>LTBL_22103[[#Totals],[法人以外の団体／事業所数]]/LTBL_22103[[#Totals],[総数／事業所数]]</f>
        <v>1.2738853503184713E-3</v>
      </c>
    </row>
    <row r="23" spans="2:9" ht="33" customHeight="1" x14ac:dyDescent="0.2">
      <c r="B23" t="s">
        <v>192</v>
      </c>
      <c r="C23" s="10" t="s">
        <v>62</v>
      </c>
      <c r="D23" s="10" t="s">
        <v>63</v>
      </c>
      <c r="E23" s="10" t="s">
        <v>64</v>
      </c>
      <c r="F23" s="10" t="s">
        <v>65</v>
      </c>
      <c r="G23" s="10" t="s">
        <v>66</v>
      </c>
      <c r="H23" s="10" t="s">
        <v>67</v>
      </c>
      <c r="I23" s="10" t="s">
        <v>68</v>
      </c>
    </row>
    <row r="24" spans="2:9" ht="15" customHeight="1" x14ac:dyDescent="0.2">
      <c r="B24" t="s">
        <v>85</v>
      </c>
      <c r="C24" s="12">
        <v>672</v>
      </c>
      <c r="D24" s="8">
        <v>10.7</v>
      </c>
      <c r="E24" s="12">
        <v>605</v>
      </c>
      <c r="F24" s="8">
        <v>16.420000000000002</v>
      </c>
      <c r="G24" s="12">
        <v>67</v>
      </c>
      <c r="H24" s="8">
        <v>2.6</v>
      </c>
      <c r="I24" s="12">
        <v>0</v>
      </c>
    </row>
    <row r="25" spans="2:9" ht="15" customHeight="1" x14ac:dyDescent="0.2">
      <c r="B25" t="s">
        <v>84</v>
      </c>
      <c r="C25" s="12">
        <v>666</v>
      </c>
      <c r="D25" s="8">
        <v>10.61</v>
      </c>
      <c r="E25" s="12">
        <v>608</v>
      </c>
      <c r="F25" s="8">
        <v>16.5</v>
      </c>
      <c r="G25" s="12">
        <v>58</v>
      </c>
      <c r="H25" s="8">
        <v>2.25</v>
      </c>
      <c r="I25" s="12">
        <v>0</v>
      </c>
    </row>
    <row r="26" spans="2:9" ht="15" customHeight="1" x14ac:dyDescent="0.2">
      <c r="B26" t="s">
        <v>81</v>
      </c>
      <c r="C26" s="12">
        <v>384</v>
      </c>
      <c r="D26" s="8">
        <v>6.11</v>
      </c>
      <c r="E26" s="12">
        <v>208</v>
      </c>
      <c r="F26" s="8">
        <v>5.64</v>
      </c>
      <c r="G26" s="12">
        <v>175</v>
      </c>
      <c r="H26" s="8">
        <v>6.79</v>
      </c>
      <c r="I26" s="12">
        <v>1</v>
      </c>
    </row>
    <row r="27" spans="2:9" ht="15" customHeight="1" x14ac:dyDescent="0.2">
      <c r="B27" t="s">
        <v>70</v>
      </c>
      <c r="C27" s="12">
        <v>380</v>
      </c>
      <c r="D27" s="8">
        <v>6.05</v>
      </c>
      <c r="E27" s="12">
        <v>203</v>
      </c>
      <c r="F27" s="8">
        <v>5.51</v>
      </c>
      <c r="G27" s="12">
        <v>177</v>
      </c>
      <c r="H27" s="8">
        <v>6.87</v>
      </c>
      <c r="I27" s="12">
        <v>0</v>
      </c>
    </row>
    <row r="28" spans="2:9" ht="15" customHeight="1" x14ac:dyDescent="0.2">
      <c r="B28" t="s">
        <v>79</v>
      </c>
      <c r="C28" s="12">
        <v>372</v>
      </c>
      <c r="D28" s="8">
        <v>5.92</v>
      </c>
      <c r="E28" s="12">
        <v>228</v>
      </c>
      <c r="F28" s="8">
        <v>6.19</v>
      </c>
      <c r="G28" s="12">
        <v>144</v>
      </c>
      <c r="H28" s="8">
        <v>5.59</v>
      </c>
      <c r="I28" s="12">
        <v>0</v>
      </c>
    </row>
    <row r="29" spans="2:9" ht="15" customHeight="1" x14ac:dyDescent="0.2">
      <c r="B29" t="s">
        <v>77</v>
      </c>
      <c r="C29" s="12">
        <v>348</v>
      </c>
      <c r="D29" s="8">
        <v>5.54</v>
      </c>
      <c r="E29" s="12">
        <v>283</v>
      </c>
      <c r="F29" s="8">
        <v>7.68</v>
      </c>
      <c r="G29" s="12">
        <v>64</v>
      </c>
      <c r="H29" s="8">
        <v>2.48</v>
      </c>
      <c r="I29" s="12">
        <v>1</v>
      </c>
    </row>
    <row r="30" spans="2:9" ht="15" customHeight="1" x14ac:dyDescent="0.2">
      <c r="B30" t="s">
        <v>69</v>
      </c>
      <c r="C30" s="12">
        <v>293</v>
      </c>
      <c r="D30" s="8">
        <v>4.67</v>
      </c>
      <c r="E30" s="12">
        <v>92</v>
      </c>
      <c r="F30" s="8">
        <v>2.5</v>
      </c>
      <c r="G30" s="12">
        <v>201</v>
      </c>
      <c r="H30" s="8">
        <v>7.8</v>
      </c>
      <c r="I30" s="12">
        <v>0</v>
      </c>
    </row>
    <row r="31" spans="2:9" ht="15" customHeight="1" x14ac:dyDescent="0.2">
      <c r="B31" t="s">
        <v>71</v>
      </c>
      <c r="C31" s="12">
        <v>264</v>
      </c>
      <c r="D31" s="8">
        <v>4.2</v>
      </c>
      <c r="E31" s="12">
        <v>80</v>
      </c>
      <c r="F31" s="8">
        <v>2.17</v>
      </c>
      <c r="G31" s="12">
        <v>184</v>
      </c>
      <c r="H31" s="8">
        <v>7.14</v>
      </c>
      <c r="I31" s="12">
        <v>0</v>
      </c>
    </row>
    <row r="32" spans="2:9" ht="15" customHeight="1" x14ac:dyDescent="0.2">
      <c r="B32" t="s">
        <v>86</v>
      </c>
      <c r="C32" s="12">
        <v>224</v>
      </c>
      <c r="D32" s="8">
        <v>3.57</v>
      </c>
      <c r="E32" s="12">
        <v>198</v>
      </c>
      <c r="F32" s="8">
        <v>5.37</v>
      </c>
      <c r="G32" s="12">
        <v>23</v>
      </c>
      <c r="H32" s="8">
        <v>0.89</v>
      </c>
      <c r="I32" s="12">
        <v>2</v>
      </c>
    </row>
    <row r="33" spans="2:9" ht="15" customHeight="1" x14ac:dyDescent="0.2">
      <c r="B33" t="s">
        <v>87</v>
      </c>
      <c r="C33" s="12">
        <v>204</v>
      </c>
      <c r="D33" s="8">
        <v>3.25</v>
      </c>
      <c r="E33" s="12">
        <v>184</v>
      </c>
      <c r="F33" s="8">
        <v>4.99</v>
      </c>
      <c r="G33" s="12">
        <v>20</v>
      </c>
      <c r="H33" s="8">
        <v>0.78</v>
      </c>
      <c r="I33" s="12">
        <v>0</v>
      </c>
    </row>
    <row r="34" spans="2:9" ht="15" customHeight="1" x14ac:dyDescent="0.2">
      <c r="B34" t="s">
        <v>78</v>
      </c>
      <c r="C34" s="12">
        <v>194</v>
      </c>
      <c r="D34" s="8">
        <v>3.09</v>
      </c>
      <c r="E34" s="12">
        <v>118</v>
      </c>
      <c r="F34" s="8">
        <v>3.2</v>
      </c>
      <c r="G34" s="12">
        <v>76</v>
      </c>
      <c r="H34" s="8">
        <v>2.95</v>
      </c>
      <c r="I34" s="12">
        <v>0</v>
      </c>
    </row>
    <row r="35" spans="2:9" ht="15" customHeight="1" x14ac:dyDescent="0.2">
      <c r="B35" t="s">
        <v>76</v>
      </c>
      <c r="C35" s="12">
        <v>150</v>
      </c>
      <c r="D35" s="8">
        <v>2.39</v>
      </c>
      <c r="E35" s="12">
        <v>90</v>
      </c>
      <c r="F35" s="8">
        <v>2.44</v>
      </c>
      <c r="G35" s="12">
        <v>60</v>
      </c>
      <c r="H35" s="8">
        <v>2.33</v>
      </c>
      <c r="I35" s="12">
        <v>0</v>
      </c>
    </row>
    <row r="36" spans="2:9" ht="15" customHeight="1" x14ac:dyDescent="0.2">
      <c r="B36" t="s">
        <v>82</v>
      </c>
      <c r="C36" s="12">
        <v>150</v>
      </c>
      <c r="D36" s="8">
        <v>2.39</v>
      </c>
      <c r="E36" s="12">
        <v>101</v>
      </c>
      <c r="F36" s="8">
        <v>2.74</v>
      </c>
      <c r="G36" s="12">
        <v>49</v>
      </c>
      <c r="H36" s="8">
        <v>1.9</v>
      </c>
      <c r="I36" s="12">
        <v>0</v>
      </c>
    </row>
    <row r="37" spans="2:9" ht="15" customHeight="1" x14ac:dyDescent="0.2">
      <c r="B37" t="s">
        <v>72</v>
      </c>
      <c r="C37" s="12">
        <v>116</v>
      </c>
      <c r="D37" s="8">
        <v>1.85</v>
      </c>
      <c r="E37" s="12">
        <v>38</v>
      </c>
      <c r="F37" s="8">
        <v>1.03</v>
      </c>
      <c r="G37" s="12">
        <v>78</v>
      </c>
      <c r="H37" s="8">
        <v>3.03</v>
      </c>
      <c r="I37" s="12">
        <v>0</v>
      </c>
    </row>
    <row r="38" spans="2:9" ht="15" customHeight="1" x14ac:dyDescent="0.2">
      <c r="B38" t="s">
        <v>83</v>
      </c>
      <c r="C38" s="12">
        <v>116</v>
      </c>
      <c r="D38" s="8">
        <v>1.85</v>
      </c>
      <c r="E38" s="12">
        <v>60</v>
      </c>
      <c r="F38" s="8">
        <v>1.63</v>
      </c>
      <c r="G38" s="12">
        <v>54</v>
      </c>
      <c r="H38" s="8">
        <v>2.1</v>
      </c>
      <c r="I38" s="12">
        <v>0</v>
      </c>
    </row>
    <row r="39" spans="2:9" ht="15" customHeight="1" x14ac:dyDescent="0.2">
      <c r="B39" t="s">
        <v>74</v>
      </c>
      <c r="C39" s="12">
        <v>100</v>
      </c>
      <c r="D39" s="8">
        <v>1.59</v>
      </c>
      <c r="E39" s="12">
        <v>25</v>
      </c>
      <c r="F39" s="8">
        <v>0.68</v>
      </c>
      <c r="G39" s="12">
        <v>75</v>
      </c>
      <c r="H39" s="8">
        <v>2.91</v>
      </c>
      <c r="I39" s="12">
        <v>0</v>
      </c>
    </row>
    <row r="40" spans="2:9" ht="15" customHeight="1" x14ac:dyDescent="0.2">
      <c r="B40" t="s">
        <v>88</v>
      </c>
      <c r="C40" s="12">
        <v>99</v>
      </c>
      <c r="D40" s="8">
        <v>1.58</v>
      </c>
      <c r="E40" s="12">
        <v>83</v>
      </c>
      <c r="F40" s="8">
        <v>2.25</v>
      </c>
      <c r="G40" s="12">
        <v>16</v>
      </c>
      <c r="H40" s="8">
        <v>0.62</v>
      </c>
      <c r="I40" s="12">
        <v>0</v>
      </c>
    </row>
    <row r="41" spans="2:9" ht="15" customHeight="1" x14ac:dyDescent="0.2">
      <c r="B41" t="s">
        <v>73</v>
      </c>
      <c r="C41" s="12">
        <v>93</v>
      </c>
      <c r="D41" s="8">
        <v>1.48</v>
      </c>
      <c r="E41" s="12">
        <v>27</v>
      </c>
      <c r="F41" s="8">
        <v>0.73</v>
      </c>
      <c r="G41" s="12">
        <v>66</v>
      </c>
      <c r="H41" s="8">
        <v>2.56</v>
      </c>
      <c r="I41" s="12">
        <v>0</v>
      </c>
    </row>
    <row r="42" spans="2:9" ht="15" customHeight="1" x14ac:dyDescent="0.2">
      <c r="B42" t="s">
        <v>93</v>
      </c>
      <c r="C42" s="12">
        <v>86</v>
      </c>
      <c r="D42" s="8">
        <v>1.37</v>
      </c>
      <c r="E42" s="12">
        <v>20</v>
      </c>
      <c r="F42" s="8">
        <v>0.54</v>
      </c>
      <c r="G42" s="12">
        <v>65</v>
      </c>
      <c r="H42" s="8">
        <v>2.52</v>
      </c>
      <c r="I42" s="12">
        <v>1</v>
      </c>
    </row>
    <row r="43" spans="2:9" ht="15" customHeight="1" x14ac:dyDescent="0.2">
      <c r="B43" t="s">
        <v>89</v>
      </c>
      <c r="C43" s="12">
        <v>85</v>
      </c>
      <c r="D43" s="8">
        <v>1.35</v>
      </c>
      <c r="E43" s="12">
        <v>27</v>
      </c>
      <c r="F43" s="8">
        <v>0.73</v>
      </c>
      <c r="G43" s="12">
        <v>58</v>
      </c>
      <c r="H43" s="8">
        <v>2.25</v>
      </c>
      <c r="I43" s="12">
        <v>0</v>
      </c>
    </row>
    <row r="46" spans="2:9" ht="33" customHeight="1" x14ac:dyDescent="0.2">
      <c r="B46" t="s">
        <v>193</v>
      </c>
      <c r="C46" s="10" t="s">
        <v>62</v>
      </c>
      <c r="D46" s="10" t="s">
        <v>63</v>
      </c>
      <c r="E46" s="10" t="s">
        <v>64</v>
      </c>
      <c r="F46" s="10" t="s">
        <v>65</v>
      </c>
      <c r="G46" s="10" t="s">
        <v>66</v>
      </c>
      <c r="H46" s="10" t="s">
        <v>67</v>
      </c>
      <c r="I46" s="10" t="s">
        <v>68</v>
      </c>
    </row>
    <row r="47" spans="2:9" ht="15" customHeight="1" x14ac:dyDescent="0.2">
      <c r="B47" t="s">
        <v>132</v>
      </c>
      <c r="C47" s="12">
        <v>347</v>
      </c>
      <c r="D47" s="8">
        <v>5.53</v>
      </c>
      <c r="E47" s="12">
        <v>315</v>
      </c>
      <c r="F47" s="8">
        <v>8.5500000000000007</v>
      </c>
      <c r="G47" s="12">
        <v>32</v>
      </c>
      <c r="H47" s="8">
        <v>1.24</v>
      </c>
      <c r="I47" s="12">
        <v>0</v>
      </c>
    </row>
    <row r="48" spans="2:9" ht="15" customHeight="1" x14ac:dyDescent="0.2">
      <c r="B48" t="s">
        <v>126</v>
      </c>
      <c r="C48" s="12">
        <v>212</v>
      </c>
      <c r="D48" s="8">
        <v>3.38</v>
      </c>
      <c r="E48" s="12">
        <v>134</v>
      </c>
      <c r="F48" s="8">
        <v>3.64</v>
      </c>
      <c r="G48" s="12">
        <v>78</v>
      </c>
      <c r="H48" s="8">
        <v>3.03</v>
      </c>
      <c r="I48" s="12">
        <v>0</v>
      </c>
    </row>
    <row r="49" spans="2:9" ht="15" customHeight="1" x14ac:dyDescent="0.2">
      <c r="B49" t="s">
        <v>131</v>
      </c>
      <c r="C49" s="12">
        <v>212</v>
      </c>
      <c r="D49" s="8">
        <v>3.38</v>
      </c>
      <c r="E49" s="12">
        <v>210</v>
      </c>
      <c r="F49" s="8">
        <v>5.7</v>
      </c>
      <c r="G49" s="12">
        <v>2</v>
      </c>
      <c r="H49" s="8">
        <v>0.08</v>
      </c>
      <c r="I49" s="12">
        <v>0</v>
      </c>
    </row>
    <row r="50" spans="2:9" ht="15" customHeight="1" x14ac:dyDescent="0.2">
      <c r="B50" t="s">
        <v>129</v>
      </c>
      <c r="C50" s="12">
        <v>193</v>
      </c>
      <c r="D50" s="8">
        <v>3.07</v>
      </c>
      <c r="E50" s="12">
        <v>184</v>
      </c>
      <c r="F50" s="8">
        <v>4.99</v>
      </c>
      <c r="G50" s="12">
        <v>9</v>
      </c>
      <c r="H50" s="8">
        <v>0.35</v>
      </c>
      <c r="I50" s="12">
        <v>0</v>
      </c>
    </row>
    <row r="51" spans="2:9" ht="15" customHeight="1" x14ac:dyDescent="0.2">
      <c r="B51" t="s">
        <v>134</v>
      </c>
      <c r="C51" s="12">
        <v>162</v>
      </c>
      <c r="D51" s="8">
        <v>2.58</v>
      </c>
      <c r="E51" s="12">
        <v>148</v>
      </c>
      <c r="F51" s="8">
        <v>4.0199999999999996</v>
      </c>
      <c r="G51" s="12">
        <v>14</v>
      </c>
      <c r="H51" s="8">
        <v>0.54</v>
      </c>
      <c r="I51" s="12">
        <v>0</v>
      </c>
    </row>
    <row r="52" spans="2:9" ht="15" customHeight="1" x14ac:dyDescent="0.2">
      <c r="B52" t="s">
        <v>128</v>
      </c>
      <c r="C52" s="12">
        <v>156</v>
      </c>
      <c r="D52" s="8">
        <v>2.48</v>
      </c>
      <c r="E52" s="12">
        <v>137</v>
      </c>
      <c r="F52" s="8">
        <v>3.72</v>
      </c>
      <c r="G52" s="12">
        <v>19</v>
      </c>
      <c r="H52" s="8">
        <v>0.74</v>
      </c>
      <c r="I52" s="12">
        <v>0</v>
      </c>
    </row>
    <row r="53" spans="2:9" ht="15" customHeight="1" x14ac:dyDescent="0.2">
      <c r="B53" t="s">
        <v>133</v>
      </c>
      <c r="C53" s="12">
        <v>148</v>
      </c>
      <c r="D53" s="8">
        <v>2.36</v>
      </c>
      <c r="E53" s="12">
        <v>132</v>
      </c>
      <c r="F53" s="8">
        <v>3.58</v>
      </c>
      <c r="G53" s="12">
        <v>15</v>
      </c>
      <c r="H53" s="8">
        <v>0.57999999999999996</v>
      </c>
      <c r="I53" s="12">
        <v>1</v>
      </c>
    </row>
    <row r="54" spans="2:9" ht="15" customHeight="1" x14ac:dyDescent="0.2">
      <c r="B54" t="s">
        <v>121</v>
      </c>
      <c r="C54" s="12">
        <v>134</v>
      </c>
      <c r="D54" s="8">
        <v>2.13</v>
      </c>
      <c r="E54" s="12">
        <v>105</v>
      </c>
      <c r="F54" s="8">
        <v>2.85</v>
      </c>
      <c r="G54" s="12">
        <v>28</v>
      </c>
      <c r="H54" s="8">
        <v>1.0900000000000001</v>
      </c>
      <c r="I54" s="12">
        <v>1</v>
      </c>
    </row>
    <row r="55" spans="2:9" ht="15" customHeight="1" x14ac:dyDescent="0.2">
      <c r="B55" t="s">
        <v>122</v>
      </c>
      <c r="C55" s="12">
        <v>125</v>
      </c>
      <c r="D55" s="8">
        <v>1.99</v>
      </c>
      <c r="E55" s="12">
        <v>79</v>
      </c>
      <c r="F55" s="8">
        <v>2.14</v>
      </c>
      <c r="G55" s="12">
        <v>46</v>
      </c>
      <c r="H55" s="8">
        <v>1.79</v>
      </c>
      <c r="I55" s="12">
        <v>0</v>
      </c>
    </row>
    <row r="56" spans="2:9" ht="15" customHeight="1" x14ac:dyDescent="0.2">
      <c r="B56" t="s">
        <v>124</v>
      </c>
      <c r="C56" s="12">
        <v>111</v>
      </c>
      <c r="D56" s="8">
        <v>1.77</v>
      </c>
      <c r="E56" s="12">
        <v>89</v>
      </c>
      <c r="F56" s="8">
        <v>2.42</v>
      </c>
      <c r="G56" s="12">
        <v>22</v>
      </c>
      <c r="H56" s="8">
        <v>0.85</v>
      </c>
      <c r="I56" s="12">
        <v>0</v>
      </c>
    </row>
    <row r="57" spans="2:9" ht="15" customHeight="1" x14ac:dyDescent="0.2">
      <c r="B57" t="s">
        <v>120</v>
      </c>
      <c r="C57" s="12">
        <v>107</v>
      </c>
      <c r="D57" s="8">
        <v>1.7</v>
      </c>
      <c r="E57" s="12">
        <v>34</v>
      </c>
      <c r="F57" s="8">
        <v>0.92</v>
      </c>
      <c r="G57" s="12">
        <v>73</v>
      </c>
      <c r="H57" s="8">
        <v>2.83</v>
      </c>
      <c r="I57" s="12">
        <v>0</v>
      </c>
    </row>
    <row r="58" spans="2:9" ht="15" customHeight="1" x14ac:dyDescent="0.2">
      <c r="B58" t="s">
        <v>130</v>
      </c>
      <c r="C58" s="12">
        <v>105</v>
      </c>
      <c r="D58" s="8">
        <v>1.67</v>
      </c>
      <c r="E58" s="12">
        <v>100</v>
      </c>
      <c r="F58" s="8">
        <v>2.71</v>
      </c>
      <c r="G58" s="12">
        <v>5</v>
      </c>
      <c r="H58" s="8">
        <v>0.19</v>
      </c>
      <c r="I58" s="12">
        <v>0</v>
      </c>
    </row>
    <row r="59" spans="2:9" ht="15" customHeight="1" x14ac:dyDescent="0.2">
      <c r="B59" t="s">
        <v>135</v>
      </c>
      <c r="C59" s="12">
        <v>99</v>
      </c>
      <c r="D59" s="8">
        <v>1.58</v>
      </c>
      <c r="E59" s="12">
        <v>83</v>
      </c>
      <c r="F59" s="8">
        <v>2.25</v>
      </c>
      <c r="G59" s="12">
        <v>16</v>
      </c>
      <c r="H59" s="8">
        <v>0.62</v>
      </c>
      <c r="I59" s="12">
        <v>0</v>
      </c>
    </row>
    <row r="60" spans="2:9" ht="15" customHeight="1" x14ac:dyDescent="0.2">
      <c r="B60" t="s">
        <v>144</v>
      </c>
      <c r="C60" s="12">
        <v>92</v>
      </c>
      <c r="D60" s="8">
        <v>1.46</v>
      </c>
      <c r="E60" s="12">
        <v>46</v>
      </c>
      <c r="F60" s="8">
        <v>1.25</v>
      </c>
      <c r="G60" s="12">
        <v>46</v>
      </c>
      <c r="H60" s="8">
        <v>1.79</v>
      </c>
      <c r="I60" s="12">
        <v>0</v>
      </c>
    </row>
    <row r="61" spans="2:9" ht="15" customHeight="1" x14ac:dyDescent="0.2">
      <c r="B61" t="s">
        <v>119</v>
      </c>
      <c r="C61" s="12">
        <v>92</v>
      </c>
      <c r="D61" s="8">
        <v>1.46</v>
      </c>
      <c r="E61" s="12">
        <v>34</v>
      </c>
      <c r="F61" s="8">
        <v>0.92</v>
      </c>
      <c r="G61" s="12">
        <v>58</v>
      </c>
      <c r="H61" s="8">
        <v>2.25</v>
      </c>
      <c r="I61" s="12">
        <v>0</v>
      </c>
    </row>
    <row r="62" spans="2:9" ht="15" customHeight="1" x14ac:dyDescent="0.2">
      <c r="B62" t="s">
        <v>136</v>
      </c>
      <c r="C62" s="12">
        <v>88</v>
      </c>
      <c r="D62" s="8">
        <v>1.4</v>
      </c>
      <c r="E62" s="12">
        <v>75</v>
      </c>
      <c r="F62" s="8">
        <v>2.04</v>
      </c>
      <c r="G62" s="12">
        <v>13</v>
      </c>
      <c r="H62" s="8">
        <v>0.5</v>
      </c>
      <c r="I62" s="12">
        <v>0</v>
      </c>
    </row>
    <row r="63" spans="2:9" ht="15" customHeight="1" x14ac:dyDescent="0.2">
      <c r="B63" t="s">
        <v>116</v>
      </c>
      <c r="C63" s="12">
        <v>79</v>
      </c>
      <c r="D63" s="8">
        <v>1.26</v>
      </c>
      <c r="E63" s="12">
        <v>17</v>
      </c>
      <c r="F63" s="8">
        <v>0.46</v>
      </c>
      <c r="G63" s="12">
        <v>62</v>
      </c>
      <c r="H63" s="8">
        <v>2.41</v>
      </c>
      <c r="I63" s="12">
        <v>0</v>
      </c>
    </row>
    <row r="64" spans="2:9" ht="15" customHeight="1" x14ac:dyDescent="0.2">
      <c r="B64" t="s">
        <v>117</v>
      </c>
      <c r="C64" s="12">
        <v>78</v>
      </c>
      <c r="D64" s="8">
        <v>1.24</v>
      </c>
      <c r="E64" s="12">
        <v>19</v>
      </c>
      <c r="F64" s="8">
        <v>0.52</v>
      </c>
      <c r="G64" s="12">
        <v>59</v>
      </c>
      <c r="H64" s="8">
        <v>2.29</v>
      </c>
      <c r="I64" s="12">
        <v>0</v>
      </c>
    </row>
    <row r="65" spans="2:9" ht="15" customHeight="1" x14ac:dyDescent="0.2">
      <c r="B65" t="s">
        <v>118</v>
      </c>
      <c r="C65" s="12">
        <v>77</v>
      </c>
      <c r="D65" s="8">
        <v>1.23</v>
      </c>
      <c r="E65" s="12">
        <v>38</v>
      </c>
      <c r="F65" s="8">
        <v>1.03</v>
      </c>
      <c r="G65" s="12">
        <v>39</v>
      </c>
      <c r="H65" s="8">
        <v>1.51</v>
      </c>
      <c r="I65" s="12">
        <v>0</v>
      </c>
    </row>
    <row r="66" spans="2:9" ht="15" customHeight="1" x14ac:dyDescent="0.2">
      <c r="B66" t="s">
        <v>125</v>
      </c>
      <c r="C66" s="12">
        <v>77</v>
      </c>
      <c r="D66" s="8">
        <v>1.23</v>
      </c>
      <c r="E66" s="12">
        <v>24</v>
      </c>
      <c r="F66" s="8">
        <v>0.65</v>
      </c>
      <c r="G66" s="12">
        <v>53</v>
      </c>
      <c r="H66" s="8">
        <v>2.06</v>
      </c>
      <c r="I66" s="12">
        <v>0</v>
      </c>
    </row>
    <row r="68" spans="2:9" ht="15" customHeight="1" x14ac:dyDescent="0.2">
      <c r="B68" t="s">
        <v>194</v>
      </c>
    </row>
  </sheetData>
  <phoneticPr fontId="1"/>
  <pageMargins left="0.70866141732283505" right="0.70866141732283505" top="0.74803149606299202" bottom="0.74803149606299202" header="0.31496062992126" footer="0.31496062992126"/>
  <pageSetup paperSize="12" orientation="portrait" cellComments="atEnd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50</vt:i4>
      </vt:variant>
      <vt:variant>
        <vt:lpstr>名前付き一覧</vt:lpstr>
      </vt:variant>
      <vt:variant>
        <vt:i4>3</vt:i4>
      </vt:variant>
    </vt:vector>
  </HeadingPairs>
  <TitlesOfParts>
    <vt:vector size="53" baseType="lpstr">
      <vt:lpstr>目次</vt:lpstr>
      <vt:lpstr>産業大分類</vt:lpstr>
      <vt:lpstr>産業中分類</vt:lpstr>
      <vt:lpstr>産業小分類</vt:lpstr>
      <vt:lpstr>静岡県</vt:lpstr>
      <vt:lpstr>静岡市</vt:lpstr>
      <vt:lpstr>静岡市葵区</vt:lpstr>
      <vt:lpstr>静岡市駿河区</vt:lpstr>
      <vt:lpstr>静岡市清水区</vt:lpstr>
      <vt:lpstr>浜松市</vt:lpstr>
      <vt:lpstr>浜松市中区</vt:lpstr>
      <vt:lpstr>浜松市東区</vt:lpstr>
      <vt:lpstr>浜松市西区</vt:lpstr>
      <vt:lpstr>浜松市南区</vt:lpstr>
      <vt:lpstr>浜松市北区</vt:lpstr>
      <vt:lpstr>浜松市浜北区</vt:lpstr>
      <vt:lpstr>浜松市天竜区</vt:lpstr>
      <vt:lpstr>沼津市</vt:lpstr>
      <vt:lpstr>熱海市</vt:lpstr>
      <vt:lpstr>三島市</vt:lpstr>
      <vt:lpstr>富士宮市</vt:lpstr>
      <vt:lpstr>伊東市</vt:lpstr>
      <vt:lpstr>島田市</vt:lpstr>
      <vt:lpstr>富士市</vt:lpstr>
      <vt:lpstr>磐田市</vt:lpstr>
      <vt:lpstr>焼津市</vt:lpstr>
      <vt:lpstr>掛川市</vt:lpstr>
      <vt:lpstr>藤枝市</vt:lpstr>
      <vt:lpstr>御殿場市</vt:lpstr>
      <vt:lpstr>袋井市</vt:lpstr>
      <vt:lpstr>下田市</vt:lpstr>
      <vt:lpstr>裾野市</vt:lpstr>
      <vt:lpstr>湖西市</vt:lpstr>
      <vt:lpstr>伊豆市</vt:lpstr>
      <vt:lpstr>御前崎市</vt:lpstr>
      <vt:lpstr>菊川市</vt:lpstr>
      <vt:lpstr>伊豆の国市</vt:lpstr>
      <vt:lpstr>牧之原市</vt:lpstr>
      <vt:lpstr>賀茂郡東伊豆町</vt:lpstr>
      <vt:lpstr>賀茂郡河津町</vt:lpstr>
      <vt:lpstr>賀茂郡南伊豆町</vt:lpstr>
      <vt:lpstr>賀茂郡松崎町</vt:lpstr>
      <vt:lpstr>賀茂郡西伊豆町</vt:lpstr>
      <vt:lpstr>田方郡函南町</vt:lpstr>
      <vt:lpstr>駿東郡清水町</vt:lpstr>
      <vt:lpstr>駿東郡長泉町</vt:lpstr>
      <vt:lpstr>駿東郡小山町</vt:lpstr>
      <vt:lpstr>榛原郡吉田町</vt:lpstr>
      <vt:lpstr>榛原郡川根本町</vt:lpstr>
      <vt:lpstr>周智郡森町</vt:lpstr>
      <vt:lpstr>産業小分類!Print_Titles</vt:lpstr>
      <vt:lpstr>産業大分類!Print_Titles</vt:lpstr>
      <vt:lpstr>産業中分類!Print_Titles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2023-08-17T02:22:31Z</dcterms:created>
  <dcterms:modified xsi:type="dcterms:W3CDTF">2023-08-17T02:22:31Z</dcterms:modified>
</cp:coreProperties>
</file>