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tables/table65.xml" ContentType="application/vnd.openxmlformats-officedocument.spreadsheetml.table+xml"/>
  <Override PartName="/xl/tables/table66.xml" ContentType="application/vnd.openxmlformats-officedocument.spreadsheetml.table+xml"/>
  <Override PartName="/xl/tables/table67.xml" ContentType="application/vnd.openxmlformats-officedocument.spreadsheetml.table+xml"/>
  <Override PartName="/xl/tables/table68.xml" ContentType="application/vnd.openxmlformats-officedocument.spreadsheetml.table+xml"/>
  <Override PartName="/xl/tables/table69.xml" ContentType="application/vnd.openxmlformats-officedocument.spreadsheetml.table+xml"/>
  <Override PartName="/xl/tables/table70.xml" ContentType="application/vnd.openxmlformats-officedocument.spreadsheetml.table+xml"/>
  <Override PartName="/xl/tables/table71.xml" ContentType="application/vnd.openxmlformats-officedocument.spreadsheetml.table+xml"/>
  <Override PartName="/xl/tables/table72.xml" ContentType="application/vnd.openxmlformats-officedocument.spreadsheetml.table+xml"/>
  <Override PartName="/xl/tables/table73.xml" ContentType="application/vnd.openxmlformats-officedocument.spreadsheetml.table+xml"/>
  <Override PartName="/xl/tables/table74.xml" ContentType="application/vnd.openxmlformats-officedocument.spreadsheetml.table+xml"/>
  <Override PartName="/xl/tables/table75.xml" ContentType="application/vnd.openxmlformats-officedocument.spreadsheetml.table+xml"/>
  <Override PartName="/xl/tables/table76.xml" ContentType="application/vnd.openxmlformats-officedocument.spreadsheetml.table+xml"/>
  <Override PartName="/xl/tables/table77.xml" ContentType="application/vnd.openxmlformats-officedocument.spreadsheetml.table+xml"/>
  <Override PartName="/xl/tables/table78.xml" ContentType="application/vnd.openxmlformats-officedocument.spreadsheetml.table+xml"/>
  <Override PartName="/xl/tables/table79.xml" ContentType="application/vnd.openxmlformats-officedocument.spreadsheetml.table+xml"/>
  <Override PartName="/xl/tables/table80.xml" ContentType="application/vnd.openxmlformats-officedocument.spreadsheetml.table+xml"/>
  <Override PartName="/xl/tables/table81.xml" ContentType="application/vnd.openxmlformats-officedocument.spreadsheetml.table+xml"/>
  <Override PartName="/xl/tables/table82.xml" ContentType="application/vnd.openxmlformats-officedocument.spreadsheetml.table+xml"/>
  <Override PartName="/xl/tables/table83.xml" ContentType="application/vnd.openxmlformats-officedocument.spreadsheetml.table+xml"/>
  <Override PartName="/xl/tables/table84.xml" ContentType="application/vnd.openxmlformats-officedocument.spreadsheetml.table+xml"/>
  <Override PartName="/xl/tables/table85.xml" ContentType="application/vnd.openxmlformats-officedocument.spreadsheetml.table+xml"/>
  <Override PartName="/xl/tables/table86.xml" ContentType="application/vnd.openxmlformats-officedocument.spreadsheetml.table+xml"/>
  <Override PartName="/xl/tables/table87.xml" ContentType="application/vnd.openxmlformats-officedocument.spreadsheetml.table+xml"/>
  <Override PartName="/xl/tables/table88.xml" ContentType="application/vnd.openxmlformats-officedocument.spreadsheetml.table+xml"/>
  <Override PartName="/xl/tables/table89.xml" ContentType="application/vnd.openxmlformats-officedocument.spreadsheetml.table+xml"/>
  <Override PartName="/xl/tables/table90.xml" ContentType="application/vnd.openxmlformats-officedocument.spreadsheetml.table+xml"/>
  <Override PartName="/xl/tables/table91.xml" ContentType="application/vnd.openxmlformats-officedocument.spreadsheetml.table+xml"/>
  <Override PartName="/xl/tables/table92.xml" ContentType="application/vnd.openxmlformats-officedocument.spreadsheetml.table+xml"/>
  <Override PartName="/xl/tables/table93.xml" ContentType="application/vnd.openxmlformats-officedocument.spreadsheetml.table+xml"/>
  <Override PartName="/xl/tables/table94.xml" ContentType="application/vnd.openxmlformats-officedocument.spreadsheetml.table+xml"/>
  <Override PartName="/xl/tables/table95.xml" ContentType="application/vnd.openxmlformats-officedocument.spreadsheetml.table+xml"/>
  <Override PartName="/xl/tables/table96.xml" ContentType="application/vnd.openxmlformats-officedocument.spreadsheetml.table+xml"/>
  <Override PartName="/xl/tables/table97.xml" ContentType="application/vnd.openxmlformats-officedocument.spreadsheetml.table+xml"/>
  <Override PartName="/xl/tables/table98.xml" ContentType="application/vnd.openxmlformats-officedocument.spreadsheetml.table+xml"/>
  <Override PartName="/xl/tables/table99.xml" ContentType="application/vnd.openxmlformats-officedocument.spreadsheetml.table+xml"/>
  <Override PartName="/xl/tables/table100.xml" ContentType="application/vnd.openxmlformats-officedocument.spreadsheetml.table+xml"/>
  <Override PartName="/xl/tables/table101.xml" ContentType="application/vnd.openxmlformats-officedocument.spreadsheetml.table+xml"/>
  <Override PartName="/xl/tables/table102.xml" ContentType="application/vnd.openxmlformats-officedocument.spreadsheetml.table+xml"/>
  <Override PartName="/xl/tables/table103.xml" ContentType="application/vnd.openxmlformats-officedocument.spreadsheetml.table+xml"/>
  <Override PartName="/xl/tables/table104.xml" ContentType="application/vnd.openxmlformats-officedocument.spreadsheetml.table+xml"/>
  <Override PartName="/xl/tables/table105.xml" ContentType="application/vnd.openxmlformats-officedocument.spreadsheetml.table+xml"/>
  <Override PartName="/xl/tables/table106.xml" ContentType="application/vnd.openxmlformats-officedocument.spreadsheetml.table+xml"/>
  <Override PartName="/xl/tables/table107.xml" ContentType="application/vnd.openxmlformats-officedocument.spreadsheetml.table+xml"/>
  <Override PartName="/xl/tables/table108.xml" ContentType="application/vnd.openxmlformats-officedocument.spreadsheetml.table+xml"/>
  <Override PartName="/xl/tables/table109.xml" ContentType="application/vnd.openxmlformats-officedocument.spreadsheetml.table+xml"/>
  <Override PartName="/xl/tables/table110.xml" ContentType="application/vnd.openxmlformats-officedocument.spreadsheetml.table+xml"/>
  <Override PartName="/xl/tables/table111.xml" ContentType="application/vnd.openxmlformats-officedocument.spreadsheetml.table+xml"/>
  <Override PartName="/xl/tables/table112.xml" ContentType="application/vnd.openxmlformats-officedocument.spreadsheetml.table+xml"/>
  <Override PartName="/xl/tables/table113.xml" ContentType="application/vnd.openxmlformats-officedocument.spreadsheetml.table+xml"/>
  <Override PartName="/xl/tables/table114.xml" ContentType="application/vnd.openxmlformats-officedocument.spreadsheetml.table+xml"/>
  <Override PartName="/xl/tables/table115.xml" ContentType="application/vnd.openxmlformats-officedocument.spreadsheetml.table+xml"/>
  <Override PartName="/xl/tables/table116.xml" ContentType="application/vnd.openxmlformats-officedocument.spreadsheetml.table+xml"/>
  <Override PartName="/xl/tables/table117.xml" ContentType="application/vnd.openxmlformats-officedocument.spreadsheetml.table+xml"/>
  <Override PartName="/xl/tables/table118.xml" ContentType="application/vnd.openxmlformats-officedocument.spreadsheetml.table+xml"/>
  <Override PartName="/xl/tables/table119.xml" ContentType="application/vnd.openxmlformats-officedocument.spreadsheetml.table+xml"/>
  <Override PartName="/xl/tables/table120.xml" ContentType="application/vnd.openxmlformats-officedocument.spreadsheetml.table+xml"/>
  <Override PartName="/xl/tables/table121.xml" ContentType="application/vnd.openxmlformats-officedocument.spreadsheetml.table+xml"/>
  <Override PartName="/xl/tables/table122.xml" ContentType="application/vnd.openxmlformats-officedocument.spreadsheetml.table+xml"/>
  <Override PartName="/xl/tables/table123.xml" ContentType="application/vnd.openxmlformats-officedocument.spreadsheetml.table+xml"/>
  <Override PartName="/xl/tables/table124.xml" ContentType="application/vnd.openxmlformats-officedocument.spreadsheetml.table+xml"/>
  <Override PartName="/xl/tables/table125.xml" ContentType="application/vnd.openxmlformats-officedocument.spreadsheetml.table+xml"/>
  <Override PartName="/xl/tables/table126.xml" ContentType="application/vnd.openxmlformats-officedocument.spreadsheetml.table+xml"/>
  <Override PartName="/xl/tables/table127.xml" ContentType="application/vnd.openxmlformats-officedocument.spreadsheetml.table+xml"/>
  <Override PartName="/xl/tables/table128.xml" ContentType="application/vnd.openxmlformats-officedocument.spreadsheetml.table+xml"/>
  <Override PartName="/xl/tables/table12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filterPrivacy="1" codeName="ThisWorkbook" hidePivotFieldList="1"/>
  <xr:revisionPtr revIDLastSave="0" documentId="13_ncr:1_{B24F777B-B4AE-4B29-A3B7-B1903615D1DF}" xr6:coauthVersionLast="47" xr6:coauthVersionMax="47" xr10:uidLastSave="{00000000-0000-0000-0000-000000000000}"/>
  <bookViews>
    <workbookView xWindow="792" yWindow="1284" windowWidth="17124" windowHeight="10680" xr2:uid="{00000000-000D-0000-FFFF-FFFF00000000}"/>
  </bookViews>
  <sheets>
    <sheet name="目次" sheetId="51" r:id="rId1"/>
    <sheet name="産業大分類" sheetId="5" r:id="rId2"/>
    <sheet name="産業中分類" sheetId="6" r:id="rId3"/>
    <sheet name="産業小分類" sheetId="7" r:id="rId4"/>
    <sheet name="岐阜県" sheetId="8" r:id="rId5"/>
    <sheet name="岐阜市" sheetId="9" r:id="rId6"/>
    <sheet name="大垣市" sheetId="10" r:id="rId7"/>
    <sheet name="高山市" sheetId="11" r:id="rId8"/>
    <sheet name="多治見市" sheetId="12" r:id="rId9"/>
    <sheet name="関市" sheetId="13" r:id="rId10"/>
    <sheet name="中津川市" sheetId="14" r:id="rId11"/>
    <sheet name="美濃市" sheetId="15" r:id="rId12"/>
    <sheet name="瑞浪市" sheetId="16" r:id="rId13"/>
    <sheet name="羽島市" sheetId="17" r:id="rId14"/>
    <sheet name="恵那市" sheetId="18" r:id="rId15"/>
    <sheet name="美濃加茂市" sheetId="19" r:id="rId16"/>
    <sheet name="土岐市" sheetId="20" r:id="rId17"/>
    <sheet name="各務原市" sheetId="21" r:id="rId18"/>
    <sheet name="可児市" sheetId="22" r:id="rId19"/>
    <sheet name="山県市" sheetId="23" r:id="rId20"/>
    <sheet name="瑞穂市" sheetId="24" r:id="rId21"/>
    <sheet name="飛騨市" sheetId="25" r:id="rId22"/>
    <sheet name="本巣市" sheetId="26" r:id="rId23"/>
    <sheet name="郡上市" sheetId="27" r:id="rId24"/>
    <sheet name="下呂市" sheetId="28" r:id="rId25"/>
    <sheet name="海津市" sheetId="29" r:id="rId26"/>
    <sheet name="羽島郡岐南町" sheetId="30" r:id="rId27"/>
    <sheet name="羽島郡笠松町" sheetId="31" r:id="rId28"/>
    <sheet name="養老郡養老町" sheetId="32" r:id="rId29"/>
    <sheet name="不破郡垂井町" sheetId="33" r:id="rId30"/>
    <sheet name="不破郡関ケ原町" sheetId="34" r:id="rId31"/>
    <sheet name="安八郡神戸町" sheetId="35" r:id="rId32"/>
    <sheet name="安八郡輪之内町" sheetId="36" r:id="rId33"/>
    <sheet name="安八郡安八町" sheetId="37" r:id="rId34"/>
    <sheet name="揖斐郡揖斐川町" sheetId="38" r:id="rId35"/>
    <sheet name="揖斐郡大野町" sheetId="39" r:id="rId36"/>
    <sheet name="揖斐郡池田町" sheetId="40" r:id="rId37"/>
    <sheet name="本巣郡北方町" sheetId="41" r:id="rId38"/>
    <sheet name="加茂郡坂祝町" sheetId="42" r:id="rId39"/>
    <sheet name="加茂郡富加町" sheetId="43" r:id="rId40"/>
    <sheet name="加茂郡川辺町" sheetId="44" r:id="rId41"/>
    <sheet name="加茂郡七宗町" sheetId="45" r:id="rId42"/>
    <sheet name="加茂郡八百津町" sheetId="46" r:id="rId43"/>
    <sheet name="加茂郡白川町" sheetId="47" r:id="rId44"/>
    <sheet name="加茂郡東白川村" sheetId="48" r:id="rId45"/>
    <sheet name="可児郡御嵩町" sheetId="49" r:id="rId46"/>
    <sheet name="大野郡白川村" sheetId="50" r:id="rId47"/>
  </sheets>
  <definedNames>
    <definedName name="_xlnm.Print_Titles" localSheetId="3">産業小分類!$1:$1</definedName>
    <definedName name="_xlnm.Print_Titles" localSheetId="1">産業大分類!$1:$1</definedName>
    <definedName name="_xlnm.Print_Titles" localSheetId="2">産業中分類!$1:$1</definedName>
  </definedNames>
  <calcPr calcId="191029"/>
  <pivotCaches>
    <pivotCache cacheId="2188" r:id="rId48"/>
    <pivotCache cacheId="2189" r:id="rId49"/>
    <pivotCache cacheId="2190" r:id="rId50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1" i="50" l="1"/>
  <c r="G21" i="50"/>
  <c r="E21" i="50"/>
  <c r="I20" i="50"/>
  <c r="G20" i="50"/>
  <c r="E20" i="50"/>
  <c r="C20" i="50"/>
  <c r="I21" i="49"/>
  <c r="G21" i="49"/>
  <c r="E21" i="49"/>
  <c r="I20" i="49"/>
  <c r="G20" i="49"/>
  <c r="E20" i="49"/>
  <c r="C20" i="49"/>
  <c r="I21" i="48"/>
  <c r="G21" i="48"/>
  <c r="E21" i="48"/>
  <c r="I20" i="48"/>
  <c r="G20" i="48"/>
  <c r="E20" i="48"/>
  <c r="C20" i="48"/>
  <c r="I21" i="47"/>
  <c r="G21" i="47"/>
  <c r="E21" i="47"/>
  <c r="I20" i="47"/>
  <c r="G20" i="47"/>
  <c r="E20" i="47"/>
  <c r="C20" i="47"/>
  <c r="I21" i="46"/>
  <c r="G21" i="46"/>
  <c r="E21" i="46"/>
  <c r="I20" i="46"/>
  <c r="G20" i="46"/>
  <c r="E20" i="46"/>
  <c r="C20" i="46"/>
  <c r="I21" i="45"/>
  <c r="G21" i="45"/>
  <c r="E21" i="45"/>
  <c r="I20" i="45"/>
  <c r="G20" i="45"/>
  <c r="E20" i="45"/>
  <c r="C20" i="45"/>
  <c r="I21" i="44"/>
  <c r="G21" i="44"/>
  <c r="E21" i="44"/>
  <c r="I20" i="44"/>
  <c r="G20" i="44"/>
  <c r="E20" i="44"/>
  <c r="C20" i="44"/>
  <c r="I21" i="43"/>
  <c r="G21" i="43"/>
  <c r="E21" i="43"/>
  <c r="I20" i="43"/>
  <c r="G20" i="43"/>
  <c r="E20" i="43"/>
  <c r="C20" i="43"/>
  <c r="I21" i="42"/>
  <c r="G21" i="42"/>
  <c r="E21" i="42"/>
  <c r="I20" i="42"/>
  <c r="G20" i="42"/>
  <c r="E20" i="42"/>
  <c r="C20" i="42"/>
  <c r="I21" i="41"/>
  <c r="G21" i="41"/>
  <c r="E21" i="41"/>
  <c r="I20" i="41"/>
  <c r="G20" i="41"/>
  <c r="E20" i="41"/>
  <c r="C20" i="41"/>
  <c r="I21" i="40"/>
  <c r="G21" i="40"/>
  <c r="E21" i="40"/>
  <c r="I20" i="40"/>
  <c r="G20" i="40"/>
  <c r="E20" i="40"/>
  <c r="C20" i="40"/>
  <c r="I21" i="39"/>
  <c r="G21" i="39"/>
  <c r="E21" i="39"/>
  <c r="I20" i="39"/>
  <c r="G20" i="39"/>
  <c r="E20" i="39"/>
  <c r="C20" i="39"/>
  <c r="I21" i="38"/>
  <c r="G21" i="38"/>
  <c r="E21" i="38"/>
  <c r="I20" i="38"/>
  <c r="G20" i="38"/>
  <c r="E20" i="38"/>
  <c r="C20" i="38"/>
  <c r="I21" i="37"/>
  <c r="G21" i="37"/>
  <c r="E21" i="37"/>
  <c r="I20" i="37"/>
  <c r="G20" i="37"/>
  <c r="E20" i="37"/>
  <c r="C20" i="37"/>
  <c r="I21" i="36"/>
  <c r="G21" i="36"/>
  <c r="E21" i="36"/>
  <c r="I20" i="36"/>
  <c r="G20" i="36"/>
  <c r="E20" i="36"/>
  <c r="C20" i="36"/>
  <c r="I21" i="35"/>
  <c r="G21" i="35"/>
  <c r="E21" i="35"/>
  <c r="I20" i="35"/>
  <c r="G20" i="35"/>
  <c r="E20" i="35"/>
  <c r="C20" i="35"/>
  <c r="I21" i="34"/>
  <c r="G21" i="34"/>
  <c r="E21" i="34"/>
  <c r="I20" i="34"/>
  <c r="G20" i="34"/>
  <c r="E20" i="34"/>
  <c r="C20" i="34"/>
  <c r="I21" i="33"/>
  <c r="G21" i="33"/>
  <c r="E21" i="33"/>
  <c r="I20" i="33"/>
  <c r="G20" i="33"/>
  <c r="E20" i="33"/>
  <c r="C20" i="33"/>
  <c r="I21" i="32"/>
  <c r="G21" i="32"/>
  <c r="E21" i="32"/>
  <c r="I20" i="32"/>
  <c r="G20" i="32"/>
  <c r="E20" i="32"/>
  <c r="C20" i="32"/>
  <c r="I21" i="31"/>
  <c r="G21" i="31"/>
  <c r="E21" i="31"/>
  <c r="I20" i="31"/>
  <c r="G20" i="31"/>
  <c r="E20" i="31"/>
  <c r="C20" i="31"/>
  <c r="I21" i="30"/>
  <c r="G21" i="30"/>
  <c r="E21" i="30"/>
  <c r="I20" i="30"/>
  <c r="G20" i="30"/>
  <c r="E20" i="30"/>
  <c r="C20" i="30"/>
  <c r="I21" i="29"/>
  <c r="G21" i="29"/>
  <c r="E21" i="29"/>
  <c r="I20" i="29"/>
  <c r="G20" i="29"/>
  <c r="E20" i="29"/>
  <c r="C20" i="29"/>
  <c r="I21" i="28"/>
  <c r="G21" i="28"/>
  <c r="E21" i="28"/>
  <c r="I20" i="28"/>
  <c r="G20" i="28"/>
  <c r="E20" i="28"/>
  <c r="C20" i="28"/>
  <c r="I21" i="27"/>
  <c r="G21" i="27"/>
  <c r="E21" i="27"/>
  <c r="I20" i="27"/>
  <c r="G20" i="27"/>
  <c r="E20" i="27"/>
  <c r="C20" i="27"/>
  <c r="I21" i="26"/>
  <c r="G21" i="26"/>
  <c r="E21" i="26"/>
  <c r="I20" i="26"/>
  <c r="G20" i="26"/>
  <c r="E20" i="26"/>
  <c r="C20" i="26"/>
  <c r="I21" i="25"/>
  <c r="G21" i="25"/>
  <c r="E21" i="25"/>
  <c r="I20" i="25"/>
  <c r="G20" i="25"/>
  <c r="E20" i="25"/>
  <c r="C20" i="25"/>
  <c r="I21" i="24"/>
  <c r="G21" i="24"/>
  <c r="E21" i="24"/>
  <c r="I20" i="24"/>
  <c r="G20" i="24"/>
  <c r="E20" i="24"/>
  <c r="C20" i="24"/>
  <c r="I21" i="23"/>
  <c r="G21" i="23"/>
  <c r="E21" i="23"/>
  <c r="I20" i="23"/>
  <c r="G20" i="23"/>
  <c r="E20" i="23"/>
  <c r="C20" i="23"/>
  <c r="I21" i="22"/>
  <c r="G21" i="22"/>
  <c r="E21" i="22"/>
  <c r="I20" i="22"/>
  <c r="G20" i="22"/>
  <c r="E20" i="22"/>
  <c r="C20" i="22"/>
  <c r="I21" i="21"/>
  <c r="G21" i="21"/>
  <c r="E21" i="21"/>
  <c r="I20" i="21"/>
  <c r="G20" i="21"/>
  <c r="E20" i="21"/>
  <c r="C20" i="21"/>
  <c r="I21" i="20"/>
  <c r="G21" i="20"/>
  <c r="E21" i="20"/>
  <c r="I20" i="20"/>
  <c r="G20" i="20"/>
  <c r="E20" i="20"/>
  <c r="C20" i="20"/>
  <c r="I21" i="19"/>
  <c r="G21" i="19"/>
  <c r="E21" i="19"/>
  <c r="I20" i="19"/>
  <c r="G20" i="19"/>
  <c r="E20" i="19"/>
  <c r="C20" i="19"/>
  <c r="I21" i="18"/>
  <c r="G21" i="18"/>
  <c r="E21" i="18"/>
  <c r="I20" i="18"/>
  <c r="G20" i="18"/>
  <c r="E20" i="18"/>
  <c r="C20" i="18"/>
  <c r="I21" i="17"/>
  <c r="G21" i="17"/>
  <c r="E21" i="17"/>
  <c r="I20" i="17"/>
  <c r="G20" i="17"/>
  <c r="E20" i="17"/>
  <c r="C20" i="17"/>
  <c r="I21" i="16"/>
  <c r="G21" i="16"/>
  <c r="E21" i="16"/>
  <c r="I20" i="16"/>
  <c r="G20" i="16"/>
  <c r="E20" i="16"/>
  <c r="C20" i="16"/>
  <c r="I21" i="15"/>
  <c r="G21" i="15"/>
  <c r="E21" i="15"/>
  <c r="I20" i="15"/>
  <c r="G20" i="15"/>
  <c r="E20" i="15"/>
  <c r="C20" i="15"/>
  <c r="I21" i="14"/>
  <c r="G21" i="14"/>
  <c r="E21" i="14"/>
  <c r="I20" i="14"/>
  <c r="G20" i="14"/>
  <c r="E20" i="14"/>
  <c r="C20" i="14"/>
  <c r="I21" i="13"/>
  <c r="G21" i="13"/>
  <c r="E21" i="13"/>
  <c r="I20" i="13"/>
  <c r="G20" i="13"/>
  <c r="E20" i="13"/>
  <c r="C20" i="13"/>
  <c r="I21" i="12"/>
  <c r="G21" i="12"/>
  <c r="E21" i="12"/>
  <c r="I20" i="12"/>
  <c r="G20" i="12"/>
  <c r="E20" i="12"/>
  <c r="C20" i="12"/>
  <c r="I21" i="11"/>
  <c r="G21" i="11"/>
  <c r="E21" i="11"/>
  <c r="I20" i="11"/>
  <c r="G20" i="11"/>
  <c r="E20" i="11"/>
  <c r="C20" i="11"/>
  <c r="I21" i="10"/>
  <c r="G21" i="10"/>
  <c r="E21" i="10"/>
  <c r="I20" i="10"/>
  <c r="G20" i="10"/>
  <c r="E20" i="10"/>
  <c r="C20" i="10"/>
  <c r="I21" i="9"/>
  <c r="G21" i="9"/>
  <c r="E21" i="9"/>
  <c r="I20" i="9"/>
  <c r="G20" i="9"/>
  <c r="E20" i="9"/>
  <c r="C20" i="9"/>
  <c r="I21" i="8"/>
  <c r="G21" i="8"/>
  <c r="E21" i="8"/>
  <c r="I20" i="8"/>
  <c r="G20" i="8"/>
  <c r="E20" i="8"/>
  <c r="C20" i="8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3000000}" name="ec2021 L" type="1" refreshedVersion="8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  <connection id="2" xr16:uid="{00000000-0015-0000-FFFF-FFFF06000000}" name="ec2021 M" type="1" refreshedVersion="8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  <connection id="3" xr16:uid="{00000000-0015-0000-FFFF-FFFF08000000}" name="ec2021 S" type="1" refreshedVersion="8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</connections>
</file>

<file path=xl/sharedStrings.xml><?xml version="1.0" encoding="utf-8"?>
<sst xmlns="http://schemas.openxmlformats.org/spreadsheetml/2006/main" count="6389" uniqueCount="322">
  <si>
    <t>21000 岐阜県</t>
  </si>
  <si>
    <t>21201 岐阜市</t>
  </si>
  <si>
    <t>21202 大垣市</t>
  </si>
  <si>
    <t>21203 高山市</t>
  </si>
  <si>
    <t>21204 多治見市</t>
  </si>
  <si>
    <t>21205 関市</t>
  </si>
  <si>
    <t>21206 中津川市</t>
  </si>
  <si>
    <t>21207 美濃市</t>
  </si>
  <si>
    <t>21208 瑞浪市</t>
  </si>
  <si>
    <t>21209 羽島市</t>
  </si>
  <si>
    <t>21210 恵那市</t>
  </si>
  <si>
    <t>21211 美濃加茂市</t>
  </si>
  <si>
    <t>21212 土岐市</t>
  </si>
  <si>
    <t>21213 各務原市</t>
  </si>
  <si>
    <t>21214 可児市</t>
  </si>
  <si>
    <t>21215 山県市</t>
  </si>
  <si>
    <t>21216 瑞穂市</t>
  </si>
  <si>
    <t>21217 飛騨市</t>
  </si>
  <si>
    <t>21218 本巣市</t>
  </si>
  <si>
    <t>21219 郡上市</t>
  </si>
  <si>
    <t>21220 下呂市</t>
  </si>
  <si>
    <t>21221 海津市</t>
  </si>
  <si>
    <t>21302 羽島郡岐南町</t>
  </si>
  <si>
    <t>21303 羽島郡笠松町</t>
  </si>
  <si>
    <t>21341 養老郡養老町</t>
  </si>
  <si>
    <t>21361 不破郡垂井町</t>
  </si>
  <si>
    <t>21362 不破郡関ケ原町</t>
  </si>
  <si>
    <t>21381 安八郡神戸町</t>
  </si>
  <si>
    <t>21382 安八郡輪之内町</t>
  </si>
  <si>
    <t>21383 安八郡安八町</t>
  </si>
  <si>
    <t>21401 揖斐郡揖斐川町</t>
  </si>
  <si>
    <t>21403 揖斐郡大野町</t>
  </si>
  <si>
    <t>21404 揖斐郡池田町</t>
  </si>
  <si>
    <t>21421 本巣郡北方町</t>
  </si>
  <si>
    <t>21501 加茂郡坂祝町</t>
  </si>
  <si>
    <t>21502 加茂郡富加町</t>
  </si>
  <si>
    <t>21503 加茂郡川辺町</t>
  </si>
  <si>
    <t>21504 加茂郡七宗町</t>
  </si>
  <si>
    <t>21505 加茂郡八百津町</t>
  </si>
  <si>
    <t>21506 加茂郡白川町</t>
  </si>
  <si>
    <t>21507 加茂郡東白川村</t>
  </si>
  <si>
    <t>21521 可児郡御嵩町</t>
  </si>
  <si>
    <t>21604 大野郡白川村</t>
  </si>
  <si>
    <t>C 鉱業，採石業，砂利採取業</t>
  </si>
  <si>
    <t>D 建設業</t>
  </si>
  <si>
    <t>E 製造業</t>
  </si>
  <si>
    <t>F 電気・ガス・熱供給・水道業</t>
  </si>
  <si>
    <t>G 情報通信業</t>
  </si>
  <si>
    <t>H 運輸業，郵便業</t>
  </si>
  <si>
    <t>I 卸売業，小売業</t>
  </si>
  <si>
    <t>J 金融業，保険業</t>
  </si>
  <si>
    <t>K 不動産業，物品賃貸業</t>
  </si>
  <si>
    <t>L 学術研究，専門・技術サービス業</t>
  </si>
  <si>
    <t>M 宿泊業，飲食サービス業</t>
  </si>
  <si>
    <t>N 生活関連サービス業，娯楽業</t>
  </si>
  <si>
    <t>O 教育，学習支援業</t>
  </si>
  <si>
    <t>P 医療，福祉</t>
  </si>
  <si>
    <t>R サービス業（他に分類されないもの）</t>
  </si>
  <si>
    <t>自治体／産業大分類</t>
  </si>
  <si>
    <t>総数／事業所数</t>
  </si>
  <si>
    <t>総数／構成比</t>
  </si>
  <si>
    <t>個人／事業所数</t>
  </si>
  <si>
    <t>個人／構成比</t>
  </si>
  <si>
    <t>法人／事業所数</t>
  </si>
  <si>
    <t>法人／構成比</t>
  </si>
  <si>
    <t>法人以外の団体／事業所数</t>
  </si>
  <si>
    <t>06 総合工事業</t>
  </si>
  <si>
    <t>07 職別工事業（設備工事業を除く）</t>
  </si>
  <si>
    <t>08 設備工事業</t>
  </si>
  <si>
    <t>11 繊維工業</t>
  </si>
  <si>
    <t>21 窯業・土石製品製造業</t>
  </si>
  <si>
    <t>24 金属製品製造業</t>
  </si>
  <si>
    <t>26 生産用機械器具製造業</t>
  </si>
  <si>
    <t>55 その他の卸売業</t>
  </si>
  <si>
    <t>57 織物・衣服・身の回り品小売業</t>
  </si>
  <si>
    <t>58 飲食料品小売業</t>
  </si>
  <si>
    <t>59 機械器具小売業</t>
  </si>
  <si>
    <t>60 その他の小売業</t>
  </si>
  <si>
    <t>69 不動産賃貸業・管理業</t>
  </si>
  <si>
    <t>72 専門サービス業（他に分類されないもの）</t>
  </si>
  <si>
    <t>74 技術サービス業（他に分類されないもの）</t>
  </si>
  <si>
    <t>76 飲食店</t>
  </si>
  <si>
    <t>78 洗濯・理容・美容・浴場業</t>
  </si>
  <si>
    <t>82 その他の教育，学習支援業</t>
  </si>
  <si>
    <t>83 医療業</t>
  </si>
  <si>
    <t>89 自動車整備業</t>
  </si>
  <si>
    <t>51 繊維・衣服等卸売業</t>
  </si>
  <si>
    <t>54 機械器具卸売業</t>
  </si>
  <si>
    <t>92 その他の事業サービス業</t>
  </si>
  <si>
    <t>53 建築材料，鉱物・金属材料等卸売業</t>
  </si>
  <si>
    <t>79 その他の生活関連サービス業</t>
  </si>
  <si>
    <t>09 食料品製造業</t>
  </si>
  <si>
    <t>12 木材・木製品製造業（家具を除く）</t>
  </si>
  <si>
    <t>13 家具・装備品製造業</t>
  </si>
  <si>
    <t>32 その他の製造業</t>
  </si>
  <si>
    <t>75 宿泊業</t>
  </si>
  <si>
    <t>61 無店舗小売業</t>
  </si>
  <si>
    <t>85 社会保険・社会福祉・介護事業</t>
  </si>
  <si>
    <t>18 プラスチック製品製造業（別掲を除く）</t>
  </si>
  <si>
    <t>14 パルプ・紙・紙加工品製造業</t>
  </si>
  <si>
    <t>77 持ち帰り・配達飲食サービス業</t>
  </si>
  <si>
    <t>31 輸送用機械器具製造業</t>
  </si>
  <si>
    <t>68 不動産取引業</t>
  </si>
  <si>
    <t>25 はん用機械器具製造業</t>
  </si>
  <si>
    <t>15 印刷・同関連業</t>
  </si>
  <si>
    <t>52 飲食料品卸売業</t>
  </si>
  <si>
    <t>90 機械等修理業（別掲を除く）</t>
  </si>
  <si>
    <t>10 飲料・たばこ・飼料製造業</t>
  </si>
  <si>
    <t>70 物品賃貸業</t>
  </si>
  <si>
    <t>80 娯楽業</t>
  </si>
  <si>
    <t>29 電気機械器具製造業</t>
  </si>
  <si>
    <t>44 道路貨物運送業</t>
  </si>
  <si>
    <t>67 保険業（保険媒介代理業，保険サービス業を含む）</t>
  </si>
  <si>
    <t>28 電子部品・デバイス・電子回路製造業</t>
  </si>
  <si>
    <t>33 電気業</t>
  </si>
  <si>
    <t>36 水道業</t>
  </si>
  <si>
    <t>19 ゴム製品製造業</t>
  </si>
  <si>
    <t>40 インターネット附随サービス業</t>
  </si>
  <si>
    <t>43 道路旅客運送業</t>
  </si>
  <si>
    <t>91 職業紹介・労働者派遣業</t>
  </si>
  <si>
    <t>自治体</t>
  </si>
  <si>
    <t>産業中分類</t>
  </si>
  <si>
    <t>062 土木工事業（舗装工事業を除く）</t>
  </si>
  <si>
    <t>064 建築工事業（木造建築工事業を除く）</t>
  </si>
  <si>
    <t>065 木造建築工事業</t>
  </si>
  <si>
    <t>081 電気工事業</t>
  </si>
  <si>
    <t>214 陶磁器・同関連製品製造業</t>
  </si>
  <si>
    <t>589 その他の飲食料品小売業</t>
  </si>
  <si>
    <t>591 自動車小売業</t>
  </si>
  <si>
    <t>603 医薬品・化粧品小売業</t>
  </si>
  <si>
    <t>609 他に分類されない小売業</t>
  </si>
  <si>
    <t>691 不動産賃貸業（貸家業，貸間業を除く）</t>
  </si>
  <si>
    <t>692 貸家業，貸間業</t>
  </si>
  <si>
    <t>742 土木建築サービス業</t>
  </si>
  <si>
    <t>762 専門料理店</t>
  </si>
  <si>
    <t>765 酒場，ビヤホール</t>
  </si>
  <si>
    <t>767 喫茶店</t>
  </si>
  <si>
    <t>782 理容業</t>
  </si>
  <si>
    <t>783 美容業</t>
  </si>
  <si>
    <t>824 教養・技能教授業</t>
  </si>
  <si>
    <t>835 療術業</t>
  </si>
  <si>
    <t>891 自動車整備業</t>
  </si>
  <si>
    <t>116 外衣・シャツ製造業（和式を除く）</t>
  </si>
  <si>
    <t>766 バー，キャバレー，ナイトクラブ</t>
  </si>
  <si>
    <t>781 洗濯業</t>
  </si>
  <si>
    <t>823 学習塾</t>
  </si>
  <si>
    <t>693 駐車場業</t>
  </si>
  <si>
    <t>071 大工工事業</t>
  </si>
  <si>
    <t>586 菓子・パン小売業</t>
  </si>
  <si>
    <t>751 旅館，ホテル</t>
  </si>
  <si>
    <t>531 建築材料卸売業</t>
  </si>
  <si>
    <t>551 家具・建具・じゅう器等卸売業</t>
  </si>
  <si>
    <t>242 洋食器・刃物・手道具・金物類製造業</t>
  </si>
  <si>
    <t>244 建設用・建築用金属製品製造業（製缶板金業を含む）</t>
  </si>
  <si>
    <t>246 金属被覆・彫刻業，熱処理業（ほうろう鉄器を除く）</t>
  </si>
  <si>
    <t>266 金属加工機械製造業</t>
  </si>
  <si>
    <t>269 その他の生産用機械・同部分品製造業</t>
  </si>
  <si>
    <t>573 婦人・子供服小売業</t>
  </si>
  <si>
    <t>083 管工事業（さく井工事業を除く）</t>
  </si>
  <si>
    <t>142 紙製造業</t>
  </si>
  <si>
    <t>151 印刷業</t>
  </si>
  <si>
    <t>183 工業用プラスチック製品製造業</t>
  </si>
  <si>
    <t>189 その他のプラスチック製品製造業</t>
  </si>
  <si>
    <t>593 機械器具小売業（自動車，自転車を除く）</t>
  </si>
  <si>
    <t>611 通信販売・訪問販売小売業</t>
  </si>
  <si>
    <t>079 その他の職別工事業</t>
  </si>
  <si>
    <t>218 骨材・石工品等製造業</t>
  </si>
  <si>
    <t>761 食堂，レストラン（専門料理店を除く）</t>
  </si>
  <si>
    <t>112 織物業</t>
  </si>
  <si>
    <t>311 自動車・同附属品製造業</t>
  </si>
  <si>
    <t>605 燃料小売業</t>
  </si>
  <si>
    <t>145 紙製容器製造業</t>
  </si>
  <si>
    <t>219 その他の窯業・土石製品製造業</t>
  </si>
  <si>
    <t>111 製糸業，紡績業，化学繊維・ねん糸等製造業</t>
  </si>
  <si>
    <t>682 不動産代理業・仲介業</t>
  </si>
  <si>
    <t>789 その他の洗濯・理容・美容・浴場業</t>
  </si>
  <si>
    <t>077 塗装工事業</t>
  </si>
  <si>
    <t>078 床・内装工事業</t>
  </si>
  <si>
    <t>119 その他の繊維製品製造業</t>
  </si>
  <si>
    <t>121 製材業，木製品製造業</t>
  </si>
  <si>
    <t>259 その他のはん用機械・同部分品製造業</t>
  </si>
  <si>
    <t>585 酒小売業</t>
  </si>
  <si>
    <t>579 その他の織物・衣服・身の回り品小売業</t>
  </si>
  <si>
    <t>076 板金・金物工事業</t>
  </si>
  <si>
    <t>821 社会教育</t>
  </si>
  <si>
    <t>601 家具・建具・畳小売業</t>
  </si>
  <si>
    <t>329 他に分類されない製造業</t>
  </si>
  <si>
    <t>541 産業機械器具卸売業</t>
  </si>
  <si>
    <t>929 他に分類されない事業サービス業</t>
  </si>
  <si>
    <t>072 とび・土工・コンクリート工事業</t>
  </si>
  <si>
    <t>066 建築リフォーム工事業</t>
  </si>
  <si>
    <t>133 建具製造業</t>
  </si>
  <si>
    <t>075 左官工事業</t>
  </si>
  <si>
    <t>245 金属素形材製品製造業</t>
  </si>
  <si>
    <t>249 その他の金属製品製造業</t>
  </si>
  <si>
    <t>772 配達飲食サービス業</t>
  </si>
  <si>
    <t>854 老人福祉・介護事業</t>
  </si>
  <si>
    <t>559 他に分類されない卸売業</t>
  </si>
  <si>
    <t>901 機械修理業（電気機械器具を除く）</t>
  </si>
  <si>
    <t>853 児童福祉事業</t>
  </si>
  <si>
    <t>608 写真機・時計・眼鏡小売業</t>
  </si>
  <si>
    <t>833 歯科診療所</t>
  </si>
  <si>
    <t>441 一般貨物自動車運送業</t>
  </si>
  <si>
    <t>522 食料・飲料卸売業</t>
  </si>
  <si>
    <t>543 電気機械器具卸売業</t>
  </si>
  <si>
    <t>674 保険媒介代理業</t>
  </si>
  <si>
    <t>131 家具製造業</t>
  </si>
  <si>
    <t>328 畳等生活雑貨製品製造業</t>
  </si>
  <si>
    <t>722 公証人役場，司法書士事務所，土地家屋調査士事務所</t>
  </si>
  <si>
    <t>724 公認会計士事務所，税理士事務所</t>
  </si>
  <si>
    <t>727 著述・芸術家業</t>
  </si>
  <si>
    <t>836 医療に附帯するサービス業</t>
  </si>
  <si>
    <t>073 鉄骨・鉄筋工事業</t>
  </si>
  <si>
    <t>074 石工・れんが・タイル・ブロック工事業</t>
  </si>
  <si>
    <t>122 造作材・合板・建築用組立材料製造業</t>
  </si>
  <si>
    <t>606 書籍・文房具小売業</t>
  </si>
  <si>
    <t>097 パン・菓子製造業</t>
  </si>
  <si>
    <t>248 ボルト・ナット・リベット・小ねじ・木ねじ等製造業</t>
  </si>
  <si>
    <t>103 茶・コーヒー製造業（清涼飲料を除く）</t>
  </si>
  <si>
    <t>123 木製容器製造業（竹，とうを含む）</t>
  </si>
  <si>
    <t>764 すし店</t>
  </si>
  <si>
    <t>099 その他の食料品製造業</t>
  </si>
  <si>
    <t>129 その他の木製品製造業（竹，とうを含む）</t>
  </si>
  <si>
    <t>361 上水道業</t>
  </si>
  <si>
    <t>581 各種食料品小売業</t>
  </si>
  <si>
    <t>752 簡易宿所</t>
  </si>
  <si>
    <t>763 そば・うどん店</t>
  </si>
  <si>
    <t>769 その他の飲食店</t>
  </si>
  <si>
    <t>771 持ち帰り飲食サービス業</t>
  </si>
  <si>
    <t>産業小分類</t>
  </si>
  <si>
    <t>21000　岐阜県</t>
  </si>
  <si>
    <t>産業大分類</t>
  </si>
  <si>
    <t>合計</t>
  </si>
  <si>
    <t>産業中分類上位２０</t>
    <phoneticPr fontId="1"/>
  </si>
  <si>
    <t>産業小分類上位２０</t>
    <phoneticPr fontId="1"/>
  </si>
  <si>
    <t>※当資料は『令和３年経済センサス-活動調査』の調査結果データより作成したものです。</t>
  </si>
  <si>
    <t>21201　岐阜市</t>
  </si>
  <si>
    <t>21202　大垣市</t>
  </si>
  <si>
    <t>21203　高山市</t>
  </si>
  <si>
    <t>21204　多治見市</t>
  </si>
  <si>
    <t>21205　関市</t>
  </si>
  <si>
    <t>21206　中津川市</t>
  </si>
  <si>
    <t>21207　美濃市</t>
  </si>
  <si>
    <t>21208　瑞浪市</t>
  </si>
  <si>
    <t>21209　羽島市</t>
  </si>
  <si>
    <t>21210　恵那市</t>
  </si>
  <si>
    <t>21211　美濃加茂市</t>
  </si>
  <si>
    <t>21212　土岐市</t>
  </si>
  <si>
    <t>21213　各務原市</t>
  </si>
  <si>
    <t>21214　可児市</t>
  </si>
  <si>
    <t>21215　山県市</t>
  </si>
  <si>
    <t>21216　瑞穂市</t>
  </si>
  <si>
    <t>21217　飛騨市</t>
  </si>
  <si>
    <t>21218　本巣市</t>
  </si>
  <si>
    <t>21219　郡上市</t>
  </si>
  <si>
    <t>21220　下呂市</t>
  </si>
  <si>
    <t>21221　海津市</t>
  </si>
  <si>
    <t>21302　羽島郡岐南町</t>
  </si>
  <si>
    <t>21303　羽島郡笠松町</t>
  </si>
  <si>
    <t>21341　養老郡養老町</t>
  </si>
  <si>
    <t>21361　不破郡垂井町</t>
  </si>
  <si>
    <t>21362　不破郡関ケ原町</t>
  </si>
  <si>
    <t>21381　安八郡神戸町</t>
  </si>
  <si>
    <t>21382　安八郡輪之内町</t>
  </si>
  <si>
    <t>21383　安八郡安八町</t>
  </si>
  <si>
    <t>21401　揖斐郡揖斐川町</t>
  </si>
  <si>
    <t>21403　揖斐郡大野町</t>
  </si>
  <si>
    <t>21404　揖斐郡池田町</t>
  </si>
  <si>
    <t>21421　本巣郡北方町</t>
  </si>
  <si>
    <t>21501　加茂郡坂祝町</t>
  </si>
  <si>
    <t>21502　加茂郡富加町</t>
  </si>
  <si>
    <t>21503　加茂郡川辺町</t>
  </si>
  <si>
    <t>21504　加茂郡七宗町</t>
  </si>
  <si>
    <t>21505　加茂郡八百津町</t>
  </si>
  <si>
    <t>21506　加茂郡白川町</t>
  </si>
  <si>
    <t>21507　加茂郡東白川村</t>
  </si>
  <si>
    <t>21521　可児郡御嵩町</t>
  </si>
  <si>
    <t>21604　大野郡白川村</t>
  </si>
  <si>
    <t>岐阜県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</si>
  <si>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</si>
  <si>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</si>
  <si>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</si>
  <si>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</si>
  <si>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</si>
  <si>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</si>
  <si>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</si>
  <si>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</si>
  <si>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</si>
  <si>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</si>
  <si>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</si>
  <si>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</si>
  <si>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</si>
  <si>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</si>
  <si>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</si>
  <si>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</si>
  <si>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</si>
  <si>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</si>
  <si>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</si>
  <si>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</si>
  <si>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</si>
  <si>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羽島郡岐南町</t>
  </si>
  <si>
    <t>羽島郡笠松町</t>
  </si>
  <si>
    <t>養老郡養老町</t>
  </si>
  <si>
    <t>不破郡垂井町</t>
  </si>
  <si>
    <t>不破郡関ケ原町</t>
  </si>
  <si>
    <t>安八郡神戸町</t>
  </si>
  <si>
    <t>安八郡輪之内町</t>
  </si>
  <si>
    <t>安八郡安八町</t>
  </si>
  <si>
    <t>揖斐郡揖斐川町</t>
  </si>
  <si>
    <t>揖斐郡大野町</t>
  </si>
  <si>
    <t>揖斐郡池田町</t>
  </si>
  <si>
    <t>本巣郡北方町</t>
  </si>
  <si>
    <t>加茂郡坂祝町</t>
  </si>
  <si>
    <t>加茂郡富加町</t>
  </si>
  <si>
    <t>加茂郡川辺町</t>
  </si>
  <si>
    <t>加茂郡七宗町</t>
  </si>
  <si>
    <t>加茂郡八百津町</t>
  </si>
  <si>
    <t>加茂郡白川町</t>
  </si>
  <si>
    <t>加茂郡東白川村</t>
  </si>
  <si>
    <t>可児郡御嵩町</t>
  </si>
  <si>
    <t>大野郡白川村</t>
  </si>
  <si>
    <t>目次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</si>
</sst>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_ &quot;%&quot;"/>
    <numFmt numFmtId="178" formatCode="0.00_ &quot;%&quot;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0" borderId="0" xfId="0" pivotButton="1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3" fillId="0" borderId="0" xfId="0" pivotButton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8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0" fontId="0" fillId="0" borderId="0" xfId="0" applyNumberFormat="1">
      <alignment vertical="center"/>
    </xf>
    <xf numFmtId="38" fontId="0" fillId="0" borderId="0" xfId="1" applyFont="1">
      <alignment vertical="center"/>
    </xf>
    <xf numFmtId="0" fontId="4" fillId="0" borderId="0" xfId="2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652"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alignment horizontal="center"/>
    </dxf>
    <dxf>
      <alignment wrapText="1"/>
    </dxf>
    <dxf>
      <alignment horizontal="center"/>
    </dxf>
    <dxf>
      <font>
        <name val="ＭＳ Ｐゴシック"/>
        <family val="3"/>
        <charset val="128"/>
        <scheme val="minor"/>
      </font>
    </dxf>
    <dxf>
      <font>
        <name val="ＭＳ Ｐゴシック"/>
        <family val="3"/>
        <charset val="128"/>
        <scheme val="minor"/>
      </font>
    </dxf>
    <dxf>
      <font>
        <color theme="1"/>
        <family val="3"/>
        <charset val="128"/>
      </font>
    </dxf>
    <dxf>
      <font>
        <color theme="1"/>
        <family val="3"/>
        <charset val="128"/>
      </font>
    </dxf>
    <dxf>
      <font>
        <sz val="10"/>
        <family val="3"/>
      </font>
    </dxf>
    <dxf>
      <font>
        <sz val="10"/>
        <family val="3"/>
      </font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alignment horizontal="center"/>
    </dxf>
    <dxf>
      <alignment horizontal="center"/>
    </dxf>
    <dxf>
      <alignment wrapText="1"/>
    </dxf>
    <dxf>
      <alignment horizontal="center"/>
    </dxf>
    <dxf>
      <font>
        <name val="ＭＳ Ｐゴシック"/>
        <family val="3"/>
        <charset val="128"/>
        <scheme val="minor"/>
      </font>
    </dxf>
    <dxf>
      <font>
        <name val="ＭＳ Ｐゴシック"/>
        <family val="3"/>
        <charset val="128"/>
        <scheme val="minor"/>
      </font>
    </dxf>
    <dxf>
      <font>
        <color theme="1"/>
        <family val="3"/>
        <charset val="128"/>
      </font>
    </dxf>
    <dxf>
      <font>
        <color theme="1"/>
        <family val="3"/>
        <charset val="128"/>
      </font>
    </dxf>
    <dxf>
      <font>
        <sz val="10"/>
        <family val="3"/>
      </font>
    </dxf>
    <dxf>
      <font>
        <sz val="10"/>
        <family val="3"/>
      </font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alignment horizontal="center"/>
    </dxf>
    <dxf>
      <alignment wrapText="1"/>
    </dxf>
    <dxf>
      <alignment horizontal="center"/>
    </dxf>
    <dxf>
      <font>
        <name val="ＭＳ Ｐゴシック"/>
        <family val="3"/>
        <charset val="128"/>
        <scheme val="minor"/>
      </font>
    </dxf>
    <dxf>
      <font>
        <name val="ＭＳ Ｐゴシック"/>
        <family val="3"/>
        <charset val="128"/>
        <scheme val="minor"/>
      </font>
    </dxf>
    <dxf>
      <font>
        <color theme="1"/>
        <family val="3"/>
        <charset val="128"/>
      </font>
    </dxf>
    <dxf>
      <font>
        <color theme="1"/>
        <family val="3"/>
        <charset val="128"/>
      </font>
    </dxf>
    <dxf>
      <font>
        <sz val="10"/>
        <family val="3"/>
      </font>
    </dxf>
    <dxf>
      <font>
        <sz val="10"/>
        <family val="3"/>
      </font>
    </dxf>
    <dxf>
      <numFmt numFmtId="176" formatCode="#,##0_ "/>
    </dxf>
    <dxf>
      <numFmt numFmtId="177" formatCode="0.0_ &quot;%&quot;"/>
    </dxf>
    <dxf>
      <numFmt numFmtId="176" formatCode="#,##0_ "/>
    </dxf>
    <dxf>
      <numFmt numFmtId="177" formatCode="0.0_ &quot;%&quot;"/>
    </dxf>
    <dxf>
      <numFmt numFmtId="176" formatCode="#,##0_ "/>
    </dxf>
    <dxf>
      <numFmt numFmtId="177" formatCode="0.0_ &quot;%&quot;"/>
    </dxf>
    <dxf>
      <numFmt numFmtId="176" formatCode="#,##0_ 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pivotCacheDefinition" Target="pivotCache/pivotCacheDefinition3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pivotCacheDefinition" Target="pivotCache/pivotCacheDefinition1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pivotCacheDefinition" Target="pivotCache/pivotCacheDefinition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作成者" refreshedDate="45155.454713541665" createdVersion="5" refreshedVersion="8" minRefreshableVersion="3" recordCount="645" xr:uid="{4B97D62C-5DC5-40C1-B959-9876522F3C6B}">
  <cacheSource type="external" connectionId="1"/>
  <cacheFields count="11">
    <cacheField name="都道府県" numFmtId="0" sqlType="-9">
      <sharedItems count="1">
        <s v="21 岐阜県"/>
      </sharedItems>
    </cacheField>
    <cacheField name="自治体名" numFmtId="0" sqlType="-9">
      <sharedItems/>
    </cacheField>
    <cacheField name="自治体" numFmtId="0" sqlType="-9">
      <sharedItems count="43">
        <s v="21000 岐阜県"/>
        <s v="21201 岐阜市"/>
        <s v="21202 大垣市"/>
        <s v="21203 高山市"/>
        <s v="21204 多治見市"/>
        <s v="21205 関市"/>
        <s v="21206 中津川市"/>
        <s v="21207 美濃市"/>
        <s v="21208 瑞浪市"/>
        <s v="21209 羽島市"/>
        <s v="21210 恵那市"/>
        <s v="21211 美濃加茂市"/>
        <s v="21212 土岐市"/>
        <s v="21213 各務原市"/>
        <s v="21214 可児市"/>
        <s v="21215 山県市"/>
        <s v="21216 瑞穂市"/>
        <s v="21217 飛騨市"/>
        <s v="21218 本巣市"/>
        <s v="21219 郡上市"/>
        <s v="21220 下呂市"/>
        <s v="21221 海津市"/>
        <s v="21302 羽島郡岐南町"/>
        <s v="21303 羽島郡笠松町"/>
        <s v="21341 養老郡養老町"/>
        <s v="21361 不破郡垂井町"/>
        <s v="21362 不破郡関ケ原町"/>
        <s v="21381 安八郡神戸町"/>
        <s v="21382 安八郡輪之内町"/>
        <s v="21383 安八郡安八町"/>
        <s v="21401 揖斐郡揖斐川町"/>
        <s v="21403 揖斐郡大野町"/>
        <s v="21404 揖斐郡池田町"/>
        <s v="21421 本巣郡北方町"/>
        <s v="21501 加茂郡坂祝町"/>
        <s v="21502 加茂郡富加町"/>
        <s v="21503 加茂郡川辺町"/>
        <s v="21504 加茂郡七宗町"/>
        <s v="21505 加茂郡八百津町"/>
        <s v="21506 加茂郡白川町"/>
        <s v="21507 加茂郡東白川村"/>
        <s v="21521 可児郡御嵩町"/>
        <s v="21604 大野郡白川村"/>
      </sharedItems>
    </cacheField>
    <cacheField name="産業大分類" numFmtId="0" sqlType="-9">
      <sharedItems count="15">
        <s v="C 鉱業，採石業，砂利採取業"/>
        <s v="D 建設業"/>
        <s v="E 製造業"/>
        <s v="F 電気・ガス・熱供給・水道業"/>
        <s v="G 情報通信業"/>
        <s v="H 運輸業，郵便業"/>
        <s v="I 卸売業，小売業"/>
        <s v="J 金融業，保険業"/>
        <s v="K 不動産業，物品賃貸業"/>
        <s v="L 学術研究，専門・技術サービス業"/>
        <s v="M 宿泊業，飲食サービス業"/>
        <s v="N 生活関連サービス業，娯楽業"/>
        <s v="O 教育，学習支援業"/>
        <s v="P 医療，福祉"/>
        <s v="R サービス業（他に分類されないもの）"/>
      </sharedItems>
    </cacheField>
    <cacheField name="総数" numFmtId="0" sqlType="4">
      <sharedItems containsSemiMixedTypes="0" containsString="0" containsNumber="1" containsInteger="1" minValue="0" maxValue="12414"/>
    </cacheField>
    <cacheField name="構成比" numFmtId="0" sqlType="3">
      <sharedItems containsSemiMixedTypes="0" containsString="0" containsNumber="1" minValue="0" maxValue="46.31"/>
    </cacheField>
    <cacheField name="総数（個人）" numFmtId="0" sqlType="4">
      <sharedItems containsSemiMixedTypes="0" containsString="0" containsNumber="1" containsInteger="1" minValue="0" maxValue="6176"/>
    </cacheField>
    <cacheField name="構成比（個人）" numFmtId="0" sqlType="3">
      <sharedItems containsSemiMixedTypes="0" containsString="0" containsNumber="1" minValue="0" maxValue="60.58"/>
    </cacheField>
    <cacheField name="総数（法人）" numFmtId="0" sqlType="4">
      <sharedItems containsSemiMixedTypes="0" containsString="0" containsNumber="1" containsInteger="1" minValue="0" maxValue="6203"/>
    </cacheField>
    <cacheField name="構成比（法人）" numFmtId="0" sqlType="3">
      <sharedItems containsSemiMixedTypes="0" containsString="0" containsNumber="1" minValue="0" maxValue="43.64"/>
    </cacheField>
    <cacheField name="総数（法人以外の団体）" numFmtId="0" sqlType="4">
      <sharedItems containsSemiMixedTypes="0" containsString="0" containsNumber="1" containsInteger="1" minValue="0" maxValue="51" count="15">
        <n v="0"/>
        <n v="10"/>
        <n v="1"/>
        <n v="12"/>
        <n v="35"/>
        <n v="2"/>
        <n v="8"/>
        <n v="5"/>
        <n v="9"/>
        <n v="3"/>
        <n v="6"/>
        <n v="11"/>
        <n v="51"/>
        <n v="4"/>
        <n v="7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作成者" refreshedDate="45155.454852430557" createdVersion="5" refreshedVersion="8" minRefreshableVersion="3" recordCount="918" xr:uid="{4CEE9A96-842C-411E-A603-4A38DA513EA4}">
  <cacheSource type="external" connectionId="2"/>
  <cacheFields count="14">
    <cacheField name="都道府県" numFmtId="0" sqlType="-9">
      <sharedItems count="1">
        <s v="21 岐阜県"/>
      </sharedItems>
    </cacheField>
    <cacheField name="自治体名" numFmtId="0" sqlType="-9">
      <sharedItems count="43">
        <s v="岐阜県"/>
        <s v="岐阜市"/>
        <s v="大垣市"/>
        <s v="高山市"/>
        <s v="多治見市"/>
        <s v="関市"/>
        <s v="中津川市"/>
        <s v="美濃市"/>
        <s v="瑞浪市"/>
        <s v="羽島市"/>
        <s v="恵那市"/>
        <s v="美濃加茂市"/>
        <s v="土岐市"/>
        <s v="各務原市"/>
        <s v="可児市"/>
        <s v="山県市"/>
        <s v="瑞穂市"/>
        <s v="飛騨市"/>
        <s v="本巣市"/>
        <s v="郡上市"/>
        <s v="下呂市"/>
        <s v="海津市"/>
        <s v="羽島郡岐南町"/>
        <s v="羽島郡笠松町"/>
        <s v="養老郡養老町"/>
        <s v="不破郡垂井町"/>
        <s v="不破郡関ケ原町"/>
        <s v="安八郡神戸町"/>
        <s v="安八郡輪之内町"/>
        <s v="安八郡安八町"/>
        <s v="揖斐郡揖斐川町"/>
        <s v="揖斐郡大野町"/>
        <s v="揖斐郡池田町"/>
        <s v="本巣郡北方町"/>
        <s v="加茂郡坂祝町"/>
        <s v="加茂郡富加町"/>
        <s v="加茂郡川辺町"/>
        <s v="加茂郡七宗町"/>
        <s v="加茂郡八百津町"/>
        <s v="加茂郡白川町"/>
        <s v="加茂郡東白川村"/>
        <s v="可児郡御嵩町"/>
        <s v="大野郡白川村"/>
      </sharedItems>
    </cacheField>
    <cacheField name="自治体" numFmtId="0" sqlType="-9">
      <sharedItems count="43">
        <s v="21000 岐阜県"/>
        <s v="21201 岐阜市"/>
        <s v="21202 大垣市"/>
        <s v="21203 高山市"/>
        <s v="21204 多治見市"/>
        <s v="21205 関市"/>
        <s v="21206 中津川市"/>
        <s v="21207 美濃市"/>
        <s v="21208 瑞浪市"/>
        <s v="21209 羽島市"/>
        <s v="21210 恵那市"/>
        <s v="21211 美濃加茂市"/>
        <s v="21212 土岐市"/>
        <s v="21213 各務原市"/>
        <s v="21214 可児市"/>
        <s v="21215 山県市"/>
        <s v="21216 瑞穂市"/>
        <s v="21217 飛騨市"/>
        <s v="21218 本巣市"/>
        <s v="21219 郡上市"/>
        <s v="21220 下呂市"/>
        <s v="21221 海津市"/>
        <s v="21302 羽島郡岐南町"/>
        <s v="21303 羽島郡笠松町"/>
        <s v="21341 養老郡養老町"/>
        <s v="21361 不破郡垂井町"/>
        <s v="21362 不破郡関ケ原町"/>
        <s v="21381 安八郡神戸町"/>
        <s v="21382 安八郡輪之内町"/>
        <s v="21383 安八郡安八町"/>
        <s v="21401 揖斐郡揖斐川町"/>
        <s v="21403 揖斐郡大野町"/>
        <s v="21404 揖斐郡池田町"/>
        <s v="21421 本巣郡北方町"/>
        <s v="21501 加茂郡坂祝町"/>
        <s v="21502 加茂郡富加町"/>
        <s v="21503 加茂郡川辺町"/>
        <s v="21504 加茂郡七宗町"/>
        <s v="21505 加茂郡八百津町"/>
        <s v="21506 加茂郡白川町"/>
        <s v="21507 加茂郡東白川村"/>
        <s v="21521 可児郡御嵩町"/>
        <s v="21604 大野郡白川村"/>
      </sharedItems>
    </cacheField>
    <cacheField name="産業分類コード" numFmtId="0" sqlType="-8">
      <sharedItems count="54">
        <s v="76"/>
        <s v="78"/>
        <s v="06"/>
        <s v="60"/>
        <s v="69"/>
        <s v="07"/>
        <s v="82"/>
        <s v="58"/>
        <s v="59"/>
        <s v="83"/>
        <s v="08"/>
        <s v="72"/>
        <s v="57"/>
        <s v="11"/>
        <s v="74"/>
        <s v="21"/>
        <s v="24"/>
        <s v="55"/>
        <s v="89"/>
        <s v="26"/>
        <s v="51"/>
        <s v="54"/>
        <s v="92"/>
        <s v="53"/>
        <s v="79"/>
        <s v="75"/>
        <s v="09"/>
        <s v="13"/>
        <s v="32"/>
        <s v="12"/>
        <s v="85"/>
        <s v="61"/>
        <s v="18"/>
        <s v="14"/>
        <s v="77"/>
        <s v="31"/>
        <s v="68"/>
        <s v="25"/>
        <s v="15"/>
        <s v="52"/>
        <s v="90"/>
        <s v="10"/>
        <s v="70"/>
        <s v="80"/>
        <s v="29"/>
        <s v="44"/>
        <s v="67"/>
        <s v="28"/>
        <s v="33"/>
        <s v="36"/>
        <s v="19"/>
        <s v="40"/>
        <s v="43"/>
        <s v="91"/>
      </sharedItems>
    </cacheField>
    <cacheField name="産業分類" numFmtId="0" sqlType="-9">
      <sharedItems count="54">
        <s v="飲食店"/>
        <s v="洗濯・理容・美容・浴場業"/>
        <s v="総合工事業"/>
        <s v="その他の小売業"/>
        <s v="不動産賃貸業・管理業"/>
        <s v="職別工事業（設備工事業を除く）"/>
        <s v="その他の教育，学習支援業"/>
        <s v="飲食料品小売業"/>
        <s v="機械器具小売業"/>
        <s v="医療業"/>
        <s v="設備工事業"/>
        <s v="専門サービス業（他に分類されないもの）"/>
        <s v="織物・衣服・身の回り品小売業"/>
        <s v="繊維工業"/>
        <s v="技術サービス業（他に分類されないもの）"/>
        <s v="窯業・土石製品製造業"/>
        <s v="金属製品製造業"/>
        <s v="その他の卸売業"/>
        <s v="自動車整備業"/>
        <s v="生産用機械器具製造業"/>
        <s v="繊維・衣服等卸売業"/>
        <s v="機械器具卸売業"/>
        <s v="その他の事業サービス業"/>
        <s v="建築材料，鉱物・金属材料等卸売業"/>
        <s v="その他の生活関連サービス業"/>
        <s v="宿泊業"/>
        <s v="食料品製造業"/>
        <s v="家具・装備品製造業"/>
        <s v="その他の製造業"/>
        <s v="木材・木製品製造業（家具を除く）"/>
        <s v="社会保険・社会福祉・介護事業"/>
        <s v="無店舗小売業"/>
        <s v="プラスチック製品製造業（別掲を除く）"/>
        <s v="パルプ・紙・紙加工品製造業"/>
        <s v="持ち帰り・配達飲食サービス業"/>
        <s v="輸送用機械器具製造業"/>
        <s v="不動産取引業"/>
        <s v="はん用機械器具製造業"/>
        <s v="印刷・同関連業"/>
        <s v="飲食料品卸売業"/>
        <s v="機械等修理業（別掲を除く）"/>
        <s v="飲料・たばこ・飼料製造業"/>
        <s v="物品賃貸業"/>
        <s v="娯楽業"/>
        <s v="電気機械器具製造業"/>
        <s v="道路貨物運送業"/>
        <s v="保険業（保険媒介代理業，保険サービス業を含む）"/>
        <s v="電子部品・デバイス・電子回路製造業"/>
        <s v="電気業"/>
        <s v="水道業"/>
        <s v="ゴム製品製造業"/>
        <s v="インターネット附随サービス業"/>
        <s v="道路旅客運送業"/>
        <s v="職業紹介・労働者派遣業"/>
      </sharedItems>
    </cacheField>
    <cacheField name="産業中分類" numFmtId="0" sqlType="-9">
      <sharedItems count="54">
        <s v="76 飲食店"/>
        <s v="78 洗濯・理容・美容・浴場業"/>
        <s v="06 総合工事業"/>
        <s v="60 その他の小売業"/>
        <s v="69 不動産賃貸業・管理業"/>
        <s v="07 職別工事業（設備工事業を除く）"/>
        <s v="82 その他の教育，学習支援業"/>
        <s v="58 飲食料品小売業"/>
        <s v="59 機械器具小売業"/>
        <s v="83 医療業"/>
        <s v="08 設備工事業"/>
        <s v="72 専門サービス業（他に分類されないもの）"/>
        <s v="57 織物・衣服・身の回り品小売業"/>
        <s v="11 繊維工業"/>
        <s v="74 技術サービス業（他に分類されないもの）"/>
        <s v="21 窯業・土石製品製造業"/>
        <s v="24 金属製品製造業"/>
        <s v="55 その他の卸売業"/>
        <s v="89 自動車整備業"/>
        <s v="26 生産用機械器具製造業"/>
        <s v="51 繊維・衣服等卸売業"/>
        <s v="54 機械器具卸売業"/>
        <s v="92 その他の事業サービス業"/>
        <s v="53 建築材料，鉱物・金属材料等卸売業"/>
        <s v="79 その他の生活関連サービス業"/>
        <s v="75 宿泊業"/>
        <s v="09 食料品製造業"/>
        <s v="13 家具・装備品製造業"/>
        <s v="32 その他の製造業"/>
        <s v="12 木材・木製品製造業（家具を除く）"/>
        <s v="85 社会保険・社会福祉・介護事業"/>
        <s v="61 無店舗小売業"/>
        <s v="18 プラスチック製品製造業（別掲を除く）"/>
        <s v="14 パルプ・紙・紙加工品製造業"/>
        <s v="77 持ち帰り・配達飲食サービス業"/>
        <s v="31 輸送用機械器具製造業"/>
        <s v="68 不動産取引業"/>
        <s v="25 はん用機械器具製造業"/>
        <s v="15 印刷・同関連業"/>
        <s v="52 飲食料品卸売業"/>
        <s v="90 機械等修理業（別掲を除く）"/>
        <s v="10 飲料・たばこ・飼料製造業"/>
        <s v="70 物品賃貸業"/>
        <s v="80 娯楽業"/>
        <s v="29 電気機械器具製造業"/>
        <s v="44 道路貨物運送業"/>
        <s v="67 保険業（保険媒介代理業，保険サービス業を含む）"/>
        <s v="28 電子部品・デバイス・電子回路製造業"/>
        <s v="33 電気業"/>
        <s v="36 水道業"/>
        <s v="19 ゴム製品製造業"/>
        <s v="40 インターネット附随サービス業"/>
        <s v="43 道路旅客運送業"/>
        <s v="91 職業紹介・労働者派遣業"/>
      </sharedItems>
    </cacheField>
    <cacheField name="rank" numFmtId="0" sqlType="-5">
      <sharedItems containsSemiMixedTypes="0" containsString="0" containsNumber="1" containsInteger="1" minValue="1" maxValue="20" count="2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</sharedItems>
    </cacheField>
    <cacheField name="総数" numFmtId="0" sqlType="4">
      <sharedItems containsSemiMixedTypes="0" containsString="0" containsNumber="1" containsInteger="1" minValue="1" maxValue="5810" count="199">
        <n v="5810"/>
        <n v="5313"/>
        <n v="3611"/>
        <n v="3544"/>
        <n v="3335"/>
        <n v="2761"/>
        <n v="2193"/>
        <n v="2118"/>
        <n v="2006"/>
        <n v="1926"/>
        <n v="1745"/>
        <n v="1421"/>
        <n v="1317"/>
        <n v="1205"/>
        <n v="1160"/>
        <n v="1134"/>
        <n v="1050"/>
        <n v="916"/>
        <n v="737"/>
        <n v="711"/>
        <n v="1392"/>
        <n v="1275"/>
        <n v="1131"/>
        <n v="687"/>
        <n v="509"/>
        <n v="449"/>
        <n v="435"/>
        <n v="432"/>
        <n v="431"/>
        <n v="372"/>
        <n v="356"/>
        <n v="338"/>
        <n v="337"/>
        <n v="302"/>
        <n v="251"/>
        <n v="219"/>
        <n v="194"/>
        <n v="175"/>
        <n v="158"/>
        <n v="151"/>
        <n v="425"/>
        <n v="386"/>
        <n v="284"/>
        <n v="201"/>
        <n v="185"/>
        <n v="180"/>
        <n v="163"/>
        <n v="148"/>
        <n v="135"/>
        <n v="125"/>
        <n v="122"/>
        <n v="118"/>
        <n v="94"/>
        <n v="69"/>
        <n v="68"/>
        <n v="64"/>
        <n v="57"/>
        <n v="50"/>
        <n v="49"/>
        <n v="545"/>
        <n v="341"/>
        <n v="299"/>
        <n v="260"/>
        <n v="225"/>
        <n v="160"/>
        <n v="132"/>
        <n v="130"/>
        <n v="101"/>
        <n v="93"/>
        <n v="85"/>
        <n v="78"/>
        <n v="67"/>
        <n v="53"/>
        <n v="48"/>
        <n v="45"/>
        <n v="255"/>
        <n v="207"/>
        <n v="168"/>
        <n v="161"/>
        <n v="157"/>
        <n v="141"/>
        <n v="124"/>
        <n v="107"/>
        <n v="103"/>
        <n v="100"/>
        <n v="88"/>
        <n v="73"/>
        <n v="66"/>
        <n v="63"/>
        <n v="56"/>
        <n v="51"/>
        <n v="35"/>
        <n v="34"/>
        <n v="316"/>
        <n v="250"/>
        <n v="243"/>
        <n v="154"/>
        <n v="146"/>
        <n v="115"/>
        <n v="106"/>
        <n v="104"/>
        <n v="91"/>
        <n v="81"/>
        <n v="59"/>
        <n v="52"/>
        <n v="274"/>
        <n v="205"/>
        <n v="192"/>
        <n v="134"/>
        <n v="102"/>
        <n v="89"/>
        <n v="76"/>
        <n v="75"/>
        <n v="58"/>
        <n v="43"/>
        <n v="41"/>
        <n v="36"/>
        <n v="30"/>
        <n v="28"/>
        <n v="65"/>
        <n v="62"/>
        <n v="38"/>
        <n v="32"/>
        <n v="31"/>
        <n v="27"/>
        <n v="24"/>
        <n v="22"/>
        <n v="21"/>
        <n v="19"/>
        <n v="16"/>
        <n v="15"/>
        <n v="14"/>
        <n v="13"/>
        <n v="99"/>
        <n v="90"/>
        <n v="77"/>
        <n v="74"/>
        <n v="54"/>
        <n v="39"/>
        <n v="29"/>
        <n v="18"/>
        <n v="139"/>
        <n v="105"/>
        <n v="87"/>
        <n v="71"/>
        <n v="61"/>
        <n v="42"/>
        <n v="37"/>
        <n v="25"/>
        <n v="147"/>
        <n v="112"/>
        <n v="72"/>
        <n v="70"/>
        <n v="47"/>
        <n v="17"/>
        <n v="127"/>
        <n v="84"/>
        <n v="60"/>
        <n v="46"/>
        <n v="26"/>
        <n v="20"/>
        <n v="508"/>
        <n v="116"/>
        <n v="312"/>
        <n v="291"/>
        <n v="178"/>
        <n v="176"/>
        <n v="143"/>
        <n v="140"/>
        <n v="119"/>
        <n v="117"/>
        <n v="113"/>
        <n v="80"/>
        <n v="232"/>
        <n v="109"/>
        <n v="98"/>
        <n v="92"/>
        <n v="79"/>
        <n v="44"/>
        <n v="114"/>
        <n v="95"/>
        <n v="33"/>
        <n v="40"/>
        <n v="12"/>
        <n v="9"/>
        <n v="10"/>
        <n v="8"/>
        <n v="55"/>
        <n v="172"/>
        <n v="97"/>
        <n v="23"/>
        <n v="11"/>
        <n v="7"/>
        <n v="6"/>
        <n v="5"/>
        <n v="4"/>
        <n v="3"/>
        <n v="2"/>
        <n v="1"/>
      </sharedItems>
    </cacheField>
    <cacheField name="構成比" numFmtId="0" sqlType="3">
      <sharedItems containsSemiMixedTypes="0" containsString="0" containsNumber="1" minValue="0.67" maxValue="25.25" count="449">
        <n v="10.32"/>
        <n v="9.44"/>
        <n v="6.41"/>
        <n v="6.29"/>
        <n v="5.92"/>
        <n v="4.9000000000000004"/>
        <n v="3.89"/>
        <n v="3.76"/>
        <n v="3.56"/>
        <n v="3.42"/>
        <n v="3.1"/>
        <n v="2.52"/>
        <n v="2.34"/>
        <n v="2.14"/>
        <n v="2.06"/>
        <n v="2.0099999999999998"/>
        <n v="1.86"/>
        <n v="1.63"/>
        <n v="1.31"/>
        <n v="1.26"/>
        <n v="11.85"/>
        <n v="10.85"/>
        <n v="9.6300000000000008"/>
        <n v="5.85"/>
        <n v="4.33"/>
        <n v="3.82"/>
        <n v="3.7"/>
        <n v="3.68"/>
        <n v="3.67"/>
        <n v="3.17"/>
        <n v="3.03"/>
        <n v="2.88"/>
        <n v="2.87"/>
        <n v="2.57"/>
        <n v="1.65"/>
        <n v="1.49"/>
        <n v="1.35"/>
        <n v="1.29"/>
        <n v="10.46"/>
        <n v="9.5"/>
        <n v="8.2899999999999991"/>
        <n v="6.99"/>
        <n v="4.9400000000000004"/>
        <n v="4.55"/>
        <n v="4.43"/>
        <n v="4.01"/>
        <n v="3.64"/>
        <n v="3.32"/>
        <n v="3.08"/>
        <n v="3"/>
        <n v="2.9"/>
        <n v="2.31"/>
        <n v="1.7"/>
        <n v="1.67"/>
        <n v="1.57"/>
        <n v="1.4"/>
        <n v="1.23"/>
        <n v="1.21"/>
        <n v="13.58"/>
        <n v="8.5"/>
        <n v="7.53"/>
        <n v="7.45"/>
        <n v="6.48"/>
        <n v="5.61"/>
        <n v="5.01"/>
        <n v="3.99"/>
        <n v="3.36"/>
        <n v="3.29"/>
        <n v="3.24"/>
        <n v="2.3199999999999998"/>
        <n v="2.12"/>
        <n v="1.94"/>
        <n v="1.69"/>
        <n v="1.32"/>
        <n v="1.2"/>
        <n v="1.1200000000000001"/>
        <n v="9.48"/>
        <n v="9.3000000000000007"/>
        <n v="7.55"/>
        <n v="6.13"/>
        <n v="5.87"/>
        <n v="5.73"/>
        <n v="5.14"/>
        <n v="4.5199999999999996"/>
        <n v="3.9"/>
        <n v="3.65"/>
        <n v="3.21"/>
        <n v="2.66"/>
        <n v="2.41"/>
        <n v="2.2999999999999998"/>
        <n v="2.04"/>
        <n v="1.28"/>
        <n v="1.24"/>
        <n v="10.55"/>
        <n v="8.35"/>
        <n v="8.1199999999999992"/>
        <n v="5.24"/>
        <n v="4.88"/>
        <n v="4.18"/>
        <n v="3.84"/>
        <n v="3.54"/>
        <n v="3.47"/>
        <n v="3.34"/>
        <n v="3.04"/>
        <n v="2.71"/>
        <n v="1.97"/>
        <n v="1.9"/>
        <n v="1.77"/>
        <n v="1.74"/>
        <n v="1.64"/>
        <n v="12.15"/>
        <n v="9.09"/>
        <n v="8.51"/>
        <n v="7"/>
        <n v="5.94"/>
        <n v="3.95"/>
        <n v="3.46"/>
        <n v="3.37"/>
        <n v="2.84"/>
        <n v="2.2200000000000002"/>
        <n v="1.99"/>
        <n v="1.91"/>
        <n v="1.82"/>
        <n v="1.6"/>
        <n v="1.51"/>
        <n v="1.33"/>
        <n v="8.33"/>
        <n v="7.95"/>
        <n v="7.18"/>
        <n v="6.15"/>
        <n v="5.51"/>
        <n v="4.87"/>
        <n v="4.49"/>
        <n v="4.0999999999999996"/>
        <n v="3.97"/>
        <n v="2.82"/>
        <n v="2.69"/>
        <n v="2.44"/>
        <n v="2.0499999999999998"/>
        <n v="1.92"/>
        <n v="1.79"/>
        <n v="12.01"/>
        <n v="9.15"/>
        <n v="8.32"/>
        <n v="7.12"/>
        <n v="6.84"/>
        <n v="4.99"/>
        <n v="4.71"/>
        <n v="3.6"/>
        <n v="3.51"/>
        <n v="3.33"/>
        <n v="2.77"/>
        <n v="2.68"/>
        <n v="1.76"/>
        <n v="1.66"/>
        <n v="1.48"/>
        <n v="8.75"/>
        <n v="8.0500000000000007"/>
        <n v="6.08"/>
        <n v="5.04"/>
        <n v="4.2300000000000004"/>
        <n v="4.1100000000000003"/>
        <n v="3.53"/>
        <n v="2.61"/>
        <n v="2.4300000000000002"/>
        <n v="2.2000000000000002"/>
        <n v="2.09"/>
        <n v="1.85"/>
        <n v="1.62"/>
        <n v="1.45"/>
        <n v="11.93"/>
        <n v="10.02"/>
        <n v="9.1999999999999993"/>
        <n v="7.63"/>
        <n v="5.32"/>
        <n v="4.91"/>
        <n v="4.7699999999999996"/>
        <n v="3.41"/>
        <n v="3.2"/>
        <n v="2.4500000000000002"/>
        <n v="2.39"/>
        <n v="2.1800000000000002"/>
        <n v="1.5"/>
        <n v="1.1599999999999999"/>
        <n v="1.02"/>
        <n v="11.38"/>
        <n v="9.14"/>
        <n v="6.12"/>
        <n v="6.05"/>
        <n v="4.68"/>
        <n v="4.32"/>
        <n v="4.25"/>
        <n v="3.31"/>
        <n v="1.87"/>
        <n v="1.73"/>
        <n v="1.44"/>
        <n v="1.37"/>
        <n v="1.3"/>
        <n v="25.25"/>
        <n v="7.36"/>
        <n v="5.77"/>
        <n v="5.72"/>
        <n v="4.92"/>
        <n v="3.83"/>
        <n v="2.98"/>
        <n v="2.83"/>
        <n v="2.5299999999999998"/>
        <n v="2.4900000000000002"/>
        <n v="1.84"/>
        <n v="1.39"/>
        <n v="1.0900000000000001"/>
        <n v="0.99"/>
        <n v="0.94"/>
        <n v="9.98"/>
        <n v="9.31"/>
        <n v="5.7"/>
        <n v="5.63"/>
        <n v="4.67"/>
        <n v="4.58"/>
        <n v="4.4800000000000004"/>
        <n v="4.16"/>
        <n v="3.81"/>
        <n v="3.74"/>
        <n v="3.62"/>
        <n v="2.72"/>
        <n v="2.56"/>
        <n v="2.46"/>
        <n v="2.37"/>
        <n v="2.27"/>
        <n v="1.54"/>
        <n v="12.76"/>
        <n v="11.28"/>
        <n v="6.88"/>
        <n v="6"/>
        <n v="5.39"/>
        <n v="5.0599999999999996"/>
        <n v="4.3499999999999996"/>
        <n v="3.25"/>
        <n v="3.14"/>
        <n v="2.86"/>
        <n v="1.98"/>
        <n v="1.38"/>
        <n v="11.94"/>
        <n v="9.73"/>
        <n v="6.49"/>
        <n v="5.79"/>
        <n v="5.0999999999999996"/>
        <n v="3.13"/>
        <n v="3.01"/>
        <n v="2.78"/>
        <n v="11.03"/>
        <n v="9.19"/>
        <n v="7.64"/>
        <n v="6.96"/>
        <n v="4.0599999999999996"/>
        <n v="3.19"/>
        <n v="2.5099999999999998"/>
        <n v="2.42"/>
        <n v="2.13"/>
        <n v="2.0299999999999998"/>
        <n v="1.55"/>
        <n v="13.77"/>
        <n v="8.0399999999999991"/>
        <n v="7.82"/>
        <n v="5.84"/>
        <n v="5.4"/>
        <n v="4.63"/>
        <n v="4.41"/>
        <n v="3.52"/>
        <n v="2.64"/>
        <n v="11.65"/>
        <n v="10.36"/>
        <n v="8.92"/>
        <n v="6.62"/>
        <n v="4.17"/>
        <n v="3.02"/>
        <n v="2.59"/>
        <n v="1.1499999999999999"/>
        <n v="14.17"/>
        <n v="8.94"/>
        <n v="7.94"/>
        <n v="4.8899999999999997"/>
        <n v="4.4400000000000004"/>
        <n v="3.06"/>
        <n v="2.5"/>
        <n v="2.2799999999999998"/>
        <n v="1.89"/>
        <n v="12.66"/>
        <n v="7.14"/>
        <n v="5.3"/>
        <n v="5.08"/>
        <n v="4.42"/>
        <n v="4.12"/>
        <n v="2.8"/>
        <n v="2.58"/>
        <n v="2.35"/>
        <n v="1.18"/>
        <n v="1.1000000000000001"/>
        <n v="9.59"/>
        <n v="8.9"/>
        <n v="8.2200000000000006"/>
        <n v="7.76"/>
        <n v="6.39"/>
        <n v="2.63"/>
        <n v="13.95"/>
        <n v="6.8"/>
        <n v="6.21"/>
        <n v="5.98"/>
        <n v="5.86"/>
        <n v="5.74"/>
        <n v="4.22"/>
        <n v="3.05"/>
        <n v="2.93"/>
        <n v="2.81"/>
        <n v="2.23"/>
        <n v="2.11"/>
        <n v="1.41"/>
        <n v="9.76"/>
        <n v="7.88"/>
        <n v="6.94"/>
        <n v="6.19"/>
        <n v="5.82"/>
        <n v="5.07"/>
        <n v="4.5"/>
        <n v="3.75"/>
        <n v="2.25"/>
        <n v="9.7100000000000009"/>
        <n v="8.69"/>
        <n v="7.84"/>
        <n v="6.98"/>
        <n v="6.81"/>
        <n v="2.21"/>
        <n v="1.53"/>
        <n v="1.36"/>
        <n v="12.57"/>
        <n v="10.220000000000001"/>
        <n v="7.66"/>
        <n v="5.89"/>
        <n v="3.93"/>
        <n v="2.5499999999999998"/>
        <n v="2.36"/>
        <n v="2.16"/>
        <n v="1.96"/>
        <n v="9.39"/>
        <n v="8.84"/>
        <n v="7.73"/>
        <n v="5.52"/>
        <n v="3.87"/>
        <n v="2.76"/>
        <n v="10.68"/>
        <n v="9.77"/>
        <n v="6.82"/>
        <n v="5.23"/>
        <n v="2.73"/>
        <n v="1.59"/>
        <n v="9.9"/>
        <n v="8.42"/>
        <n v="7.43"/>
        <n v="6.93"/>
        <n v="6.44"/>
        <n v="4.46"/>
        <n v="2.97"/>
        <n v="2.48"/>
        <n v="9.27"/>
        <n v="8.61"/>
        <n v="8.2799999999999994"/>
        <n v="7.28"/>
        <n v="4.6399999999999997"/>
        <n v="14.51"/>
        <n v="8.64"/>
        <n v="6.74"/>
        <n v="6.04"/>
        <n v="2.94"/>
        <n v="2.0699999999999998"/>
        <n v="1.04"/>
        <n v="0.86"/>
        <n v="9.58"/>
        <n v="9.35"/>
        <n v="8.24"/>
        <n v="7.8"/>
        <n v="7.13"/>
        <n v="6.9"/>
        <n v="6.68"/>
        <n v="2.67"/>
        <n v="2"/>
        <n v="1.78"/>
        <n v="1.56"/>
        <n v="1.34"/>
        <n v="8.77"/>
        <n v="7.72"/>
        <n v="7.54"/>
        <n v="7.02"/>
        <n v="5.09"/>
        <n v="1.75"/>
        <n v="1.58"/>
        <n v="15.59"/>
        <n v="9.41"/>
        <n v="5.2"/>
        <n v="4.21"/>
        <n v="3.71"/>
        <n v="10.66"/>
        <n v="9.84"/>
        <n v="6.56"/>
        <n v="3.28"/>
        <n v="11.46"/>
        <n v="3.18"/>
        <n v="1.27"/>
        <n v="8.3699999999999992"/>
        <n v="7.22"/>
        <n v="6.46"/>
        <n v="1.52"/>
        <n v="13.08"/>
        <n v="11.54"/>
        <n v="8.4600000000000009"/>
        <n v="6.92"/>
        <n v="5.38"/>
        <n v="4.62"/>
        <n v="8.25"/>
        <n v="7.92"/>
        <n v="7.59"/>
        <n v="7.26"/>
        <n v="5.28"/>
        <n v="4.95"/>
        <n v="3.63"/>
        <n v="16.93"/>
        <n v="9.4"/>
        <n v="6.58"/>
        <n v="5.64"/>
        <n v="5.33"/>
        <n v="4.7"/>
        <n v="3.45"/>
        <n v="1.88"/>
        <n v="1.25"/>
        <n v="17.39"/>
        <n v="13.04"/>
        <n v="9.57"/>
        <n v="8.6999999999999993"/>
        <n v="7.83"/>
        <n v="3.48"/>
        <n v="12.02"/>
        <n v="9.7200000000000006"/>
        <n v="6.91"/>
        <n v="5.37"/>
        <n v="5.12"/>
        <n v="24.16"/>
        <n v="20.13"/>
        <n v="12.75"/>
        <n v="7.38"/>
        <n v="0.67"/>
      </sharedItems>
    </cacheField>
    <cacheField name="総数（個人）" numFmtId="0" sqlType="4">
      <sharedItems containsSemiMixedTypes="0" containsString="0" containsNumber="1" containsInteger="1" minValue="0" maxValue="5115" count="153">
        <n v="5115"/>
        <n v="4603"/>
        <n v="1104"/>
        <n v="1905"/>
        <n v="1705"/>
        <n v="1467"/>
        <n v="1401"/>
        <n v="1480"/>
        <n v="1199"/>
        <n v="1791"/>
        <n v="618"/>
        <n v="991"/>
        <n v="723"/>
        <n v="731"/>
        <n v="491"/>
        <n v="537"/>
        <n v="517"/>
        <n v="310"/>
        <n v="546"/>
        <n v="226"/>
        <n v="1216"/>
        <n v="659"/>
        <n v="947"/>
        <n v="325"/>
        <n v="80"/>
        <n v="265"/>
        <n v="135"/>
        <n v="392"/>
        <n v="212"/>
        <n v="213"/>
        <n v="197"/>
        <n v="217"/>
        <n v="86"/>
        <n v="155"/>
        <n v="89"/>
        <n v="54"/>
        <n v="43"/>
        <n v="16"/>
        <n v="41"/>
        <n v="101"/>
        <n v="368"/>
        <n v="338"/>
        <n v="181"/>
        <n v="160"/>
        <n v="49"/>
        <n v="98"/>
        <n v="111"/>
        <n v="73"/>
        <n v="136"/>
        <n v="97"/>
        <n v="45"/>
        <n v="48"/>
        <n v="22"/>
        <n v="33"/>
        <n v="5"/>
        <n v="15"/>
        <n v="17"/>
        <n v="23"/>
        <n v="18"/>
        <n v="451"/>
        <n v="297"/>
        <n v="176"/>
        <n v="100"/>
        <n v="151"/>
        <n v="131"/>
        <n v="126"/>
        <n v="128"/>
        <n v="92"/>
        <n v="50"/>
        <n v="35"/>
        <n v="30"/>
        <n v="58"/>
        <n v="27"/>
        <n v="34"/>
        <n v="28"/>
        <n v="211"/>
        <n v="82"/>
        <n v="61"/>
        <n v="76"/>
        <n v="32"/>
        <n v="93"/>
        <n v="64"/>
        <n v="26"/>
        <n v="25"/>
        <n v="36"/>
        <n v="1"/>
        <n v="7"/>
        <n v="19"/>
        <n v="200"/>
        <n v="223"/>
        <n v="44"/>
        <n v="75"/>
        <n v="74"/>
        <n v="46"/>
        <n v="79"/>
        <n v="29"/>
        <n v="0"/>
        <n v="20"/>
        <n v="38"/>
        <n v="248"/>
        <n v="90"/>
        <n v="95"/>
        <n v="71"/>
        <n v="39"/>
        <n v="31"/>
        <n v="51"/>
        <n v="24"/>
        <n v="13"/>
        <n v="37"/>
        <n v="10"/>
        <n v="12"/>
        <n v="8"/>
        <n v="9"/>
        <n v="4"/>
        <n v="11"/>
        <n v="108"/>
        <n v="14"/>
        <n v="3"/>
        <n v="105"/>
        <n v="129"/>
        <n v="53"/>
        <n v="56"/>
        <n v="21"/>
        <n v="157"/>
        <n v="127"/>
        <n v="68"/>
        <n v="47"/>
        <n v="57"/>
        <n v="40"/>
        <n v="6"/>
        <n v="113"/>
        <n v="298"/>
        <n v="52"/>
        <n v="258"/>
        <n v="88"/>
        <n v="102"/>
        <n v="121"/>
        <n v="188"/>
        <n v="70"/>
        <n v="42"/>
        <n v="59"/>
        <n v="117"/>
        <n v="87"/>
        <n v="66"/>
        <n v="237"/>
        <n v="154"/>
        <n v="78"/>
        <n v="69"/>
        <n v="159"/>
        <n v="148"/>
        <n v="77"/>
        <n v="2"/>
        <n v="60"/>
      </sharedItems>
    </cacheField>
    <cacheField name="構成比（個人）" numFmtId="0" sqlType="3">
      <sharedItems containsSemiMixedTypes="0" containsString="0" containsNumber="1" minValue="0" maxValue="31.73" count="497">
        <n v="16.28"/>
        <n v="14.65"/>
        <n v="3.51"/>
        <n v="6.06"/>
        <n v="5.43"/>
        <n v="4.67"/>
        <n v="4.46"/>
        <n v="4.71"/>
        <n v="3.82"/>
        <n v="5.7"/>
        <n v="1.97"/>
        <n v="3.15"/>
        <n v="2.2999999999999998"/>
        <n v="2.33"/>
        <n v="1.56"/>
        <n v="1.71"/>
        <n v="1.65"/>
        <n v="0.99"/>
        <n v="1.74"/>
        <n v="0.72"/>
        <n v="20.309999999999999"/>
        <n v="11.01"/>
        <n v="15.82"/>
        <n v="1.34"/>
        <n v="4.43"/>
        <n v="2.2599999999999998"/>
        <n v="6.55"/>
        <n v="3.54"/>
        <n v="3.56"/>
        <n v="3.29"/>
        <n v="3.63"/>
        <n v="1.44"/>
        <n v="2.59"/>
        <n v="1.49"/>
        <n v="0.9"/>
        <n v="0.27"/>
        <n v="0.68"/>
        <n v="1.69"/>
        <n v="16.75"/>
        <n v="15.38"/>
        <n v="8.24"/>
        <n v="7.28"/>
        <n v="2.23"/>
        <n v="5.05"/>
        <n v="3.32"/>
        <n v="6.19"/>
        <n v="4.42"/>
        <n v="3.64"/>
        <n v="2.0499999999999998"/>
        <n v="2.46"/>
        <n v="2.1800000000000002"/>
        <n v="1"/>
        <n v="1.5"/>
        <n v="0.23"/>
        <n v="0.77"/>
        <n v="1.05"/>
        <n v="0.82"/>
        <n v="19.05"/>
        <n v="12.55"/>
        <n v="7.44"/>
        <n v="4.22"/>
        <n v="6.38"/>
        <n v="5.53"/>
        <n v="5.32"/>
        <n v="4.0999999999999996"/>
        <n v="5.41"/>
        <n v="3.89"/>
        <n v="3.08"/>
        <n v="2.11"/>
        <n v="1.48"/>
        <n v="1.27"/>
        <n v="2.4500000000000002"/>
        <n v="1.1399999999999999"/>
        <n v="2.0699999999999998"/>
        <n v="0.63"/>
        <n v="1.18"/>
        <n v="9.92"/>
        <n v="15.5"/>
        <n v="13.3"/>
        <n v="6.02"/>
        <n v="2.42"/>
        <n v="3.31"/>
        <n v="3.6"/>
        <n v="4.4800000000000004"/>
        <n v="5.58"/>
        <n v="2.35"/>
        <n v="6.83"/>
        <n v="4.7"/>
        <n v="1.1000000000000001"/>
        <n v="1.91"/>
        <n v="1.84"/>
        <n v="2.65"/>
        <n v="7.0000000000000007E-2"/>
        <n v="0.51"/>
        <n v="1.4"/>
        <n v="11.18"/>
        <n v="12.13"/>
        <n v="12.47"/>
        <n v="4.8099999999999996"/>
        <n v="5.2"/>
        <n v="4.47"/>
        <n v="4.1900000000000004"/>
        <n v="2.4"/>
        <n v="4.1399999999999997"/>
        <n v="2.57"/>
        <n v="1.62"/>
        <n v="0"/>
        <n v="1.1200000000000001"/>
        <n v="1.57"/>
        <n v="1.9"/>
        <n v="2.12"/>
        <n v="18.66"/>
        <n v="13.24"/>
        <n v="6.77"/>
        <n v="5.49"/>
        <n v="7.15"/>
        <n v="5.34"/>
        <n v="3.09"/>
        <n v="5.72"/>
        <n v="2.93"/>
        <n v="3.84"/>
        <n v="2.41"/>
        <n v="1.81"/>
        <n v="1.66"/>
        <n v="1.43"/>
        <n v="0.08"/>
        <n v="0.98"/>
        <n v="1.2"/>
        <n v="7.97"/>
        <n v="12.5"/>
        <n v="10.34"/>
        <n v="4.96"/>
        <n v="4.3099999999999996"/>
        <n v="5.17"/>
        <n v="5.39"/>
        <n v="4.09"/>
        <n v="2.8"/>
        <n v="2.16"/>
        <n v="3.66"/>
        <n v="1.72"/>
        <n v="1.94"/>
        <n v="1.51"/>
        <n v="1.08"/>
        <n v="0.86"/>
        <n v="2.37"/>
        <n v="17.45"/>
        <n v="13.25"/>
        <n v="6.95"/>
        <n v="4.8499999999999996"/>
        <n v="4.68"/>
        <n v="5.82"/>
        <n v="2.58"/>
        <n v="3.55"/>
        <n v="5.65"/>
        <n v="3.23"/>
        <n v="2.1"/>
        <n v="3.72"/>
        <n v="0.48"/>
        <n v="1.29"/>
        <n v="0.65"/>
        <n v="11.03"/>
        <n v="13.45"/>
        <n v="13.55"/>
        <n v="4.62"/>
        <n v="5.57"/>
        <n v="5.25"/>
        <n v="4.83"/>
        <n v="1.68"/>
        <n v="2.31"/>
        <n v="5.88"/>
        <n v="3.57"/>
        <n v="2.21"/>
        <n v="1.79"/>
        <n v="1.1599999999999999"/>
        <n v="2.84"/>
        <n v="1.58"/>
        <n v="0.53"/>
        <n v="18.03"/>
        <n v="14.58"/>
        <n v="7.81"/>
        <n v="5.28"/>
        <n v="5.4"/>
        <n v="6.54"/>
        <n v="5.86"/>
        <n v="4.59"/>
        <n v="4.9400000000000004"/>
        <n v="2.87"/>
        <n v="3.21"/>
        <n v="1.1499999999999999"/>
        <n v="1.61"/>
        <n v="1.38"/>
        <n v="0.8"/>
        <n v="0.34"/>
        <n v="0.69"/>
        <n v="17.39"/>
        <n v="14.45"/>
        <n v="6.01"/>
        <n v="2.17"/>
        <n v="6.39"/>
        <n v="3.71"/>
        <n v="5.63"/>
        <n v="6.78"/>
        <n v="2.56"/>
        <n v="2.81"/>
        <n v="1.28"/>
        <n v="0.38"/>
        <n v="25.71"/>
        <n v="13.03"/>
        <n v="11.65"/>
        <n v="4.0599999999999996"/>
        <n v="4.57"/>
        <n v="5"/>
        <n v="3.36"/>
        <n v="1.98"/>
        <n v="4.49"/>
        <n v="2.76"/>
        <n v="2.2400000000000002"/>
        <n v="2.67"/>
        <n v="1.47"/>
        <n v="0.6"/>
        <n v="0.09"/>
        <n v="16"/>
        <n v="5.46"/>
        <n v="6.32"/>
        <n v="4.9000000000000004"/>
        <n v="7.5"/>
        <n v="1.8"/>
        <n v="2.73"/>
        <n v="1.92"/>
        <n v="0.5"/>
        <n v="19.420000000000002"/>
        <n v="18.7"/>
        <n v="2.38"/>
        <n v="7.23"/>
        <n v="5.89"/>
        <n v="4.34"/>
        <n v="3.1"/>
        <n v="1.86"/>
        <n v="5.27"/>
        <n v="6.3"/>
        <n v="2.48"/>
        <n v="3.62"/>
        <n v="1.76"/>
        <n v="0.83"/>
        <n v="1.24"/>
        <n v="0.62"/>
        <n v="9.75"/>
        <n v="10.65"/>
        <n v="8.84"/>
        <n v="6.68"/>
        <n v="8.48"/>
        <n v="4.6900000000000004"/>
        <n v="4.87"/>
        <n v="3.25"/>
        <n v="2.5299999999999998"/>
        <n v="3.61"/>
        <n v="1.99"/>
        <n v="3.07"/>
        <n v="14.4"/>
        <n v="16.89"/>
        <n v="13.44"/>
        <n v="2.88"/>
        <n v="4.8"/>
        <n v="2.69"/>
        <n v="4.99"/>
        <n v="7.29"/>
        <n v="4.41"/>
        <n v="2.5"/>
        <n v="3.26"/>
        <n v="1.73"/>
        <n v="1.54"/>
        <n v="0.57999999999999996"/>
        <n v="0.19"/>
        <n v="19.53"/>
        <n v="14.52"/>
        <n v="8.01"/>
        <n v="5.51"/>
        <n v="7.35"/>
        <n v="6.84"/>
        <n v="4.17"/>
        <n v="1.17"/>
        <n v="3.17"/>
        <n v="0.67"/>
        <n v="1.67"/>
        <n v="2"/>
        <n v="19.82"/>
        <n v="14.71"/>
        <n v="6.91"/>
        <n v="3.9"/>
        <n v="2.7"/>
        <n v="3"/>
        <n v="0.3"/>
        <n v="19.190000000000001"/>
        <n v="6.4"/>
        <n v="7.04"/>
        <n v="5.91"/>
        <n v="5.59"/>
        <n v="3.97"/>
        <n v="2.02"/>
        <n v="2.19"/>
        <n v="1.1299999999999999"/>
        <n v="0.97"/>
        <n v="18.32"/>
        <n v="17.05"/>
        <n v="4.38"/>
        <n v="7.37"/>
        <n v="3.46"/>
        <n v="5.07"/>
        <n v="3.69"/>
        <n v="4.72"/>
        <n v="4.6100000000000003"/>
        <n v="1.04"/>
        <n v="0.12"/>
        <n v="0.46"/>
        <n v="14.84"/>
        <n v="10.98"/>
        <n v="8.67"/>
        <n v="11.75"/>
        <n v="3.85"/>
        <n v="8.2899999999999991"/>
        <n v="1.93"/>
        <n v="5.01"/>
        <n v="2.89"/>
        <n v="0.96"/>
        <n v="20.420000000000002"/>
        <n v="10.210000000000001"/>
        <n v="6.26"/>
        <n v="10.44"/>
        <n v="4.18"/>
        <n v="2.09"/>
        <n v="6.03"/>
        <n v="0.93"/>
        <n v="2.3199999999999998"/>
        <n v="2.5499999999999998"/>
        <n v="3.48"/>
        <n v="2.78"/>
        <n v="0.7"/>
        <n v="1.39"/>
        <n v="16.43"/>
        <n v="8.2100000000000009"/>
        <n v="7.14"/>
        <n v="9.64"/>
        <n v="1.07"/>
        <n v="2.14"/>
        <n v="4.6399999999999997"/>
        <n v="6.43"/>
        <n v="4.29"/>
        <n v="0.71"/>
        <n v="0.36"/>
        <n v="14.68"/>
        <n v="5.5"/>
        <n v="11.62"/>
        <n v="11.93"/>
        <n v="6.73"/>
        <n v="4.8899999999999997"/>
        <n v="1.53"/>
        <n v="4.28"/>
        <n v="3.06"/>
        <n v="0.92"/>
        <n v="1.83"/>
        <n v="2.75"/>
        <n v="1.22"/>
        <n v="0.31"/>
        <n v="21.82"/>
        <n v="13.09"/>
        <n v="4.3600000000000003"/>
        <n v="6.18"/>
        <n v="5.45"/>
        <n v="3.27"/>
        <n v="2.91"/>
        <n v="5.09"/>
        <n v="1.0900000000000001"/>
        <n v="1.82"/>
        <n v="7.21"/>
        <n v="12.61"/>
        <n v="9.91"/>
        <n v="8.11"/>
        <n v="6.31"/>
        <n v="4.5"/>
        <n v="16.23"/>
        <n v="14.72"/>
        <n v="6.42"/>
        <n v="7.92"/>
        <n v="3.02"/>
        <n v="4.53"/>
        <n v="2.64"/>
        <n v="3.4"/>
        <n v="0.75"/>
        <n v="8.4"/>
        <n v="7.56"/>
        <n v="10.08"/>
        <n v="5.04"/>
        <n v="0.84"/>
        <n v="4.2"/>
        <n v="2.52"/>
        <n v="14.77"/>
        <n v="8.52"/>
        <n v="4.55"/>
        <n v="3.98"/>
        <n v="5.68"/>
        <n v="2.27"/>
        <n v="0.56999999999999995"/>
        <n v="1.7"/>
        <n v="7.99"/>
        <n v="15.09"/>
        <n v="8.58"/>
        <n v="8.2799999999999994"/>
        <n v="9.17"/>
        <n v="5.03"/>
        <n v="2.96"/>
        <n v="1.78"/>
        <n v="0.89"/>
        <n v="0.59"/>
        <n v="9.31"/>
        <n v="14.57"/>
        <n v="11.34"/>
        <n v="9.7200000000000006"/>
        <n v="10.93"/>
        <n v="6.48"/>
        <n v="4.05"/>
        <n v="5.67"/>
        <n v="2.83"/>
        <n v="0.4"/>
        <n v="0.81"/>
        <n v="14.98"/>
        <n v="8.26"/>
        <n v="7.95"/>
        <n v="10.4"/>
        <n v="8.56"/>
        <n v="6.12"/>
        <n v="23.77"/>
        <n v="23.32"/>
        <n v="7.62"/>
        <n v="4.93"/>
        <n v="3.14"/>
        <n v="3.59"/>
        <n v="1.35"/>
        <n v="0.45"/>
        <n v="16.899999999999999"/>
        <n v="15.49"/>
        <n v="9.86"/>
        <n v="2.82"/>
        <n v="1.41"/>
        <n v="4.2300000000000004"/>
        <n v="8.4499999999999993"/>
        <n v="11"/>
        <n v="17"/>
        <n v="6"/>
        <n v="12"/>
        <n v="4"/>
        <n v="9.15"/>
        <n v="11.59"/>
        <n v="12.8"/>
        <n v="7.32"/>
        <n v="6.71"/>
        <n v="6.1"/>
        <n v="0.61"/>
        <n v="4.2699999999999996"/>
        <n v="2.44"/>
        <n v="3.05"/>
        <n v="14.61"/>
        <n v="6.74"/>
        <n v="11.24"/>
        <n v="8.99"/>
        <n v="12.36"/>
        <n v="3.37"/>
        <n v="2.25"/>
        <n v="8.65"/>
        <n v="10.1"/>
        <n v="10.58"/>
        <n v="5.29"/>
        <n v="4.33"/>
        <n v="8.9"/>
        <n v="13.61"/>
        <n v="15.71"/>
        <n v="10.47"/>
        <n v="9.42"/>
        <n v="7.33"/>
        <n v="6.28"/>
        <n v="0.52"/>
        <n v="14.67"/>
        <n v="17.329999999999998"/>
        <n v="13.33"/>
        <n v="5.33"/>
        <n v="1.33"/>
        <n v="19.91"/>
        <n v="6.33"/>
        <n v="13.12"/>
        <n v="6.79"/>
        <n v="4.5199999999999996"/>
        <n v="2.71"/>
        <n v="4.9800000000000004"/>
        <n v="4.07"/>
        <n v="1.36"/>
        <n v="31.73"/>
        <n v="25.96"/>
        <n v="5.77"/>
      </sharedItems>
    </cacheField>
    <cacheField name="総数（法人）" numFmtId="0" sqlType="4">
      <sharedItems containsSemiMixedTypes="0" containsString="0" containsNumber="1" containsInteger="1" minValue="0" maxValue="2507" count="129">
        <n v="691"/>
        <n v="710"/>
        <n v="2507"/>
        <n v="1636"/>
        <n v="1615"/>
        <n v="1294"/>
        <n v="564"/>
        <n v="632"/>
        <n v="807"/>
        <n v="133"/>
        <n v="1127"/>
        <n v="426"/>
        <n v="593"/>
        <n v="474"/>
        <n v="635"/>
        <n v="596"/>
        <n v="533"/>
        <n v="583"/>
        <n v="191"/>
        <n v="485"/>
        <n v="176"/>
        <n v="615"/>
        <n v="184"/>
        <n v="362"/>
        <n v="429"/>
        <n v="181"/>
        <n v="300"/>
        <n v="40"/>
        <n v="163"/>
        <n v="159"/>
        <n v="121"/>
        <n v="251"/>
        <n v="147"/>
        <n v="155"/>
        <n v="165"/>
        <n v="151"/>
        <n v="111"/>
        <n v="50"/>
        <n v="57"/>
        <n v="48"/>
        <n v="124"/>
        <n v="152"/>
        <n v="87"/>
        <n v="90"/>
        <n v="12"/>
        <n v="37"/>
        <n v="45"/>
        <n v="77"/>
        <n v="64"/>
        <n v="44"/>
        <n v="47"/>
        <n v="35"/>
        <n v="59"/>
        <n v="42"/>
        <n v="25"/>
        <n v="26"/>
        <n v="29"/>
        <n v="94"/>
        <n v="126"/>
        <n v="199"/>
        <n v="109"/>
        <n v="93"/>
        <n v="75"/>
        <n v="60"/>
        <n v="7"/>
        <n v="38"/>
        <n v="51"/>
        <n v="55"/>
        <n v="20"/>
        <n v="18"/>
        <n v="19"/>
        <n v="31"/>
        <n v="17"/>
        <n v="125"/>
        <n v="84"/>
        <n v="128"/>
        <n v="92"/>
        <n v="63"/>
        <n v="71"/>
        <n v="24"/>
        <n v="30"/>
        <n v="15"/>
        <n v="34"/>
        <n v="27"/>
        <n v="116"/>
        <n v="33"/>
        <n v="113"/>
        <n v="68"/>
        <n v="53"/>
        <n v="21"/>
        <n v="2"/>
        <n v="23"/>
        <n v="11"/>
        <n v="102"/>
        <n v="85"/>
        <n v="39"/>
        <n v="10"/>
        <n v="28"/>
        <n v="4"/>
        <n v="8"/>
        <n v="14"/>
        <n v="3"/>
        <n v="9"/>
        <n v="22"/>
        <n v="58"/>
        <n v="1"/>
        <n v="16"/>
        <n v="6"/>
        <n v="5"/>
        <n v="13"/>
        <n v="46"/>
        <n v="61"/>
        <n v="67"/>
        <n v="66"/>
        <n v="36"/>
        <n v="210"/>
        <n v="69"/>
        <n v="32"/>
        <n v="54"/>
        <n v="144"/>
        <n v="43"/>
        <n v="89"/>
        <n v="73"/>
        <n v="81"/>
        <n v="41"/>
        <n v="49"/>
        <n v="0"/>
        <n v="82"/>
        <n v="56"/>
      </sharedItems>
    </cacheField>
    <cacheField name="構成比（法人）" numFmtId="0" sqlType="3">
      <sharedItems containsSemiMixedTypes="0" containsString="0" containsNumber="1" minValue="0" maxValue="29.37" count="416">
        <n v="2.85"/>
        <n v="2.93"/>
        <n v="10.35"/>
        <n v="6.75"/>
        <n v="6.67"/>
        <n v="5.34"/>
        <n v="2.33"/>
        <n v="2.61"/>
        <n v="3.33"/>
        <n v="0.55000000000000004"/>
        <n v="4.6500000000000004"/>
        <n v="1.76"/>
        <n v="2.4500000000000002"/>
        <n v="1.96"/>
        <n v="2.62"/>
        <n v="2.46"/>
        <n v="2.2000000000000002"/>
        <n v="2.41"/>
        <n v="0.79"/>
        <n v="2"/>
        <n v="3.11"/>
        <n v="10.85"/>
        <n v="3.25"/>
        <n v="6.39"/>
        <n v="7.57"/>
        <n v="3.19"/>
        <n v="5.29"/>
        <n v="0.71"/>
        <n v="2.88"/>
        <n v="2.81"/>
        <n v="2.14"/>
        <n v="4.43"/>
        <n v="2.59"/>
        <n v="2.74"/>
        <n v="2.91"/>
        <n v="2.66"/>
        <n v="0.88"/>
        <n v="3.12"/>
        <n v="2.63"/>
        <n v="8.27"/>
        <n v="6.79"/>
        <n v="8.32"/>
        <n v="4.76"/>
        <n v="4.93"/>
        <n v="0.66"/>
        <n v="2.0299999999999998"/>
        <n v="4.22"/>
        <n v="3.5"/>
        <n v="2.57"/>
        <n v="1.92"/>
        <n v="3.23"/>
        <n v="2.2999999999999998"/>
        <n v="1.37"/>
        <n v="1.42"/>
        <n v="1.59"/>
        <n v="5.81"/>
        <n v="2.72"/>
        <n v="7.78"/>
        <n v="12.29"/>
        <n v="6.73"/>
        <n v="5.74"/>
        <n v="4.63"/>
        <n v="3.71"/>
        <n v="0.43"/>
        <n v="2.35"/>
        <n v="3.52"/>
        <n v="3.15"/>
        <n v="3.4"/>
        <n v="1.24"/>
        <n v="2.4700000000000002"/>
        <n v="1.1100000000000001"/>
        <n v="1.17"/>
        <n v="1.91"/>
        <n v="1.05"/>
        <n v="9.1199999999999992"/>
        <n v="3.21"/>
        <n v="1.9"/>
        <n v="6.13"/>
        <n v="9.34"/>
        <n v="7.96"/>
        <n v="6.72"/>
        <n v="4.5999999999999996"/>
        <n v="2.2599999999999998"/>
        <n v="5.18"/>
        <n v="0.51"/>
        <n v="1.75"/>
        <n v="3.72"/>
        <n v="2.7"/>
        <n v="2.19"/>
        <n v="1.0900000000000001"/>
        <n v="2.48"/>
        <n v="1.97"/>
        <n v="9.99"/>
        <n v="2.84"/>
        <n v="1.72"/>
        <n v="9.73"/>
        <n v="5.86"/>
        <n v="4.57"/>
        <n v="3.88"/>
        <n v="3.45"/>
        <n v="5.43"/>
        <n v="1.81"/>
        <n v="2.15"/>
        <n v="0.17"/>
        <n v="2.58"/>
        <n v="1.98"/>
        <n v="1.46"/>
        <n v="2.0699999999999998"/>
        <n v="0.95"/>
        <n v="3.18"/>
        <n v="11.2"/>
        <n v="9.33"/>
        <n v="4.28"/>
        <n v="3.29"/>
        <n v="5.16"/>
        <n v="0.22"/>
        <n v="4.0599999999999996"/>
        <n v="4.83"/>
        <n v="1.21"/>
        <n v="2.52"/>
        <n v="1.32"/>
        <n v="1.1000000000000001"/>
        <n v="1.87"/>
        <n v="1.65"/>
        <n v="9.18"/>
        <n v="1.31"/>
        <n v="8.1999999999999993"/>
        <n v="7.54"/>
        <n v="4.59"/>
        <n v="4.92"/>
        <n v="3.61"/>
        <n v="0.98"/>
        <n v="2.95"/>
        <n v="4.99"/>
        <n v="3.85"/>
        <n v="13.15"/>
        <n v="7.48"/>
        <n v="9.98"/>
        <n v="5.67"/>
        <n v="2.27"/>
        <n v="0.23"/>
        <n v="2.4900000000000002"/>
        <n v="3.63"/>
        <n v="1.36"/>
        <n v="1.1299999999999999"/>
        <n v="0.91"/>
        <n v="6.08"/>
        <n v="3.04"/>
        <n v="8.07"/>
        <n v="8.4700000000000006"/>
        <n v="2.65"/>
        <n v="2.78"/>
        <n v="2.5099999999999998"/>
        <n v="5.95"/>
        <n v="3.44"/>
        <n v="1.85"/>
        <n v="3.02"/>
        <n v="3.55"/>
        <n v="11.9"/>
        <n v="11.72"/>
        <n v="5.51"/>
        <n v="3.37"/>
        <n v="1.07"/>
        <n v="0.89"/>
        <n v="3.91"/>
        <n v="1.6"/>
        <n v="4.62"/>
        <n v="2.31"/>
        <n v="1.95"/>
        <n v="2.13"/>
        <n v="3.69"/>
        <n v="7.04"/>
        <n v="11.39"/>
        <n v="5.7"/>
        <n v="6.03"/>
        <n v="3.35"/>
        <n v="4.0199999999999996"/>
        <n v="5.19"/>
        <n v="2.1800000000000002"/>
        <n v="2.0099999999999998"/>
        <n v="1.34"/>
        <n v="0.34"/>
        <n v="1.51"/>
        <n v="0.84"/>
        <n v="25.21"/>
        <n v="2.04"/>
        <n v="1.56"/>
        <n v="8.2799999999999994"/>
        <n v="8.16"/>
        <n v="5.52"/>
        <n v="2.16"/>
        <n v="3.36"/>
        <n v="3.84"/>
        <n v="4.08"/>
        <n v="0.24"/>
        <n v="1.08"/>
        <n v="4.32"/>
        <n v="0.6"/>
        <n v="2.76"/>
        <n v="1.44"/>
        <n v="3.6"/>
        <n v="6"/>
        <n v="9.61"/>
        <n v="2.87"/>
        <n v="4.2699999999999996"/>
        <n v="2.54"/>
        <n v="5.94"/>
        <n v="4.87"/>
        <n v="5.4"/>
        <n v="4.07"/>
        <n v="1.47"/>
        <n v="1.8"/>
        <n v="3.07"/>
        <n v="2.94"/>
        <n v="2.67"/>
        <n v="0.73"/>
        <n v="5.31"/>
        <n v="2.9"/>
        <n v="12.3"/>
        <n v="4.95"/>
        <n v="7.12"/>
        <n v="7.36"/>
        <n v="1.45"/>
        <n v="0.12"/>
        <n v="2.0499999999999998"/>
        <n v="2.29"/>
        <n v="1.57"/>
        <n v="2.17"/>
        <n v="0.48"/>
        <n v="16.28"/>
        <n v="8.31"/>
        <n v="1"/>
        <n v="5.98"/>
        <n v="3.99"/>
        <n v="3.32"/>
        <n v="1.33"/>
        <n v="3.65"/>
        <n v="1.99"/>
        <n v="0"/>
        <n v="1.66"/>
        <n v="7.62"/>
        <n v="11.13"/>
        <n v="6.45"/>
        <n v="0.78"/>
        <n v="3.13"/>
        <n v="2.73"/>
        <n v="8.5"/>
        <n v="12.93"/>
        <n v="1.7"/>
        <n v="3.06"/>
        <n v="5.0999999999999996"/>
        <n v="4.42"/>
        <n v="6.12"/>
        <n v="0.68"/>
        <n v="1.02"/>
        <n v="2.38"/>
        <n v="17.43"/>
        <n v="1.71"/>
        <n v="6.57"/>
        <n v="8"/>
        <n v="6.29"/>
        <n v="3.43"/>
        <n v="0.86"/>
        <n v="0.28999999999999998"/>
        <n v="1.43"/>
        <n v="1.1399999999999999"/>
        <n v="15.56"/>
        <n v="10.63"/>
        <n v="4.3600000000000003"/>
        <n v="5.5"/>
        <n v="0.19"/>
        <n v="0.56999999999999995"/>
        <n v="2.2799999999999998"/>
        <n v="1.52"/>
        <n v="2.71"/>
        <n v="12.32"/>
        <n v="6.47"/>
        <n v="8.77"/>
        <n v="5.22"/>
        <n v="5.01"/>
        <n v="1.04"/>
        <n v="3.34"/>
        <n v="3.97"/>
        <n v="1.25"/>
        <n v="4.38"/>
        <n v="1.88"/>
        <n v="2.08"/>
        <n v="6.25"/>
        <n v="8.0399999999999991"/>
        <n v="10.71"/>
        <n v="2.68"/>
        <n v="6.55"/>
        <n v="5.0599999999999996"/>
        <n v="0.3"/>
        <n v="1.79"/>
        <n v="1.49"/>
        <n v="1.19"/>
        <n v="7.52"/>
        <n v="6.31"/>
        <n v="7.77"/>
        <n v="3.64"/>
        <n v="4.8499999999999996"/>
        <n v="3.16"/>
        <n v="0.97"/>
        <n v="2.42"/>
        <n v="7.66"/>
        <n v="6.85"/>
        <n v="1.61"/>
        <n v="9.68"/>
        <n v="4.03"/>
        <n v="5.65"/>
        <n v="2.02"/>
        <n v="0.4"/>
        <n v="2.82"/>
        <n v="3.66"/>
        <n v="14.63"/>
        <n v="5.28"/>
        <n v="1.22"/>
        <n v="7.32"/>
        <n v="6.91"/>
        <n v="2.44"/>
        <n v="4.88"/>
        <n v="0.41"/>
        <n v="1.63"/>
        <n v="4.47"/>
        <n v="1.86"/>
        <n v="19.53"/>
        <n v="1.4"/>
        <n v="8.3699999999999992"/>
        <n v="2.79"/>
        <n v="4.1900000000000004"/>
        <n v="0.47"/>
        <n v="6.05"/>
        <n v="5.12"/>
        <n v="14.29"/>
        <n v="12.7"/>
        <n v="3.17"/>
        <n v="7.94"/>
        <n v="6.35"/>
        <n v="7.56"/>
        <n v="9.8800000000000008"/>
        <n v="1.74"/>
        <n v="3.49"/>
        <n v="6.4"/>
        <n v="0.57999999999999996"/>
        <n v="1.1599999999999999"/>
        <n v="13.16"/>
        <n v="9.2100000000000009"/>
        <n v="7.89"/>
        <n v="3.95"/>
        <n v="6.58"/>
        <n v="8.94"/>
        <n v="13.82"/>
        <n v="5.69"/>
        <n v="0.81"/>
        <n v="26.51"/>
        <n v="3.26"/>
        <n v="9.77"/>
        <n v="5.58"/>
        <n v="0.93"/>
        <n v="10.75"/>
        <n v="15.05"/>
        <n v="4.3"/>
        <n v="7.53"/>
        <n v="2.69"/>
        <n v="3.76"/>
        <n v="0.54"/>
        <n v="14.73"/>
        <n v="7.59"/>
        <n v="4.91"/>
        <n v="5.36"/>
        <n v="5.8"/>
        <n v="0.45"/>
        <n v="6.21"/>
        <n v="12.99"/>
        <n v="4.5199999999999996"/>
        <n v="1.69"/>
        <n v="3.39"/>
        <n v="5.08"/>
        <n v="10.199999999999999"/>
        <n v="12.73"/>
        <n v="1.82"/>
        <n v="14.55"/>
        <n v="5.45"/>
        <n v="7.27"/>
        <n v="7.37"/>
        <n v="4.21"/>
        <n v="12.63"/>
        <n v="8.42"/>
        <n v="2.11"/>
        <n v="6.32"/>
        <n v="10.53"/>
        <n v="23.68"/>
        <n v="5.26"/>
        <n v="10.99"/>
        <n v="6.59"/>
        <n v="7.69"/>
        <n v="5.49"/>
        <n v="3.3"/>
        <n v="4.4000000000000004"/>
        <n v="29.37"/>
        <n v="7.14"/>
        <n v="15.79"/>
        <n v="1.89"/>
        <n v="15.09"/>
        <n v="5.66"/>
        <n v="7.55"/>
        <n v="6.92"/>
        <n v="1.26"/>
        <n v="3.14"/>
        <n v="3.77"/>
        <n v="0.63"/>
        <n v="6.98"/>
        <n v="23.26"/>
        <n v="11.63"/>
        <n v="9.3000000000000007"/>
      </sharedItems>
    </cacheField>
    <cacheField name="総数（法人以外の団体）" numFmtId="0" sqlType="4">
      <sharedItems containsSemiMixedTypes="0" containsString="0" containsNumber="1" containsInteger="1" minValue="0" maxValue="23" count="9">
        <n v="4"/>
        <n v="0"/>
        <n v="3"/>
        <n v="7"/>
        <n v="6"/>
        <n v="1"/>
        <n v="23"/>
        <n v="8"/>
        <n v="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作成者" refreshedDate="45155.454993287036" createdVersion="5" refreshedVersion="8" minRefreshableVersion="3" recordCount="950" xr:uid="{BA5B8A5B-39A8-4ACD-B686-5FB5CB675CE4}">
  <cacheSource type="external" connectionId="3"/>
  <cacheFields count="14">
    <cacheField name="都道府県" numFmtId="0" sqlType="-9">
      <sharedItems count="1">
        <s v="21 岐阜県"/>
      </sharedItems>
    </cacheField>
    <cacheField name="自治体名" numFmtId="0" sqlType="-9">
      <sharedItems count="43">
        <s v="岐阜県"/>
        <s v="岐阜市"/>
        <s v="大垣市"/>
        <s v="高山市"/>
        <s v="多治見市"/>
        <s v="関市"/>
        <s v="中津川市"/>
        <s v="美濃市"/>
        <s v="瑞浪市"/>
        <s v="羽島市"/>
        <s v="恵那市"/>
        <s v="美濃加茂市"/>
        <s v="土岐市"/>
        <s v="各務原市"/>
        <s v="可児市"/>
        <s v="山県市"/>
        <s v="瑞穂市"/>
        <s v="飛騨市"/>
        <s v="本巣市"/>
        <s v="郡上市"/>
        <s v="下呂市"/>
        <s v="海津市"/>
        <s v="羽島郡岐南町"/>
        <s v="羽島郡笠松町"/>
        <s v="養老郡養老町"/>
        <s v="不破郡垂井町"/>
        <s v="不破郡関ケ原町"/>
        <s v="安八郡神戸町"/>
        <s v="安八郡輪之内町"/>
        <s v="安八郡安八町"/>
        <s v="揖斐郡揖斐川町"/>
        <s v="揖斐郡大野町"/>
        <s v="揖斐郡池田町"/>
        <s v="本巣郡北方町"/>
        <s v="加茂郡坂祝町"/>
        <s v="加茂郡富加町"/>
        <s v="加茂郡川辺町"/>
        <s v="加茂郡七宗町"/>
        <s v="加茂郡八百津町"/>
        <s v="加茂郡白川町"/>
        <s v="加茂郡東白川村"/>
        <s v="可児郡御嵩町"/>
        <s v="大野郡白川村"/>
      </sharedItems>
    </cacheField>
    <cacheField name="自治体" numFmtId="0" sqlType="-9">
      <sharedItems count="43">
        <s v="21000 岐阜県"/>
        <s v="21201 岐阜市"/>
        <s v="21202 大垣市"/>
        <s v="21203 高山市"/>
        <s v="21204 多治見市"/>
        <s v="21205 関市"/>
        <s v="21206 中津川市"/>
        <s v="21207 美濃市"/>
        <s v="21208 瑞浪市"/>
        <s v="21209 羽島市"/>
        <s v="21210 恵那市"/>
        <s v="21211 美濃加茂市"/>
        <s v="21212 土岐市"/>
        <s v="21213 各務原市"/>
        <s v="21214 可児市"/>
        <s v="21215 山県市"/>
        <s v="21216 瑞穂市"/>
        <s v="21217 飛騨市"/>
        <s v="21218 本巣市"/>
        <s v="21219 郡上市"/>
        <s v="21220 下呂市"/>
        <s v="21221 海津市"/>
        <s v="21302 羽島郡岐南町"/>
        <s v="21303 羽島郡笠松町"/>
        <s v="21341 養老郡養老町"/>
        <s v="21361 不破郡垂井町"/>
        <s v="21362 不破郡関ケ原町"/>
        <s v="21381 安八郡神戸町"/>
        <s v="21382 安八郡輪之内町"/>
        <s v="21383 安八郡安八町"/>
        <s v="21401 揖斐郡揖斐川町"/>
        <s v="21403 揖斐郡大野町"/>
        <s v="21404 揖斐郡池田町"/>
        <s v="21421 本巣郡北方町"/>
        <s v="21501 加茂郡坂祝町"/>
        <s v="21502 加茂郡富加町"/>
        <s v="21503 加茂郡川辺町"/>
        <s v="21504 加茂郡七宗町"/>
        <s v="21505 加茂郡八百津町"/>
        <s v="21506 加茂郡白川町"/>
        <s v="21507 加茂郡東白川村"/>
        <s v="21521 可児郡御嵩町"/>
        <s v="21604 大野郡白川村"/>
      </sharedItems>
    </cacheField>
    <cacheField name="産業分類コード" numFmtId="0" sqlType="-8">
      <sharedItems count="107">
        <s v="783"/>
        <s v="767"/>
        <s v="692"/>
        <s v="782"/>
        <s v="835"/>
        <s v="762"/>
        <s v="591"/>
        <s v="062"/>
        <s v="824"/>
        <s v="609"/>
        <s v="065"/>
        <s v="064"/>
        <s v="081"/>
        <s v="765"/>
        <s v="603"/>
        <s v="691"/>
        <s v="742"/>
        <s v="214"/>
        <s v="891"/>
        <s v="589"/>
        <s v="116"/>
        <s v="766"/>
        <s v="781"/>
        <s v="823"/>
        <s v="693"/>
        <s v="751"/>
        <s v="586"/>
        <s v="071"/>
        <s v="551"/>
        <s v="531"/>
        <s v="242"/>
        <s v="246"/>
        <s v="269"/>
        <s v="266"/>
        <s v="244"/>
        <s v="573"/>
        <s v="189"/>
        <s v="142"/>
        <s v="083"/>
        <s v="151"/>
        <s v="183"/>
        <s v="593"/>
        <s v="611"/>
        <s v="218"/>
        <s v="079"/>
        <s v="761"/>
        <s v="112"/>
        <s v="311"/>
        <s v="605"/>
        <s v="219"/>
        <s v="145"/>
        <s v="111"/>
        <s v="682"/>
        <s v="789"/>
        <s v="078"/>
        <s v="121"/>
        <s v="119"/>
        <s v="259"/>
        <s v="077"/>
        <s v="585"/>
        <s v="579"/>
        <s v="076"/>
        <s v="821"/>
        <s v="601"/>
        <s v="329"/>
        <s v="541"/>
        <s v="929"/>
        <s v="072"/>
        <s v="066"/>
        <s v="133"/>
        <s v="075"/>
        <s v="245"/>
        <s v="249"/>
        <s v="772"/>
        <s v="854"/>
        <s v="559"/>
        <s v="901"/>
        <s v="853"/>
        <s v="608"/>
        <s v="833"/>
        <s v="441"/>
        <s v="522"/>
        <s v="543"/>
        <s v="674"/>
        <s v="131"/>
        <s v="328"/>
        <s v="722"/>
        <s v="724"/>
        <s v="727"/>
        <s v="836"/>
        <s v="073"/>
        <s v="074"/>
        <s v="122"/>
        <s v="606"/>
        <s v="097"/>
        <s v="248"/>
        <s v="103"/>
        <s v="764"/>
        <s v="123"/>
        <s v="099"/>
        <s v="129"/>
        <s v="361"/>
        <s v="581"/>
        <s v="752"/>
        <s v="763"/>
        <s v="771"/>
        <s v="769"/>
      </sharedItems>
    </cacheField>
    <cacheField name="産業分類" numFmtId="0" sqlType="-9">
      <sharedItems count="107">
        <s v="美容業"/>
        <s v="喫茶店"/>
        <s v="貸家業，貸間業"/>
        <s v="理容業"/>
        <s v="療術業"/>
        <s v="専門料理店"/>
        <s v="自動車小売業"/>
        <s v="土木工事業（舗装工事業を除く）"/>
        <s v="教養・技能教授業"/>
        <s v="他に分類されない小売業"/>
        <s v="木造建築工事業"/>
        <s v="建築工事業（木造建築工事業を除く）"/>
        <s v="電気工事業"/>
        <s v="酒場，ビヤホール"/>
        <s v="医薬品・化粧品小売業"/>
        <s v="不動産賃貸業（貸家業，貸間業を除く）"/>
        <s v="土木建築サービス業"/>
        <s v="陶磁器・同関連製品製造業"/>
        <s v="自動車整備業"/>
        <s v="その他の飲食料品小売業"/>
        <s v="外衣・シャツ製造業（和式を除く）"/>
        <s v="バー，キャバレー，ナイトクラブ"/>
        <s v="洗濯業"/>
        <s v="学習塾"/>
        <s v="駐車場業"/>
        <s v="旅館，ホテル"/>
        <s v="菓子・パン小売業"/>
        <s v="大工工事業"/>
        <s v="家具・建具・じゅう器等卸売業"/>
        <s v="建築材料卸売業"/>
        <s v="洋食器・刃物・手道具・金物類製造業"/>
        <s v="金属被覆・彫刻業，熱処理業（ほうろう鉄器を除く）"/>
        <s v="その他の生産用機械・同部分品製造業"/>
        <s v="金属加工機械製造業"/>
        <s v="建設用・建築用金属製品製造業（製缶板金業を含む）"/>
        <s v="婦人・子供服小売業"/>
        <s v="その他のプラスチック製品製造業"/>
        <s v="紙製造業"/>
        <s v="管工事業（さく井工事業を除く）"/>
        <s v="印刷業"/>
        <s v="工業用プラスチック製品製造業"/>
        <s v="機械器具小売業（自動車，自転車を除く）"/>
        <s v="通信販売・訪問販売小売業"/>
        <s v="骨材・石工品等製造業"/>
        <s v="その他の職別工事業"/>
        <s v="食堂，レストラン（専門料理店を除く）"/>
        <s v="織物業"/>
        <s v="自動車・同附属品製造業"/>
        <s v="燃料小売業"/>
        <s v="その他の窯業・土石製品製造業"/>
        <s v="紙製容器製造業"/>
        <s v="製糸業，紡績業，化学繊維・ねん糸等製造業"/>
        <s v="不動産代理業・仲介業"/>
        <s v="その他の洗濯・理容・美容・浴場業"/>
        <s v="床・内装工事業"/>
        <s v="製材業，木製品製造業"/>
        <s v="その他の繊維製品製造業"/>
        <s v="その他のはん用機械・同部分品製造業"/>
        <s v="塗装工事業"/>
        <s v="酒小売業"/>
        <s v="その他の織物・衣服・身の回り品小売業"/>
        <s v="板金・金物工事業"/>
        <s v="社会教育"/>
        <s v="家具・建具・畳小売業"/>
        <s v="他に分類されない製造業"/>
        <s v="産業機械器具卸売業"/>
        <s v="他に分類されない事業サービス業"/>
        <s v="とび・土工・コンクリート工事業"/>
        <s v="建築リフォーム工事業"/>
        <s v="建具製造業"/>
        <s v="左官工事業"/>
        <s v="金属素形材製品製造業"/>
        <s v="その他の金属製品製造業"/>
        <s v="配達飲食サービス業"/>
        <s v="老人福祉・介護事業"/>
        <s v="他に分類されない卸売業"/>
        <s v="機械修理業（電気機械器具を除く）"/>
        <s v="児童福祉事業"/>
        <s v="写真機・時計・眼鏡小売業"/>
        <s v="歯科診療所"/>
        <s v="一般貨物自動車運送業"/>
        <s v="食料・飲料卸売業"/>
        <s v="電気機械器具卸売業"/>
        <s v="保険媒介代理業"/>
        <s v="家具製造業"/>
        <s v="畳等生活雑貨製品製造業"/>
        <s v="公証人役場，司法書士事務所，土地家屋調査士事務所"/>
        <s v="公認会計士事務所，税理士事務所"/>
        <s v="著述・芸術家業"/>
        <s v="医療に附帯するサービス業"/>
        <s v="鉄骨・鉄筋工事業"/>
        <s v="石工・れんが・タイル・ブロック工事業"/>
        <s v="造作材・合板・建築用組立材料製造業"/>
        <s v="書籍・文房具小売業"/>
        <s v="パン・菓子製造業"/>
        <s v="ボルト・ナット・リベット・小ねじ・木ねじ等製造業"/>
        <s v="茶・コーヒー製造業（清涼飲料を除く）"/>
        <s v="すし店"/>
        <s v="木製容器製造業（竹，とうを含む）"/>
        <s v="その他の食料品製造業"/>
        <s v="その他の木製品製造業（竹，とうを含む）"/>
        <s v="上水道業"/>
        <s v="各種食料品小売業"/>
        <s v="簡易宿所"/>
        <s v="そば・うどん店"/>
        <s v="持ち帰り飲食サービス業"/>
        <s v="その他の飲食店"/>
      </sharedItems>
    </cacheField>
    <cacheField name="産業小分類" numFmtId="0" sqlType="-9">
      <sharedItems count="107">
        <s v="783 美容業"/>
        <s v="767 喫茶店"/>
        <s v="692 貸家業，貸間業"/>
        <s v="782 理容業"/>
        <s v="835 療術業"/>
        <s v="762 専門料理店"/>
        <s v="591 自動車小売業"/>
        <s v="062 土木工事業（舗装工事業を除く）"/>
        <s v="824 教養・技能教授業"/>
        <s v="609 他に分類されない小売業"/>
        <s v="065 木造建築工事業"/>
        <s v="064 建築工事業（木造建築工事業を除く）"/>
        <s v="081 電気工事業"/>
        <s v="765 酒場，ビヤホール"/>
        <s v="603 医薬品・化粧品小売業"/>
        <s v="691 不動産賃貸業（貸家業，貸間業を除く）"/>
        <s v="742 土木建築サービス業"/>
        <s v="214 陶磁器・同関連製品製造業"/>
        <s v="891 自動車整備業"/>
        <s v="589 その他の飲食料品小売業"/>
        <s v="116 外衣・シャツ製造業（和式を除く）"/>
        <s v="766 バー，キャバレー，ナイトクラブ"/>
        <s v="781 洗濯業"/>
        <s v="823 学習塾"/>
        <s v="693 駐車場業"/>
        <s v="751 旅館，ホテル"/>
        <s v="586 菓子・パン小売業"/>
        <s v="071 大工工事業"/>
        <s v="551 家具・建具・じゅう器等卸売業"/>
        <s v="531 建築材料卸売業"/>
        <s v="242 洋食器・刃物・手道具・金物類製造業"/>
        <s v="246 金属被覆・彫刻業，熱処理業（ほうろう鉄器を除く）"/>
        <s v="269 その他の生産用機械・同部分品製造業"/>
        <s v="266 金属加工機械製造業"/>
        <s v="244 建設用・建築用金属製品製造業（製缶板金業を含む）"/>
        <s v="573 婦人・子供服小売業"/>
        <s v="189 その他のプラスチック製品製造業"/>
        <s v="142 紙製造業"/>
        <s v="083 管工事業（さく井工事業を除く）"/>
        <s v="151 印刷業"/>
        <s v="183 工業用プラスチック製品製造業"/>
        <s v="593 機械器具小売業（自動車，自転車を除く）"/>
        <s v="611 通信販売・訪問販売小売業"/>
        <s v="218 骨材・石工品等製造業"/>
        <s v="079 その他の職別工事業"/>
        <s v="761 食堂，レストラン（専門料理店を除く）"/>
        <s v="112 織物業"/>
        <s v="311 自動車・同附属品製造業"/>
        <s v="605 燃料小売業"/>
        <s v="219 その他の窯業・土石製品製造業"/>
        <s v="145 紙製容器製造業"/>
        <s v="111 製糸業，紡績業，化学繊維・ねん糸等製造業"/>
        <s v="682 不動産代理業・仲介業"/>
        <s v="789 その他の洗濯・理容・美容・浴場業"/>
        <s v="078 床・内装工事業"/>
        <s v="121 製材業，木製品製造業"/>
        <s v="119 その他の繊維製品製造業"/>
        <s v="259 その他のはん用機械・同部分品製造業"/>
        <s v="077 塗装工事業"/>
        <s v="585 酒小売業"/>
        <s v="579 その他の織物・衣服・身の回り品小売業"/>
        <s v="076 板金・金物工事業"/>
        <s v="821 社会教育"/>
        <s v="601 家具・建具・畳小売業"/>
        <s v="329 他に分類されない製造業"/>
        <s v="541 産業機械器具卸売業"/>
        <s v="929 他に分類されない事業サービス業"/>
        <s v="072 とび・土工・コンクリート工事業"/>
        <s v="066 建築リフォーム工事業"/>
        <s v="133 建具製造業"/>
        <s v="075 左官工事業"/>
        <s v="245 金属素形材製品製造業"/>
        <s v="249 その他の金属製品製造業"/>
        <s v="772 配達飲食サービス業"/>
        <s v="854 老人福祉・介護事業"/>
        <s v="559 他に分類されない卸売業"/>
        <s v="901 機械修理業（電気機械器具を除く）"/>
        <s v="853 児童福祉事業"/>
        <s v="608 写真機・時計・眼鏡小売業"/>
        <s v="833 歯科診療所"/>
        <s v="441 一般貨物自動車運送業"/>
        <s v="522 食料・飲料卸売業"/>
        <s v="543 電気機械器具卸売業"/>
        <s v="674 保険媒介代理業"/>
        <s v="131 家具製造業"/>
        <s v="328 畳等生活雑貨製品製造業"/>
        <s v="722 公証人役場，司法書士事務所，土地家屋調査士事務所"/>
        <s v="724 公認会計士事務所，税理士事務所"/>
        <s v="727 著述・芸術家業"/>
        <s v="836 医療に附帯するサービス業"/>
        <s v="073 鉄骨・鉄筋工事業"/>
        <s v="074 石工・れんが・タイル・ブロック工事業"/>
        <s v="122 造作材・合板・建築用組立材料製造業"/>
        <s v="606 書籍・文房具小売業"/>
        <s v="097 パン・菓子製造業"/>
        <s v="248 ボルト・ナット・リベット・小ねじ・木ねじ等製造業"/>
        <s v="103 茶・コーヒー製造業（清涼飲料を除く）"/>
        <s v="764 すし店"/>
        <s v="123 木製容器製造業（竹，とうを含む）"/>
        <s v="099 その他の食料品製造業"/>
        <s v="129 その他の木製品製造業（竹，とうを含む）"/>
        <s v="361 上水道業"/>
        <s v="581 各種食料品小売業"/>
        <s v="752 簡易宿所"/>
        <s v="763 そば・うどん店"/>
        <s v="771 持ち帰り飲食サービス業"/>
        <s v="769 その他の飲食店"/>
      </sharedItems>
    </cacheField>
    <cacheField name="rank" numFmtId="0" sqlType="-5">
      <sharedItems containsSemiMixedTypes="0" containsString="0" containsNumber="1" containsInteger="1" minValue="1" maxValue="20" count="20">
        <n v="1"/>
        <n v="2"/>
        <n v="3"/>
        <n v="4"/>
        <n v="6"/>
        <n v="7"/>
        <n v="8"/>
        <n v="9"/>
        <n v="10"/>
        <n v="11"/>
        <n v="12"/>
        <n v="13"/>
        <n v="14"/>
        <n v="15"/>
        <n v="17"/>
        <n v="18"/>
        <n v="19"/>
        <n v="20"/>
        <n v="5"/>
        <n v="16"/>
      </sharedItems>
    </cacheField>
    <cacheField name="総数" numFmtId="0" sqlType="4">
      <sharedItems containsSemiMixedTypes="0" containsString="0" containsNumber="1" containsInteger="1" minValue="2" maxValue="2735" count="142">
        <n v="2735"/>
        <n v="1942"/>
        <n v="1912"/>
        <n v="1530"/>
        <n v="1358"/>
        <n v="1296"/>
        <n v="1218"/>
        <n v="1148"/>
        <n v="1008"/>
        <n v="981"/>
        <n v="890"/>
        <n v="855"/>
        <n v="843"/>
        <n v="771"/>
        <n v="762"/>
        <n v="739"/>
        <n v="735"/>
        <n v="715"/>
        <n v="724"/>
        <n v="561"/>
        <n v="427"/>
        <n v="335"/>
        <n v="326"/>
        <n v="301"/>
        <n v="286"/>
        <n v="222"/>
        <n v="214"/>
        <n v="212"/>
        <n v="209"/>
        <n v="193"/>
        <n v="175"/>
        <n v="174"/>
        <n v="165"/>
        <n v="163"/>
        <n v="151"/>
        <n v="150"/>
        <n v="218"/>
        <n v="185"/>
        <n v="122"/>
        <n v="120"/>
        <n v="119"/>
        <n v="97"/>
        <n v="95"/>
        <n v="92"/>
        <n v="77"/>
        <n v="66"/>
        <n v="62"/>
        <n v="61"/>
        <n v="59"/>
        <n v="50"/>
        <n v="49"/>
        <n v="48"/>
        <n v="164"/>
        <n v="126"/>
        <n v="121"/>
        <n v="111"/>
        <n v="108"/>
        <n v="107"/>
        <n v="106"/>
        <n v="87"/>
        <n v="81"/>
        <n v="79"/>
        <n v="76"/>
        <n v="75"/>
        <n v="72"/>
        <n v="65"/>
        <n v="221"/>
        <n v="117"/>
        <n v="86"/>
        <n v="80"/>
        <n v="58"/>
        <n v="56"/>
        <n v="52"/>
        <n v="46"/>
        <n v="45"/>
        <n v="41"/>
        <n v="39"/>
        <n v="38"/>
        <n v="34"/>
        <n v="152"/>
        <n v="139"/>
        <n v="73"/>
        <n v="55"/>
        <n v="53"/>
        <n v="40"/>
        <n v="37"/>
        <n v="112"/>
        <n v="110"/>
        <n v="70"/>
        <n v="67"/>
        <n v="60"/>
        <n v="43"/>
        <n v="35"/>
        <n v="30"/>
        <n v="29"/>
        <n v="28"/>
        <n v="23"/>
        <n v="18"/>
        <n v="17"/>
        <n v="16"/>
        <n v="14"/>
        <n v="13"/>
        <n v="11"/>
        <n v="10"/>
        <n v="47"/>
        <n v="36"/>
        <n v="32"/>
        <n v="27"/>
        <n v="26"/>
        <n v="24"/>
        <n v="22"/>
        <n v="21"/>
        <n v="20"/>
        <n v="19"/>
        <n v="74"/>
        <n v="54"/>
        <n v="33"/>
        <n v="25"/>
        <n v="31"/>
        <n v="431"/>
        <n v="82"/>
        <n v="159"/>
        <n v="101"/>
        <n v="88"/>
        <n v="69"/>
        <n v="57"/>
        <n v="44"/>
        <n v="12"/>
        <n v="68"/>
        <n v="15"/>
        <n v="42"/>
        <n v="85"/>
        <n v="83"/>
        <n v="51"/>
        <n v="9"/>
        <n v="8"/>
        <n v="7"/>
        <n v="6"/>
        <n v="5"/>
        <n v="4"/>
        <n v="3"/>
        <n v="2"/>
      </sharedItems>
    </cacheField>
    <cacheField name="構成比" numFmtId="0" sqlType="3">
      <sharedItems containsSemiMixedTypes="0" containsString="0" containsNumber="1" minValue="1.04" maxValue="21.42" count="281">
        <n v="4.8600000000000003"/>
        <n v="3.45"/>
        <n v="3.4"/>
        <n v="2.72"/>
        <n v="2.41"/>
        <n v="2.2999999999999998"/>
        <n v="2.16"/>
        <n v="2.04"/>
        <n v="1.79"/>
        <n v="1.74"/>
        <n v="1.58"/>
        <n v="1.52"/>
        <n v="1.5"/>
        <n v="1.37"/>
        <n v="1.35"/>
        <n v="1.31"/>
        <n v="1.27"/>
        <n v="6.16"/>
        <n v="4.78"/>
        <n v="3.64"/>
        <n v="2.85"/>
        <n v="2.78"/>
        <n v="2.56"/>
        <n v="2.4300000000000002"/>
        <n v="1.89"/>
        <n v="1.82"/>
        <n v="1.8"/>
        <n v="1.78"/>
        <n v="1.64"/>
        <n v="1.49"/>
        <n v="1.48"/>
        <n v="1.4"/>
        <n v="1.39"/>
        <n v="1.29"/>
        <n v="1.28"/>
        <n v="5.36"/>
        <n v="4.55"/>
        <n v="3"/>
        <n v="2.95"/>
        <n v="2.93"/>
        <n v="2.39"/>
        <n v="2.34"/>
        <n v="2.2599999999999998"/>
        <n v="1.62"/>
        <n v="1.53"/>
        <n v="1.45"/>
        <n v="1.23"/>
        <n v="1.21"/>
        <n v="1.18"/>
        <n v="4.6100000000000003"/>
        <n v="4.09"/>
        <n v="3.14"/>
        <n v="3.02"/>
        <n v="2.97"/>
        <n v="2.77"/>
        <n v="2.69"/>
        <n v="2.67"/>
        <n v="2.64"/>
        <n v="2.37"/>
        <n v="2.17"/>
        <n v="2.02"/>
        <n v="1.97"/>
        <n v="1.87"/>
        <n v="1.25"/>
        <n v="1.22"/>
        <n v="8.06"/>
        <n v="4.2699999999999996"/>
        <n v="3.87"/>
        <n v="2.92"/>
        <n v="2.88"/>
        <n v="2.63"/>
        <n v="2.12"/>
        <n v="1.9"/>
        <n v="1.75"/>
        <n v="1.68"/>
        <n v="1.42"/>
        <n v="1.24"/>
        <n v="5.08"/>
        <n v="4.6399999999999997"/>
        <n v="3.07"/>
        <n v="2.71"/>
        <n v="2.57"/>
        <n v="2.5099999999999998"/>
        <n v="2.44"/>
        <n v="2.0699999999999998"/>
        <n v="1.84"/>
        <n v="1.77"/>
        <n v="1.6"/>
        <n v="1.54"/>
        <n v="1.34"/>
        <n v="1.3"/>
        <n v="4.96"/>
        <n v="4.88"/>
        <n v="3.37"/>
        <n v="3.1"/>
        <n v="2.66"/>
        <n v="1.91"/>
        <n v="1.55"/>
        <n v="1.51"/>
        <n v="1.33"/>
        <n v="3.85"/>
        <n v="2.31"/>
        <n v="2.1800000000000002"/>
        <n v="2.0499999999999998"/>
        <n v="1.67"/>
        <n v="1.41"/>
        <n v="4.34"/>
        <n v="4.25"/>
        <n v="3.97"/>
        <n v="3.33"/>
        <n v="2.96"/>
        <n v="2.5"/>
        <n v="2.4"/>
        <n v="2.2200000000000002"/>
        <n v="2.0299999999999998"/>
        <n v="1.94"/>
        <n v="1.85"/>
        <n v="1.76"/>
        <n v="1.66"/>
        <n v="1.57"/>
        <n v="4.29"/>
        <n v="3.59"/>
        <n v="3.13"/>
        <n v="3.01"/>
        <n v="2.4900000000000002"/>
        <n v="2.2000000000000002"/>
        <n v="5.04"/>
        <n v="2.79"/>
        <n v="2.73"/>
        <n v="2.25"/>
        <n v="2.11"/>
        <n v="1.98"/>
        <n v="1.7"/>
        <n v="1.36"/>
        <n v="4.68"/>
        <n v="4.3899999999999997"/>
        <n v="3.6"/>
        <n v="3.24"/>
        <n v="2.59"/>
        <n v="2.4500000000000002"/>
        <n v="1.73"/>
        <n v="1.44"/>
        <n v="21.42"/>
        <n v="4.72"/>
        <n v="4.08"/>
        <n v="2.68"/>
        <n v="2.2400000000000002"/>
        <n v="1.99"/>
        <n v="1.19"/>
        <n v="1.1399999999999999"/>
        <n v="1.04"/>
        <n v="5.09"/>
        <n v="3.46"/>
        <n v="3.23"/>
        <n v="2.82"/>
        <n v="2.75"/>
        <n v="2.62"/>
        <n v="2.21"/>
        <n v="1.47"/>
        <n v="6.71"/>
        <n v="4.51"/>
        <n v="3.58"/>
        <n v="3.25"/>
        <n v="3.08"/>
        <n v="2.86"/>
        <n v="2.5299999999999998"/>
        <n v="1.93"/>
        <n v="1.65"/>
        <n v="1.43"/>
        <n v="1.38"/>
        <n v="1.32"/>
        <n v="4.17"/>
        <n v="3.36"/>
        <n v="2.5499999999999998"/>
        <n v="2.3199999999999998"/>
        <n v="2.09"/>
        <n v="6.58"/>
        <n v="4.74"/>
        <n v="3.68"/>
        <n v="3.09"/>
        <n v="5.95"/>
        <n v="4.3"/>
        <n v="3.52"/>
        <n v="3.19"/>
        <n v="2.42"/>
        <n v="6.04"/>
        <n v="4.8899999999999997"/>
        <n v="3.83"/>
        <n v="3.44"/>
        <n v="2.94"/>
        <n v="2.33"/>
        <n v="2.06"/>
        <n v="2"/>
        <n v="1.61"/>
        <n v="1.56"/>
        <n v="6.11"/>
        <n v="3.75"/>
        <n v="2.65"/>
        <n v="2.58"/>
        <n v="1.69"/>
        <n v="4.91"/>
        <n v="4.1100000000000003"/>
        <n v="3.65"/>
        <n v="2.2799999999999998"/>
        <n v="1.83"/>
        <n v="1.71"/>
        <n v="6.92"/>
        <n v="5.16"/>
        <n v="4.8099999999999996"/>
        <n v="3.17"/>
        <n v="3.05"/>
        <n v="2.81"/>
        <n v="1.88"/>
        <n v="1.17"/>
        <n v="5.25"/>
        <n v="3.56"/>
        <n v="4.43"/>
        <n v="3.41"/>
        <n v="2.9"/>
        <n v="6.48"/>
        <n v="3.93"/>
        <n v="3.34"/>
        <n v="2.36"/>
        <n v="1.96"/>
        <n v="4.42"/>
        <n v="3.31"/>
        <n v="2.76"/>
        <n v="5"/>
        <n v="4.32"/>
        <n v="3.86"/>
        <n v="2.27"/>
        <n v="1.59"/>
        <n v="4.95"/>
        <n v="3.47"/>
        <n v="2.48"/>
        <n v="2.98"/>
        <n v="8.1199999999999992"/>
        <n v="5.18"/>
        <n v="3.28"/>
        <n v="3.11"/>
        <n v="5.12"/>
        <n v="4.45"/>
        <n v="4.01"/>
        <n v="3.12"/>
        <n v="1.1100000000000001"/>
        <n v="4.5599999999999996"/>
        <n v="4.21"/>
        <n v="3.51"/>
        <n v="9.9"/>
        <n v="5.69"/>
        <n v="4.46"/>
        <n v="3.22"/>
        <n v="2.23"/>
        <n v="5.74"/>
        <n v="4.0999999999999996"/>
        <n v="2.46"/>
        <n v="7.01"/>
        <n v="5.0999999999999996"/>
        <n v="3.82"/>
        <n v="3.18"/>
        <n v="4.9400000000000004"/>
        <n v="4.18"/>
        <n v="3.04"/>
        <n v="5.38"/>
        <n v="4.62"/>
        <n v="3.63"/>
        <n v="3.3"/>
        <n v="8.7799999999999994"/>
        <n v="5.96"/>
        <n v="4.7"/>
        <n v="2.19"/>
        <n v="11.3"/>
        <n v="6.09"/>
        <n v="5.22"/>
        <n v="4.3499999999999996"/>
        <n v="3.48"/>
        <n v="6.14"/>
        <n v="14.09"/>
        <n v="10.07"/>
        <n v="4.03"/>
        <n v="2.0099999999999998"/>
      </sharedItems>
    </cacheField>
    <cacheField name="総数（個人）" numFmtId="0" sqlType="4">
      <sharedItems containsSemiMixedTypes="0" containsString="0" containsNumber="1" containsInteger="1" minValue="0" maxValue="2498" count="131">
        <n v="2498"/>
        <n v="1798"/>
        <n v="1196"/>
        <n v="1481"/>
        <n v="1458"/>
        <n v="1097"/>
        <n v="723"/>
        <n v="253"/>
        <n v="924"/>
        <n v="657"/>
        <n v="498"/>
        <n v="211"/>
        <n v="336"/>
        <n v="788"/>
        <n v="333"/>
        <n v="205"/>
        <n v="295"/>
        <n v="445"/>
        <n v="546"/>
        <n v="458"/>
        <n v="474"/>
        <n v="510"/>
        <n v="396"/>
        <n v="272"/>
        <n v="304"/>
        <n v="83"/>
        <n v="276"/>
        <n v="127"/>
        <n v="111"/>
        <n v="105"/>
        <n v="190"/>
        <n v="191"/>
        <n v="135"/>
        <n v="52"/>
        <n v="64"/>
        <n v="18"/>
        <n v="49"/>
        <n v="102"/>
        <n v="101"/>
        <n v="76"/>
        <n v="195"/>
        <n v="115"/>
        <n v="118"/>
        <n v="104"/>
        <n v="112"/>
        <n v="79"/>
        <n v="75"/>
        <n v="63"/>
        <n v="7"/>
        <n v="16"/>
        <n v="32"/>
        <n v="50"/>
        <n v="27"/>
        <n v="45"/>
        <n v="13"/>
        <n v="29"/>
        <n v="170"/>
        <n v="117"/>
        <n v="91"/>
        <n v="77"/>
        <n v="110"/>
        <n v="17"/>
        <n v="98"/>
        <n v="56"/>
        <n v="81"/>
        <n v="69"/>
        <n v="41"/>
        <n v="33"/>
        <n v="30"/>
        <n v="39"/>
        <n v="31"/>
        <n v="40"/>
        <n v="20"/>
        <n v="126"/>
        <n v="100"/>
        <n v="74"/>
        <n v="28"/>
        <n v="47"/>
        <n v="9"/>
        <n v="8"/>
        <n v="5"/>
        <n v="35"/>
        <n v="14"/>
        <n v="15"/>
        <n v="19"/>
        <n v="94"/>
        <n v="134"/>
        <n v="70"/>
        <n v="51"/>
        <n v="67"/>
        <n v="72"/>
        <n v="61"/>
        <n v="38"/>
        <n v="23"/>
        <n v="22"/>
        <n v="36"/>
        <n v="97"/>
        <n v="103"/>
        <n v="54"/>
        <n v="68"/>
        <n v="59"/>
        <n v="25"/>
        <n v="11"/>
        <n v="21"/>
        <n v="12"/>
        <n v="3"/>
        <n v="10"/>
        <n v="4"/>
        <n v="6"/>
        <n v="42"/>
        <n v="24"/>
        <n v="65"/>
        <n v="60"/>
        <n v="37"/>
        <n v="43"/>
        <n v="46"/>
        <n v="279"/>
        <n v="34"/>
        <n v="2"/>
        <n v="142"/>
        <n v="86"/>
        <n v="66"/>
        <n v="71"/>
        <n v="80"/>
        <n v="108"/>
        <n v="55"/>
        <n v="53"/>
        <n v="26"/>
        <n v="48"/>
        <n v="1"/>
        <n v="0"/>
      </sharedItems>
    </cacheField>
    <cacheField name="構成比（個人）" numFmtId="0" sqlType="3">
      <sharedItems containsSemiMixedTypes="0" containsString="0" containsNumber="1" minValue="0" maxValue="24.07" count="399">
        <n v="7.95"/>
        <n v="5.72"/>
        <n v="3.81"/>
        <n v="4.71"/>
        <n v="4.6399999999999997"/>
        <n v="3.49"/>
        <n v="2.2999999999999998"/>
        <n v="0.81"/>
        <n v="2.94"/>
        <n v="2.09"/>
        <n v="1.58"/>
        <n v="0.67"/>
        <n v="1.07"/>
        <n v="2.5099999999999998"/>
        <n v="1.06"/>
        <n v="0.65"/>
        <n v="0.94"/>
        <n v="1.42"/>
        <n v="1.74"/>
        <n v="1.46"/>
        <n v="7.92"/>
        <n v="8.52"/>
        <n v="6.62"/>
        <n v="4.54"/>
        <n v="5.08"/>
        <n v="1.39"/>
        <n v="4.6100000000000003"/>
        <n v="2.12"/>
        <n v="1.85"/>
        <n v="1.75"/>
        <n v="3.17"/>
        <n v="3.19"/>
        <n v="2.2599999999999998"/>
        <n v="0.87"/>
        <n v="0.3"/>
        <n v="0.82"/>
        <n v="1.7"/>
        <n v="1.69"/>
        <n v="1.27"/>
        <n v="8.8800000000000008"/>
        <n v="5.23"/>
        <n v="5.37"/>
        <n v="4.7300000000000004"/>
        <n v="2.37"/>
        <n v="5.0999999999999996"/>
        <n v="3.6"/>
        <n v="3.41"/>
        <n v="2.87"/>
        <n v="3.46"/>
        <n v="0.32"/>
        <n v="0.73"/>
        <n v="2.2799999999999998"/>
        <n v="1.23"/>
        <n v="2.0499999999999998"/>
        <n v="0.59"/>
        <n v="1.32"/>
        <n v="7.18"/>
        <n v="4.9400000000000004"/>
        <n v="3.84"/>
        <n v="3.25"/>
        <n v="4.3899999999999997"/>
        <n v="4.6500000000000004"/>
        <n v="0.72"/>
        <n v="4.1399999999999997"/>
        <n v="3.42"/>
        <n v="2.92"/>
        <n v="1.73"/>
        <n v="0.55000000000000004"/>
        <n v="1.65"/>
        <n v="1.31"/>
        <n v="0.84"/>
        <n v="9.26"/>
        <n v="7.35"/>
        <n v="3.31"/>
        <n v="5.95"/>
        <n v="5.66"/>
        <n v="5.44"/>
        <n v="2.06"/>
        <n v="3.45"/>
        <n v="0.66"/>
        <n v="0.37"/>
        <n v="2.57"/>
        <n v="1.03"/>
        <n v="1.18"/>
        <n v="1.1000000000000001"/>
        <n v="1.4"/>
        <n v="5.25"/>
        <n v="7.49"/>
        <n v="3.91"/>
        <n v="3.58"/>
        <n v="2.85"/>
        <n v="3.75"/>
        <n v="4.0199999999999996"/>
        <n v="2.29"/>
        <n v="0.95"/>
        <n v="2.52"/>
        <n v="1.1200000000000001"/>
        <n v="1.68"/>
        <n v="0.45"/>
        <n v="1.29"/>
        <n v="2.0099999999999998"/>
        <n v="1.57"/>
        <n v="7.3"/>
        <n v="7.75"/>
        <n v="4.0599999999999996"/>
        <n v="5.12"/>
        <n v="1.35"/>
        <n v="4.4400000000000004"/>
        <n v="3.39"/>
        <n v="1.43"/>
        <n v="2.11"/>
        <n v="1.88"/>
        <n v="1.1299999999999999"/>
        <n v="2.33"/>
        <n v="2.41"/>
        <n v="0.68"/>
        <n v="0.83"/>
        <n v="5.82"/>
        <n v="2.59"/>
        <n v="2.8"/>
        <n v="3.23"/>
        <n v="3.66"/>
        <n v="3.02"/>
        <n v="2.16"/>
        <n v="1.94"/>
        <n v="1.08"/>
        <n v="0.86"/>
        <n v="6.79"/>
        <n v="6.14"/>
        <n v="5.65"/>
        <n v="4.04"/>
        <n v="2.75"/>
        <n v="2.58"/>
        <n v="3.88"/>
        <n v="2.42"/>
        <n v="2.1"/>
        <n v="1.45"/>
        <n v="6.83"/>
        <n v="6.3"/>
        <n v="3.89"/>
        <n v="5.36"/>
        <n v="4.0999999999999996"/>
        <n v="4.3099999999999996"/>
        <n v="2.63"/>
        <n v="2.84"/>
        <n v="1.37"/>
        <n v="0.74"/>
        <n v="2"/>
        <n v="2.21"/>
        <n v="0.42"/>
        <n v="7.69"/>
        <n v="6.2"/>
        <n v="4.4800000000000004"/>
        <n v="4.3600000000000003"/>
        <n v="3.21"/>
        <n v="3.1"/>
        <n v="0.92"/>
        <n v="1.49"/>
        <n v="2.64"/>
        <n v="2.1800000000000002"/>
        <n v="0.34"/>
        <n v="1.95"/>
        <n v="0.69"/>
        <n v="0.8"/>
        <n v="7.54"/>
        <n v="5.5"/>
        <n v="5.88"/>
        <n v="4.99"/>
        <n v="4.22"/>
        <n v="1.02"/>
        <n v="2.69"/>
        <n v="3.71"/>
        <n v="1.53"/>
        <n v="2.81"/>
        <n v="2.17"/>
        <n v="1.41"/>
        <n v="0.51"/>
        <n v="0.77"/>
        <n v="0.38"/>
        <n v="0.64"/>
        <n v="24.07"/>
        <n v="6.82"/>
        <n v="4.4000000000000004"/>
        <n v="1.38"/>
        <n v="1.21"/>
        <n v="2.93"/>
        <n v="1.47"/>
        <n v="1.55"/>
        <n v="1.64"/>
        <n v="0.78"/>
        <n v="0.17"/>
        <n v="8.8000000000000007"/>
        <n v="6.32"/>
        <n v="3.35"/>
        <n v="5.33"/>
        <n v="4.09"/>
        <n v="4.96"/>
        <n v="1.3"/>
        <n v="2.67"/>
        <n v="2.23"/>
        <n v="1.05"/>
        <n v="0.5"/>
        <n v="0.56000000000000005"/>
        <n v="11.16"/>
        <n v="5.68"/>
        <n v="5.48"/>
        <n v="5.79"/>
        <n v="4.24"/>
        <n v="2.48"/>
        <n v="0.52"/>
        <n v="1.76"/>
        <n v="2.38"/>
        <n v="0.93"/>
        <n v="1.1399999999999999"/>
        <n v="1.34"/>
        <n v="2.5299999999999998"/>
        <n v="3.79"/>
        <n v="4.6900000000000004"/>
        <n v="2.35"/>
        <n v="2.89"/>
        <n v="2.71"/>
        <n v="3.61"/>
        <n v="3.07"/>
        <n v="1.26"/>
        <n v="1.81"/>
        <n v="1.44"/>
        <n v="1.62"/>
        <n v="1.99"/>
        <n v="9.02"/>
        <n v="9.2100000000000009"/>
        <n v="6.53"/>
        <n v="1.1499999999999999"/>
        <n v="1.54"/>
        <n v="2.5"/>
        <n v="0.57999999999999996"/>
        <n v="0.96"/>
        <n v="8.85"/>
        <n v="6.51"/>
        <n v="5.34"/>
        <n v="5.18"/>
        <n v="4.34"/>
        <n v="4.67"/>
        <n v="3.67"/>
        <n v="3.51"/>
        <n v="1.17"/>
        <n v="0.33"/>
        <n v="1.84"/>
        <n v="1.67"/>
        <n v="3"/>
        <n v="10.210000000000001"/>
        <n v="7.51"/>
        <n v="6.61"/>
        <n v="5.71"/>
        <n v="4.8"/>
        <n v="2.7"/>
        <n v="3.9"/>
        <n v="0.9"/>
        <n v="1.2"/>
        <n v="3.3"/>
        <n v="1.5"/>
        <n v="0.6"/>
        <n v="1.8"/>
        <n v="6.96"/>
        <n v="6.72"/>
        <n v="3.64"/>
        <n v="3.32"/>
        <n v="1.86"/>
        <n v="2.27"/>
        <n v="0.24"/>
        <n v="9.33"/>
        <n v="5.76"/>
        <n v="5.3"/>
        <n v="4.84"/>
        <n v="3.69"/>
        <n v="4.1500000000000004"/>
        <n v="1.04"/>
        <n v="3.11"/>
        <n v="0.46"/>
        <n v="2.65"/>
        <n v="1.61"/>
        <n v="1.96"/>
        <n v="7.71"/>
        <n v="5.59"/>
        <n v="6.17"/>
        <n v="4.43"/>
        <n v="5.01"/>
        <n v="2.31"/>
        <n v="3.47"/>
        <n v="1.1599999999999999"/>
        <n v="9.51"/>
        <n v="5.8"/>
        <n v="2.78"/>
        <n v="0.23"/>
        <n v="0.7"/>
        <n v="8.57"/>
        <n v="6.07"/>
        <n v="4.29"/>
        <n v="5"/>
        <n v="0.36"/>
        <n v="2.14"/>
        <n v="3.57"/>
        <n v="0.71"/>
        <n v="1.79"/>
        <n v="7.03"/>
        <n v="7.34"/>
        <n v="0.31"/>
        <n v="5.2"/>
        <n v="3.36"/>
        <n v="1.83"/>
        <n v="3.06"/>
        <n v="0.61"/>
        <n v="1.22"/>
        <n v="0"/>
        <n v="2.4500000000000002"/>
        <n v="11.27"/>
        <n v="7.27"/>
        <n v="2.5499999999999998"/>
        <n v="1.0900000000000001"/>
        <n v="1.82"/>
        <n v="5.41"/>
        <n v="6.31"/>
        <n v="7.21"/>
        <n v="4.5"/>
        <n v="7.17"/>
        <n v="6.42"/>
        <n v="6.04"/>
        <n v="5.28"/>
        <n v="3.77"/>
        <n v="1.89"/>
        <n v="0.75"/>
        <n v="1.51"/>
        <n v="5.04"/>
        <n v="7.39"/>
        <n v="4.55"/>
        <n v="0.56999999999999995"/>
        <n v="7.99"/>
        <n v="6.8"/>
        <n v="2.0699999999999998"/>
        <n v="2.66"/>
        <n v="2.96"/>
        <n v="0.89"/>
        <n v="1.48"/>
        <n v="6.48"/>
        <n v="6.88"/>
        <n v="5.67"/>
        <n v="4.8600000000000003"/>
        <n v="3.24"/>
        <n v="2.4300000000000002"/>
        <n v="2.02"/>
        <n v="2.83"/>
        <n v="7.65"/>
        <n v="5.81"/>
        <n v="3.98"/>
        <n v="6.12"/>
        <n v="4.28"/>
        <n v="16.59"/>
        <n v="7.62"/>
        <n v="5.83"/>
        <n v="5.38"/>
        <n v="2.2400000000000002"/>
        <n v="3.14"/>
        <n v="9.86"/>
        <n v="7.04"/>
        <n v="4.2300000000000004"/>
        <n v="5.63"/>
        <n v="2.82"/>
        <n v="11"/>
        <n v="8"/>
        <n v="1"/>
        <n v="4"/>
        <n v="7.93"/>
        <n v="6.1"/>
        <n v="4.88"/>
        <n v="3.05"/>
        <n v="2.44"/>
        <n v="7.87"/>
        <n v="4.49"/>
        <n v="2.25"/>
        <n v="3.37"/>
        <n v="6.25"/>
        <n v="4.8099999999999996"/>
        <n v="2.4"/>
        <n v="4.33"/>
        <n v="2.88"/>
        <n v="1.92"/>
        <n v="9.9499999999999993"/>
        <n v="5.24"/>
        <n v="2.62"/>
        <n v="1.33"/>
        <n v="10.86"/>
        <n v="1.36"/>
        <n v="7.24"/>
        <n v="4.9800000000000004"/>
        <n v="4.07"/>
        <n v="17.309999999999999"/>
        <n v="14.42"/>
        <n v="8.65"/>
        <n v="5.77"/>
        <n v="3.85"/>
      </sharedItems>
    </cacheField>
    <cacheField name="総数（法人）" numFmtId="0" sqlType="4">
      <sharedItems containsSemiMixedTypes="0" containsString="0" containsNumber="1" containsInteger="1" minValue="0" maxValue="965" count="88">
        <n v="237"/>
        <n v="140"/>
        <n v="708"/>
        <n v="49"/>
        <n v="72"/>
        <n v="261"/>
        <n v="573"/>
        <n v="965"/>
        <n v="221"/>
        <n v="350"/>
        <n v="483"/>
        <n v="679"/>
        <n v="519"/>
        <n v="55"/>
        <n v="438"/>
        <n v="565"/>
        <n v="442"/>
        <n v="294"/>
        <n v="189"/>
        <n v="256"/>
        <n v="250"/>
        <n v="51"/>
        <n v="31"/>
        <n v="63"/>
        <n v="22"/>
        <n v="218"/>
        <n v="10"/>
        <n v="95"/>
        <n v="103"/>
        <n v="107"/>
        <n v="19"/>
        <n v="18"/>
        <n v="58"/>
        <n v="119"/>
        <n v="110"/>
        <n v="147"/>
        <n v="116"/>
        <n v="61"/>
        <n v="50"/>
        <n v="74"/>
        <n v="23"/>
        <n v="66"/>
        <n v="4"/>
        <n v="16"/>
        <n v="67"/>
        <n v="7"/>
        <n v="20"/>
        <n v="29"/>
        <n v="1"/>
        <n v="59"/>
        <n v="30"/>
        <n v="32"/>
        <n v="5"/>
        <n v="36"/>
        <n v="15"/>
        <n v="47"/>
        <n v="35"/>
        <n v="44"/>
        <n v="91"/>
        <n v="9"/>
        <n v="39"/>
        <n v="6"/>
        <n v="42"/>
        <n v="40"/>
        <n v="52"/>
        <n v="25"/>
        <n v="17"/>
        <n v="3"/>
        <n v="43"/>
        <n v="11"/>
        <n v="38"/>
        <n v="13"/>
        <n v="27"/>
        <n v="26"/>
        <n v="8"/>
        <n v="14"/>
        <n v="24"/>
        <n v="21"/>
        <n v="2"/>
        <n v="12"/>
        <n v="0"/>
        <n v="152"/>
        <n v="34"/>
        <n v="48"/>
        <n v="46"/>
        <n v="37"/>
        <n v="41"/>
        <n v="33"/>
      </sharedItems>
    </cacheField>
    <cacheField name="構成比（法人）" numFmtId="0" sqlType="3">
      <sharedItems containsSemiMixedTypes="0" containsString="0" containsNumber="1" minValue="0" maxValue="18.25" count="288">
        <n v="0.98"/>
        <n v="0.57999999999999996"/>
        <n v="2.92"/>
        <n v="0.2"/>
        <n v="0.3"/>
        <n v="1.08"/>
        <n v="2.37"/>
        <n v="3.98"/>
        <n v="0.91"/>
        <n v="1.44"/>
        <n v="1.99"/>
        <n v="2.8"/>
        <n v="2.14"/>
        <n v="0.23"/>
        <n v="1.81"/>
        <n v="2.33"/>
        <n v="1.82"/>
        <n v="1.21"/>
        <n v="0.78"/>
        <n v="1.06"/>
        <n v="4.41"/>
        <n v="0.9"/>
        <n v="0.55000000000000004"/>
        <n v="1.1100000000000001"/>
        <n v="0.39"/>
        <n v="3.85"/>
        <n v="0.18"/>
        <n v="1.68"/>
        <n v="1.89"/>
        <n v="0.34"/>
        <n v="0.32"/>
        <n v="1.02"/>
        <n v="2.1"/>
        <n v="1.94"/>
        <n v="2.59"/>
        <n v="2.0499999999999998"/>
        <n v="0.88"/>
        <n v="1.31"/>
        <n v="1.26"/>
        <n v="3.61"/>
        <n v="0.22"/>
        <n v="3.67"/>
        <n v="0.38"/>
        <n v="0.99"/>
        <n v="1.1000000000000001"/>
        <n v="1.59"/>
        <n v="0.05"/>
        <n v="3.23"/>
        <n v="2.74"/>
        <n v="1.64"/>
        <n v="1.75"/>
        <n v="1.7"/>
        <n v="0.27"/>
        <n v="1.97"/>
        <n v="1.04"/>
        <n v="0.93"/>
        <n v="2.9"/>
        <n v="2.16"/>
        <n v="2.72"/>
        <n v="0.06"/>
        <n v="5.62"/>
        <n v="0.56000000000000005"/>
        <n v="1.79"/>
        <n v="2.41"/>
        <n v="0.37"/>
        <n v="0.25"/>
        <n v="0.62"/>
        <n v="2.4700000000000002"/>
        <n v="3.21"/>
        <n v="1.54"/>
        <n v="1.17"/>
        <n v="6.93"/>
        <n v="1.24"/>
        <n v="4.45"/>
        <n v="0.36"/>
        <n v="3.14"/>
        <n v="0.8"/>
        <n v="2.77"/>
        <n v="0.95"/>
        <n v="2.63"/>
        <n v="1.61"/>
        <n v="1.0900000000000001"/>
        <n v="5"/>
        <n v="0.43"/>
        <n v="1.46"/>
        <n v="2.2400000000000002"/>
        <n v="0.69"/>
        <n v="0.09"/>
        <n v="3.1"/>
        <n v="2.5"/>
        <n v="1.55"/>
        <n v="3.27"/>
        <n v="2.0699999999999998"/>
        <n v="1.38"/>
        <n v="1.29"/>
        <n v="1.65"/>
        <n v="0.66"/>
        <n v="5.38"/>
        <n v="0.11"/>
        <n v="0.77"/>
        <n v="2.2000000000000002"/>
        <n v="1.32"/>
        <n v="1.98"/>
        <n v="0.33"/>
        <n v="2.31"/>
        <n v="1.87"/>
        <n v="1.43"/>
        <n v="4.59"/>
        <n v="0"/>
        <n v="6.12"/>
        <n v="1.1299999999999999"/>
        <n v="4.54"/>
        <n v="2.04"/>
        <n v="2.27"/>
        <n v="2.95"/>
        <n v="1.36"/>
        <n v="2.4900000000000002"/>
        <n v="0.68"/>
        <n v="1.19"/>
        <n v="0.26"/>
        <n v="2.25"/>
        <n v="0.13"/>
        <n v="1.72"/>
        <n v="2.65"/>
        <n v="2.91"/>
        <n v="0.79"/>
        <n v="2.38"/>
        <n v="0.53"/>
        <n v="0.89"/>
        <n v="2.13"/>
        <n v="2.66"/>
        <n v="4.4400000000000004"/>
        <n v="0.71"/>
        <n v="2.84"/>
        <n v="1.95"/>
        <n v="3.37"/>
        <n v="1.01"/>
        <n v="3.02"/>
        <n v="0.67"/>
        <n v="0.5"/>
        <n v="1.34"/>
        <n v="5.36"/>
        <n v="3.18"/>
        <n v="0.84"/>
        <n v="2.35"/>
        <n v="2.68"/>
        <n v="2.0099999999999998"/>
        <n v="2.5099999999999998"/>
        <n v="2.1800000000000002"/>
        <n v="18.25"/>
        <n v="6"/>
        <n v="4.08"/>
        <n v="0.24"/>
        <n v="3.24"/>
        <n v="0.72"/>
        <n v="1.56"/>
        <n v="1.2"/>
        <n v="0.48"/>
        <n v="0.4"/>
        <n v="0.73"/>
        <n v="1.47"/>
        <n v="1"/>
        <n v="3.2"/>
        <n v="3.07"/>
        <n v="0.87"/>
        <n v="7.0000000000000007E-2"/>
        <n v="1.6"/>
        <n v="1.93"/>
        <n v="1.4"/>
        <n v="1.69"/>
        <n v="1.33"/>
        <n v="4.95"/>
        <n v="3.5"/>
        <n v="2.29"/>
        <n v="1.45"/>
        <n v="2.5299999999999998"/>
        <n v="0.97"/>
        <n v="7.31"/>
        <n v="3.32"/>
        <n v="1.66"/>
        <n v="2.99"/>
        <n v="4.0999999999999996"/>
        <n v="4.3"/>
        <n v="1.37"/>
        <n v="2.54"/>
        <n v="0.59"/>
        <n v="2.73"/>
        <n v="2.34"/>
        <n v="1.76"/>
        <n v="2.15"/>
        <n v="4.76"/>
        <n v="3.74"/>
        <n v="4.42"/>
        <n v="9.14"/>
        <n v="0.28999999999999998"/>
        <n v="1.1399999999999999"/>
        <n v="0.56999999999999995"/>
        <n v="2.57"/>
        <n v="3.43"/>
        <n v="1.71"/>
        <n v="2"/>
        <n v="2.86"/>
        <n v="0.86"/>
        <n v="0.19"/>
        <n v="6.07"/>
        <n v="4.17"/>
        <n v="3.04"/>
        <n v="1.52"/>
        <n v="0.42"/>
        <n v="0.21"/>
        <n v="2.71"/>
        <n v="5.01"/>
        <n v="2.2999999999999998"/>
        <n v="3.55"/>
        <n v="2.09"/>
        <n v="3.97"/>
        <n v="0.63"/>
        <n v="2.08"/>
        <n v="3.87"/>
        <n v="0.6"/>
        <n v="4.46"/>
        <n v="2.98"/>
        <n v="3.57"/>
        <n v="4.37"/>
        <n v="3.4"/>
        <n v="2.67"/>
        <n v="0.49"/>
        <n v="0.81"/>
        <n v="2.82"/>
        <n v="4.84"/>
        <n v="2.42"/>
        <n v="1.22"/>
        <n v="7.72"/>
        <n v="0.41"/>
        <n v="2.44"/>
        <n v="4.47"/>
        <n v="2.85"/>
        <n v="3.66"/>
        <n v="6.98"/>
        <n v="4.1900000000000004"/>
        <n v="6.51"/>
        <n v="0.47"/>
        <n v="4.6500000000000004"/>
        <n v="2.79"/>
        <n v="1.86"/>
        <n v="3.26"/>
        <n v="3.17"/>
        <n v="9.52"/>
        <n v="6.35"/>
        <n v="1.74"/>
        <n v="1.1599999999999999"/>
        <n v="4.07"/>
        <n v="3.95"/>
        <n v="6.58"/>
        <n v="5.26"/>
        <n v="7.32"/>
        <n v="1.63"/>
        <n v="3.25"/>
        <n v="15.35"/>
        <n v="3.72"/>
        <n v="3.76"/>
        <n v="0.54"/>
        <n v="0.45"/>
        <n v="2.23"/>
        <n v="7.14"/>
        <n v="3.13"/>
        <n v="3.39"/>
        <n v="2.2599999999999998"/>
        <n v="8.16"/>
        <n v="9.09"/>
        <n v="3.64"/>
        <n v="5.45"/>
        <n v="1.05"/>
        <n v="2.11"/>
        <n v="6.32"/>
        <n v="3.16"/>
        <n v="4.21"/>
        <n v="10.53"/>
        <n v="3.3"/>
        <n v="4.4000000000000004"/>
        <n v="5.49"/>
        <n v="7.69"/>
        <n v="6.59"/>
        <n v="13.49"/>
        <n v="15.79"/>
        <n v="8.81"/>
        <n v="2.52"/>
        <n v="11.63"/>
      </sharedItems>
    </cacheField>
    <cacheField name="総数（法人以外の団体）" numFmtId="0" sqlType="4">
      <sharedItems containsSemiMixedTypes="0" containsString="0" containsNumber="1" containsInteger="1" minValue="0" maxValue="5" count="6">
        <n v="0"/>
        <n v="4"/>
        <n v="5"/>
        <n v="3"/>
        <n v="1"/>
        <n v="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45">
  <r>
    <x v="0"/>
    <s v="岐阜県"/>
    <x v="0"/>
    <x v="0"/>
    <n v="24"/>
    <n v="0.04"/>
    <n v="6"/>
    <n v="0.02"/>
    <n v="18"/>
    <n v="7.0000000000000007E-2"/>
    <x v="0"/>
  </r>
  <r>
    <x v="0"/>
    <s v="岐阜県"/>
    <x v="0"/>
    <x v="1"/>
    <n v="8117"/>
    <n v="14.42"/>
    <n v="3189"/>
    <n v="10.15"/>
    <n v="4928"/>
    <n v="20.34"/>
    <x v="0"/>
  </r>
  <r>
    <x v="0"/>
    <s v="岐阜県"/>
    <x v="0"/>
    <x v="2"/>
    <n v="8108"/>
    <n v="14.4"/>
    <n v="3858"/>
    <n v="12.28"/>
    <n v="4239"/>
    <n v="17.5"/>
    <x v="1"/>
  </r>
  <r>
    <x v="0"/>
    <s v="岐阜県"/>
    <x v="0"/>
    <x v="3"/>
    <n v="108"/>
    <n v="0.19"/>
    <n v="6"/>
    <n v="0.02"/>
    <n v="89"/>
    <n v="0.37"/>
    <x v="2"/>
  </r>
  <r>
    <x v="0"/>
    <s v="岐阜県"/>
    <x v="0"/>
    <x v="4"/>
    <n v="345"/>
    <n v="0.61"/>
    <n v="36"/>
    <n v="0.11"/>
    <n v="308"/>
    <n v="1.27"/>
    <x v="2"/>
  </r>
  <r>
    <x v="0"/>
    <s v="岐阜県"/>
    <x v="0"/>
    <x v="5"/>
    <n v="438"/>
    <n v="0.78"/>
    <n v="110"/>
    <n v="0.35"/>
    <n v="315"/>
    <n v="1.3"/>
    <x v="3"/>
  </r>
  <r>
    <x v="0"/>
    <s v="岐阜県"/>
    <x v="0"/>
    <x v="6"/>
    <n v="12414"/>
    <n v="22.05"/>
    <n v="6176"/>
    <n v="19.649999999999999"/>
    <n v="6203"/>
    <n v="25.6"/>
    <x v="4"/>
  </r>
  <r>
    <x v="0"/>
    <s v="岐阜県"/>
    <x v="0"/>
    <x v="7"/>
    <n v="388"/>
    <n v="0.69"/>
    <n v="59"/>
    <n v="0.19"/>
    <n v="326"/>
    <n v="1.35"/>
    <x v="5"/>
  </r>
  <r>
    <x v="0"/>
    <s v="岐阜県"/>
    <x v="0"/>
    <x v="8"/>
    <n v="4064"/>
    <n v="7.22"/>
    <n v="1858"/>
    <n v="5.91"/>
    <n v="2190"/>
    <n v="9.0399999999999991"/>
    <x v="6"/>
  </r>
  <r>
    <x v="0"/>
    <s v="岐阜県"/>
    <x v="0"/>
    <x v="9"/>
    <n v="2675"/>
    <n v="4.75"/>
    <n v="1487"/>
    <n v="4.7300000000000004"/>
    <n v="1140"/>
    <n v="4.71"/>
    <x v="7"/>
  </r>
  <r>
    <x v="0"/>
    <s v="岐阜県"/>
    <x v="0"/>
    <x v="10"/>
    <n v="6682"/>
    <n v="11.87"/>
    <n v="5585"/>
    <n v="17.77"/>
    <n v="1065"/>
    <n v="4.4000000000000004"/>
    <x v="8"/>
  </r>
  <r>
    <x v="0"/>
    <s v="岐阜県"/>
    <x v="0"/>
    <x v="11"/>
    <n v="6243"/>
    <n v="11.09"/>
    <n v="4990"/>
    <n v="15.88"/>
    <n v="1222"/>
    <n v="5.04"/>
    <x v="9"/>
  </r>
  <r>
    <x v="0"/>
    <s v="岐阜県"/>
    <x v="0"/>
    <x v="12"/>
    <n v="2193"/>
    <n v="3.89"/>
    <n v="1401"/>
    <n v="4.46"/>
    <n v="564"/>
    <n v="2.33"/>
    <x v="10"/>
  </r>
  <r>
    <x v="0"/>
    <s v="岐阜県"/>
    <x v="0"/>
    <x v="13"/>
    <n v="2590"/>
    <n v="4.5999999999999996"/>
    <n v="1799"/>
    <n v="5.72"/>
    <n v="677"/>
    <n v="2.79"/>
    <x v="11"/>
  </r>
  <r>
    <x v="0"/>
    <s v="岐阜県"/>
    <x v="0"/>
    <x v="14"/>
    <n v="1919"/>
    <n v="3.41"/>
    <n v="868"/>
    <n v="2.76"/>
    <n v="943"/>
    <n v="3.89"/>
    <x v="12"/>
  </r>
  <r>
    <x v="0"/>
    <s v="岐阜市"/>
    <x v="1"/>
    <x v="0"/>
    <n v="2"/>
    <n v="0.02"/>
    <n v="0"/>
    <n v="0"/>
    <n v="2"/>
    <n v="0.04"/>
    <x v="0"/>
  </r>
  <r>
    <x v="0"/>
    <s v="岐阜市"/>
    <x v="1"/>
    <x v="1"/>
    <n v="1281"/>
    <n v="10.91"/>
    <n v="301"/>
    <n v="5.03"/>
    <n v="980"/>
    <n v="17.29"/>
    <x v="0"/>
  </r>
  <r>
    <x v="0"/>
    <s v="岐阜市"/>
    <x v="1"/>
    <x v="2"/>
    <n v="1061"/>
    <n v="9.0299999999999994"/>
    <n v="457"/>
    <n v="7.63"/>
    <n v="603"/>
    <n v="10.64"/>
    <x v="0"/>
  </r>
  <r>
    <x v="0"/>
    <s v="岐阜市"/>
    <x v="1"/>
    <x v="3"/>
    <n v="10"/>
    <n v="0.09"/>
    <n v="0"/>
    <n v="0"/>
    <n v="10"/>
    <n v="0.18"/>
    <x v="0"/>
  </r>
  <r>
    <x v="0"/>
    <s v="岐阜市"/>
    <x v="1"/>
    <x v="4"/>
    <n v="94"/>
    <n v="0.8"/>
    <n v="6"/>
    <n v="0.1"/>
    <n v="87"/>
    <n v="1.54"/>
    <x v="2"/>
  </r>
  <r>
    <x v="0"/>
    <s v="岐阜市"/>
    <x v="1"/>
    <x v="5"/>
    <n v="56"/>
    <n v="0.48"/>
    <n v="10"/>
    <n v="0.17"/>
    <n v="45"/>
    <n v="0.79"/>
    <x v="2"/>
  </r>
  <r>
    <x v="0"/>
    <s v="岐阜市"/>
    <x v="1"/>
    <x v="6"/>
    <n v="2670"/>
    <n v="22.73"/>
    <n v="1106"/>
    <n v="18.48"/>
    <n v="1563"/>
    <n v="27.58"/>
    <x v="2"/>
  </r>
  <r>
    <x v="0"/>
    <s v="岐阜市"/>
    <x v="1"/>
    <x v="7"/>
    <n v="109"/>
    <n v="0.93"/>
    <n v="11"/>
    <n v="0.18"/>
    <n v="98"/>
    <n v="1.73"/>
    <x v="0"/>
  </r>
  <r>
    <x v="0"/>
    <s v="岐阜市"/>
    <x v="1"/>
    <x v="8"/>
    <n v="1469"/>
    <n v="12.51"/>
    <n v="695"/>
    <n v="11.61"/>
    <n v="773"/>
    <n v="13.64"/>
    <x v="2"/>
  </r>
  <r>
    <x v="0"/>
    <s v="岐阜市"/>
    <x v="1"/>
    <x v="9"/>
    <n v="729"/>
    <n v="6.21"/>
    <n v="355"/>
    <n v="5.93"/>
    <n v="363"/>
    <n v="6.41"/>
    <x v="9"/>
  </r>
  <r>
    <x v="0"/>
    <s v="岐阜市"/>
    <x v="1"/>
    <x v="10"/>
    <n v="1475"/>
    <n v="12.56"/>
    <n v="1241"/>
    <n v="20.73"/>
    <n v="234"/>
    <n v="4.13"/>
    <x v="0"/>
  </r>
  <r>
    <x v="0"/>
    <s v="岐阜市"/>
    <x v="1"/>
    <x v="11"/>
    <n v="1326"/>
    <n v="11.29"/>
    <n v="1025"/>
    <n v="17.12"/>
    <n v="299"/>
    <n v="5.28"/>
    <x v="0"/>
  </r>
  <r>
    <x v="0"/>
    <s v="岐阜市"/>
    <x v="1"/>
    <x v="12"/>
    <n v="431"/>
    <n v="3.67"/>
    <n v="212"/>
    <n v="3.54"/>
    <n v="163"/>
    <n v="2.88"/>
    <x v="0"/>
  </r>
  <r>
    <x v="0"/>
    <s v="岐阜市"/>
    <x v="1"/>
    <x v="13"/>
    <n v="582"/>
    <n v="4.95"/>
    <n v="394"/>
    <n v="6.58"/>
    <n v="181"/>
    <n v="3.19"/>
    <x v="9"/>
  </r>
  <r>
    <x v="0"/>
    <s v="岐阜市"/>
    <x v="1"/>
    <x v="14"/>
    <n v="451"/>
    <n v="3.84"/>
    <n v="173"/>
    <n v="2.89"/>
    <n v="266"/>
    <n v="4.6900000000000004"/>
    <x v="1"/>
  </r>
  <r>
    <x v="0"/>
    <s v="大垣市"/>
    <x v="2"/>
    <x v="0"/>
    <n v="1"/>
    <n v="0.02"/>
    <n v="0"/>
    <n v="0"/>
    <n v="1"/>
    <n v="0.05"/>
    <x v="0"/>
  </r>
  <r>
    <x v="0"/>
    <s v="大垣市"/>
    <x v="2"/>
    <x v="1"/>
    <n v="486"/>
    <n v="11.96"/>
    <n v="167"/>
    <n v="7.6"/>
    <n v="319"/>
    <n v="17.47"/>
    <x v="0"/>
  </r>
  <r>
    <x v="0"/>
    <s v="大垣市"/>
    <x v="2"/>
    <x v="2"/>
    <n v="457"/>
    <n v="11.24"/>
    <n v="193"/>
    <n v="8.7799999999999994"/>
    <n v="264"/>
    <n v="14.46"/>
    <x v="0"/>
  </r>
  <r>
    <x v="0"/>
    <s v="大垣市"/>
    <x v="2"/>
    <x v="3"/>
    <n v="3"/>
    <n v="7.0000000000000007E-2"/>
    <n v="0"/>
    <n v="0"/>
    <n v="3"/>
    <n v="0.16"/>
    <x v="0"/>
  </r>
  <r>
    <x v="0"/>
    <s v="大垣市"/>
    <x v="2"/>
    <x v="4"/>
    <n v="47"/>
    <n v="1.1599999999999999"/>
    <n v="1"/>
    <n v="0.05"/>
    <n v="46"/>
    <n v="2.52"/>
    <x v="0"/>
  </r>
  <r>
    <x v="0"/>
    <s v="大垣市"/>
    <x v="2"/>
    <x v="5"/>
    <n v="23"/>
    <n v="0.56999999999999995"/>
    <n v="4"/>
    <n v="0.18"/>
    <n v="19"/>
    <n v="1.04"/>
    <x v="0"/>
  </r>
  <r>
    <x v="0"/>
    <s v="大垣市"/>
    <x v="2"/>
    <x v="6"/>
    <n v="966"/>
    <n v="23.76"/>
    <n v="447"/>
    <n v="20.350000000000001"/>
    <n v="511"/>
    <n v="27.98"/>
    <x v="6"/>
  </r>
  <r>
    <x v="0"/>
    <s v="大垣市"/>
    <x v="2"/>
    <x v="7"/>
    <n v="32"/>
    <n v="0.79"/>
    <n v="5"/>
    <n v="0.23"/>
    <n v="27"/>
    <n v="1.48"/>
    <x v="0"/>
  </r>
  <r>
    <x v="0"/>
    <s v="大垣市"/>
    <x v="2"/>
    <x v="8"/>
    <n v="385"/>
    <n v="9.4700000000000006"/>
    <n v="189"/>
    <n v="8.6"/>
    <n v="191"/>
    <n v="10.46"/>
    <x v="13"/>
  </r>
  <r>
    <x v="0"/>
    <s v="大垣市"/>
    <x v="2"/>
    <x v="9"/>
    <n v="233"/>
    <n v="5.73"/>
    <n v="145"/>
    <n v="6.6"/>
    <n v="85"/>
    <n v="4.6500000000000004"/>
    <x v="2"/>
  </r>
  <r>
    <x v="0"/>
    <s v="大垣市"/>
    <x v="2"/>
    <x v="10"/>
    <n v="416"/>
    <n v="10.23"/>
    <n v="352"/>
    <n v="16.02"/>
    <n v="64"/>
    <n v="3.5"/>
    <x v="0"/>
  </r>
  <r>
    <x v="0"/>
    <s v="大垣市"/>
    <x v="2"/>
    <x v="11"/>
    <n v="500"/>
    <n v="12.3"/>
    <n v="394"/>
    <n v="17.93"/>
    <n v="104"/>
    <n v="5.7"/>
    <x v="0"/>
  </r>
  <r>
    <x v="0"/>
    <s v="大垣市"/>
    <x v="2"/>
    <x v="12"/>
    <n v="180"/>
    <n v="4.43"/>
    <n v="111"/>
    <n v="5.05"/>
    <n v="57"/>
    <n v="3.12"/>
    <x v="2"/>
  </r>
  <r>
    <x v="0"/>
    <s v="大垣市"/>
    <x v="2"/>
    <x v="13"/>
    <n v="188"/>
    <n v="4.62"/>
    <n v="136"/>
    <n v="6.19"/>
    <n v="49"/>
    <n v="2.68"/>
    <x v="5"/>
  </r>
  <r>
    <x v="0"/>
    <s v="大垣市"/>
    <x v="2"/>
    <x v="14"/>
    <n v="148"/>
    <n v="3.64"/>
    <n v="53"/>
    <n v="2.41"/>
    <n v="86"/>
    <n v="4.71"/>
    <x v="14"/>
  </r>
  <r>
    <x v="0"/>
    <s v="高山市"/>
    <x v="3"/>
    <x v="0"/>
    <n v="2"/>
    <n v="0.05"/>
    <n v="0"/>
    <n v="0"/>
    <n v="2"/>
    <n v="0.12"/>
    <x v="0"/>
  </r>
  <r>
    <x v="0"/>
    <s v="高山市"/>
    <x v="3"/>
    <x v="1"/>
    <n v="585"/>
    <n v="14.58"/>
    <n v="256"/>
    <n v="10.82"/>
    <n v="329"/>
    <n v="20.32"/>
    <x v="0"/>
  </r>
  <r>
    <x v="0"/>
    <s v="高山市"/>
    <x v="3"/>
    <x v="2"/>
    <n v="353"/>
    <n v="8.8000000000000007"/>
    <n v="189"/>
    <n v="7.98"/>
    <n v="163"/>
    <n v="10.07"/>
    <x v="2"/>
  </r>
  <r>
    <x v="0"/>
    <s v="高山市"/>
    <x v="3"/>
    <x v="3"/>
    <n v="10"/>
    <n v="0.25"/>
    <n v="1"/>
    <n v="0.04"/>
    <n v="9"/>
    <n v="0.56000000000000005"/>
    <x v="0"/>
  </r>
  <r>
    <x v="0"/>
    <s v="高山市"/>
    <x v="3"/>
    <x v="4"/>
    <n v="17"/>
    <n v="0.42"/>
    <n v="3"/>
    <n v="0.13"/>
    <n v="14"/>
    <n v="0.86"/>
    <x v="0"/>
  </r>
  <r>
    <x v="0"/>
    <s v="高山市"/>
    <x v="3"/>
    <x v="5"/>
    <n v="28"/>
    <n v="0.7"/>
    <n v="4"/>
    <n v="0.17"/>
    <n v="20"/>
    <n v="1.24"/>
    <x v="9"/>
  </r>
  <r>
    <x v="0"/>
    <s v="高山市"/>
    <x v="3"/>
    <x v="6"/>
    <n v="948"/>
    <n v="23.62"/>
    <n v="487"/>
    <n v="20.57"/>
    <n v="458"/>
    <n v="28.29"/>
    <x v="9"/>
  </r>
  <r>
    <x v="0"/>
    <s v="高山市"/>
    <x v="3"/>
    <x v="7"/>
    <n v="34"/>
    <n v="0.85"/>
    <n v="4"/>
    <n v="0.17"/>
    <n v="30"/>
    <n v="1.85"/>
    <x v="0"/>
  </r>
  <r>
    <x v="0"/>
    <s v="高山市"/>
    <x v="3"/>
    <x v="8"/>
    <n v="304"/>
    <n v="7.58"/>
    <n v="167"/>
    <n v="7.06"/>
    <n v="136"/>
    <n v="8.4"/>
    <x v="2"/>
  </r>
  <r>
    <x v="0"/>
    <s v="高山市"/>
    <x v="3"/>
    <x v="9"/>
    <n v="183"/>
    <n v="4.5599999999999996"/>
    <n v="94"/>
    <n v="3.97"/>
    <n v="85"/>
    <n v="5.25"/>
    <x v="0"/>
  </r>
  <r>
    <x v="0"/>
    <s v="高山市"/>
    <x v="3"/>
    <x v="10"/>
    <n v="734"/>
    <n v="18.29"/>
    <n v="566"/>
    <n v="23.91"/>
    <n v="164"/>
    <n v="10.130000000000001"/>
    <x v="9"/>
  </r>
  <r>
    <x v="0"/>
    <s v="高山市"/>
    <x v="3"/>
    <x v="11"/>
    <n v="411"/>
    <n v="10.24"/>
    <n v="330"/>
    <n v="13.94"/>
    <n v="79"/>
    <n v="4.88"/>
    <x v="0"/>
  </r>
  <r>
    <x v="0"/>
    <s v="高山市"/>
    <x v="3"/>
    <x v="12"/>
    <n v="132"/>
    <n v="3.29"/>
    <n v="92"/>
    <n v="3.89"/>
    <n v="38"/>
    <n v="2.35"/>
    <x v="0"/>
  </r>
  <r>
    <x v="0"/>
    <s v="高山市"/>
    <x v="3"/>
    <x v="13"/>
    <n v="165"/>
    <n v="4.1100000000000003"/>
    <n v="128"/>
    <n v="5.41"/>
    <n v="35"/>
    <n v="2.16"/>
    <x v="2"/>
  </r>
  <r>
    <x v="0"/>
    <s v="高山市"/>
    <x v="3"/>
    <x v="14"/>
    <n v="107"/>
    <n v="2.67"/>
    <n v="46"/>
    <n v="1.94"/>
    <n v="57"/>
    <n v="3.52"/>
    <x v="5"/>
  </r>
  <r>
    <x v="0"/>
    <s v="多治見市"/>
    <x v="4"/>
    <x v="0"/>
    <n v="1"/>
    <n v="0.04"/>
    <n v="0"/>
    <n v="0"/>
    <n v="1"/>
    <n v="7.0000000000000007E-2"/>
    <x v="0"/>
  </r>
  <r>
    <x v="0"/>
    <s v="多治見市"/>
    <x v="4"/>
    <x v="1"/>
    <n v="388"/>
    <n v="14.15"/>
    <n v="126"/>
    <n v="9.26"/>
    <n v="262"/>
    <n v="19.12"/>
    <x v="0"/>
  </r>
  <r>
    <x v="0"/>
    <s v="多治見市"/>
    <x v="4"/>
    <x v="2"/>
    <n v="430"/>
    <n v="15.68"/>
    <n v="197"/>
    <n v="14.47"/>
    <n v="233"/>
    <n v="17.010000000000002"/>
    <x v="0"/>
  </r>
  <r>
    <x v="0"/>
    <s v="多治見市"/>
    <x v="4"/>
    <x v="3"/>
    <n v="3"/>
    <n v="0.11"/>
    <n v="0"/>
    <n v="0"/>
    <n v="2"/>
    <n v="0.15"/>
    <x v="0"/>
  </r>
  <r>
    <x v="0"/>
    <s v="多治見市"/>
    <x v="4"/>
    <x v="4"/>
    <n v="23"/>
    <n v="0.84"/>
    <n v="2"/>
    <n v="0.15"/>
    <n v="21"/>
    <n v="1.53"/>
    <x v="0"/>
  </r>
  <r>
    <x v="0"/>
    <s v="多治見市"/>
    <x v="4"/>
    <x v="5"/>
    <n v="22"/>
    <n v="0.8"/>
    <n v="6"/>
    <n v="0.44"/>
    <n v="16"/>
    <n v="1.17"/>
    <x v="0"/>
  </r>
  <r>
    <x v="0"/>
    <s v="多治見市"/>
    <x v="4"/>
    <x v="6"/>
    <n v="655"/>
    <n v="23.89"/>
    <n v="273"/>
    <n v="20.059999999999999"/>
    <n v="380"/>
    <n v="27.74"/>
    <x v="5"/>
  </r>
  <r>
    <x v="0"/>
    <s v="多治見市"/>
    <x v="4"/>
    <x v="7"/>
    <n v="24"/>
    <n v="0.88"/>
    <n v="3"/>
    <n v="0.22"/>
    <n v="20"/>
    <n v="1.46"/>
    <x v="2"/>
  </r>
  <r>
    <x v="0"/>
    <s v="多治見市"/>
    <x v="4"/>
    <x v="8"/>
    <n v="188"/>
    <n v="6.86"/>
    <n v="47"/>
    <n v="3.45"/>
    <n v="138"/>
    <n v="10.07"/>
    <x v="5"/>
  </r>
  <r>
    <x v="0"/>
    <s v="多治見市"/>
    <x v="4"/>
    <x v="9"/>
    <n v="147"/>
    <n v="5.36"/>
    <n v="89"/>
    <n v="6.54"/>
    <n v="56"/>
    <n v="4.09"/>
    <x v="0"/>
  </r>
  <r>
    <x v="0"/>
    <s v="多治見市"/>
    <x v="4"/>
    <x v="10"/>
    <n v="221"/>
    <n v="8.06"/>
    <n v="186"/>
    <n v="13.67"/>
    <n v="34"/>
    <n v="2.48"/>
    <x v="0"/>
  </r>
  <r>
    <x v="0"/>
    <s v="多治見市"/>
    <x v="4"/>
    <x v="11"/>
    <n v="300"/>
    <n v="10.94"/>
    <n v="223"/>
    <n v="16.39"/>
    <n v="77"/>
    <n v="5.62"/>
    <x v="0"/>
  </r>
  <r>
    <x v="0"/>
    <s v="多治見市"/>
    <x v="4"/>
    <x v="12"/>
    <n v="107"/>
    <n v="3.9"/>
    <n v="76"/>
    <n v="5.58"/>
    <n v="31"/>
    <n v="2.2599999999999998"/>
    <x v="0"/>
  </r>
  <r>
    <x v="0"/>
    <s v="多治見市"/>
    <x v="4"/>
    <x v="13"/>
    <n v="135"/>
    <n v="4.92"/>
    <n v="94"/>
    <n v="6.91"/>
    <n v="41"/>
    <n v="2.99"/>
    <x v="0"/>
  </r>
  <r>
    <x v="0"/>
    <s v="多治見市"/>
    <x v="4"/>
    <x v="14"/>
    <n v="98"/>
    <n v="3.57"/>
    <n v="39"/>
    <n v="2.87"/>
    <n v="58"/>
    <n v="4.2300000000000004"/>
    <x v="2"/>
  </r>
  <r>
    <x v="0"/>
    <s v="関市"/>
    <x v="5"/>
    <x v="0"/>
    <n v="1"/>
    <n v="0.03"/>
    <n v="0"/>
    <n v="0"/>
    <n v="1"/>
    <n v="0.09"/>
    <x v="0"/>
  </r>
  <r>
    <x v="0"/>
    <s v="関市"/>
    <x v="5"/>
    <x v="1"/>
    <n v="394"/>
    <n v="13.16"/>
    <n v="183"/>
    <n v="10.23"/>
    <n v="211"/>
    <n v="18.170000000000002"/>
    <x v="0"/>
  </r>
  <r>
    <x v="0"/>
    <s v="関市"/>
    <x v="5"/>
    <x v="2"/>
    <n v="800"/>
    <n v="26.72"/>
    <n v="448"/>
    <n v="25.04"/>
    <n v="352"/>
    <n v="30.32"/>
    <x v="0"/>
  </r>
  <r>
    <x v="0"/>
    <s v="関市"/>
    <x v="5"/>
    <x v="3"/>
    <n v="4"/>
    <n v="0.13"/>
    <n v="1"/>
    <n v="0.06"/>
    <n v="3"/>
    <n v="0.26"/>
    <x v="0"/>
  </r>
  <r>
    <x v="0"/>
    <s v="関市"/>
    <x v="5"/>
    <x v="4"/>
    <n v="14"/>
    <n v="0.47"/>
    <n v="3"/>
    <n v="0.17"/>
    <n v="11"/>
    <n v="0.95"/>
    <x v="0"/>
  </r>
  <r>
    <x v="0"/>
    <s v="関市"/>
    <x v="5"/>
    <x v="5"/>
    <n v="20"/>
    <n v="0.67"/>
    <n v="4"/>
    <n v="0.22"/>
    <n v="16"/>
    <n v="1.38"/>
    <x v="0"/>
  </r>
  <r>
    <x v="0"/>
    <s v="関市"/>
    <x v="5"/>
    <x v="6"/>
    <n v="594"/>
    <n v="19.84"/>
    <n v="309"/>
    <n v="17.27"/>
    <n v="284"/>
    <n v="24.46"/>
    <x v="2"/>
  </r>
  <r>
    <x v="0"/>
    <s v="関市"/>
    <x v="5"/>
    <x v="7"/>
    <n v="11"/>
    <n v="0.37"/>
    <n v="3"/>
    <n v="0.17"/>
    <n v="8"/>
    <n v="0.69"/>
    <x v="0"/>
  </r>
  <r>
    <x v="0"/>
    <s v="関市"/>
    <x v="5"/>
    <x v="8"/>
    <n v="157"/>
    <n v="5.24"/>
    <n v="91"/>
    <n v="5.09"/>
    <n v="66"/>
    <n v="5.68"/>
    <x v="0"/>
  </r>
  <r>
    <x v="0"/>
    <s v="関市"/>
    <x v="5"/>
    <x v="9"/>
    <n v="100"/>
    <n v="3.34"/>
    <n v="65"/>
    <n v="3.63"/>
    <n v="33"/>
    <n v="2.84"/>
    <x v="0"/>
  </r>
  <r>
    <x v="0"/>
    <s v="関市"/>
    <x v="5"/>
    <x v="10"/>
    <n v="269"/>
    <n v="8.98"/>
    <n v="231"/>
    <n v="12.91"/>
    <n v="38"/>
    <n v="3.27"/>
    <x v="0"/>
  </r>
  <r>
    <x v="0"/>
    <s v="関市"/>
    <x v="5"/>
    <x v="11"/>
    <n v="285"/>
    <n v="9.52"/>
    <n v="241"/>
    <n v="13.47"/>
    <n v="42"/>
    <n v="3.62"/>
    <x v="0"/>
  </r>
  <r>
    <x v="0"/>
    <s v="関市"/>
    <x v="5"/>
    <x v="12"/>
    <n v="104"/>
    <n v="3.47"/>
    <n v="75"/>
    <n v="4.1900000000000004"/>
    <n v="21"/>
    <n v="1.81"/>
    <x v="2"/>
  </r>
  <r>
    <x v="0"/>
    <s v="関市"/>
    <x v="5"/>
    <x v="13"/>
    <n v="138"/>
    <n v="4.6100000000000003"/>
    <n v="79"/>
    <n v="4.42"/>
    <n v="36"/>
    <n v="3.1"/>
    <x v="2"/>
  </r>
  <r>
    <x v="0"/>
    <s v="関市"/>
    <x v="5"/>
    <x v="14"/>
    <n v="103"/>
    <n v="3.44"/>
    <n v="56"/>
    <n v="3.13"/>
    <n v="39"/>
    <n v="3.36"/>
    <x v="6"/>
  </r>
  <r>
    <x v="0"/>
    <s v="中津川市"/>
    <x v="6"/>
    <x v="0"/>
    <n v="4"/>
    <n v="0.18"/>
    <n v="3"/>
    <n v="0.23"/>
    <n v="1"/>
    <n v="0.11"/>
    <x v="0"/>
  </r>
  <r>
    <x v="0"/>
    <s v="中津川市"/>
    <x v="6"/>
    <x v="1"/>
    <n v="401"/>
    <n v="17.77"/>
    <n v="216"/>
    <n v="16.25"/>
    <n v="185"/>
    <n v="20.309999999999999"/>
    <x v="0"/>
  </r>
  <r>
    <x v="0"/>
    <s v="中津川市"/>
    <x v="6"/>
    <x v="2"/>
    <n v="351"/>
    <n v="15.56"/>
    <n v="172"/>
    <n v="12.94"/>
    <n v="176"/>
    <n v="19.32"/>
    <x v="9"/>
  </r>
  <r>
    <x v="0"/>
    <s v="中津川市"/>
    <x v="6"/>
    <x v="3"/>
    <n v="9"/>
    <n v="0.4"/>
    <n v="0"/>
    <n v="0"/>
    <n v="8"/>
    <n v="0.88"/>
    <x v="0"/>
  </r>
  <r>
    <x v="0"/>
    <s v="中津川市"/>
    <x v="6"/>
    <x v="4"/>
    <n v="15"/>
    <n v="0.66"/>
    <n v="1"/>
    <n v="0.08"/>
    <n v="14"/>
    <n v="1.54"/>
    <x v="0"/>
  </r>
  <r>
    <x v="0"/>
    <s v="中津川市"/>
    <x v="6"/>
    <x v="5"/>
    <n v="22"/>
    <n v="0.98"/>
    <n v="11"/>
    <n v="0.83"/>
    <n v="11"/>
    <n v="1.21"/>
    <x v="0"/>
  </r>
  <r>
    <x v="0"/>
    <s v="中津川市"/>
    <x v="6"/>
    <x v="6"/>
    <n v="459"/>
    <n v="20.350000000000001"/>
    <n v="221"/>
    <n v="16.63"/>
    <n v="237"/>
    <n v="26.02"/>
    <x v="2"/>
  </r>
  <r>
    <x v="0"/>
    <s v="中津川市"/>
    <x v="6"/>
    <x v="7"/>
    <n v="16"/>
    <n v="0.71"/>
    <n v="2"/>
    <n v="0.15"/>
    <n v="14"/>
    <n v="1.54"/>
    <x v="0"/>
  </r>
  <r>
    <x v="0"/>
    <s v="中津川市"/>
    <x v="6"/>
    <x v="8"/>
    <n v="113"/>
    <n v="5.01"/>
    <n v="43"/>
    <n v="3.24"/>
    <n v="69"/>
    <n v="7.57"/>
    <x v="0"/>
  </r>
  <r>
    <x v="0"/>
    <s v="中津川市"/>
    <x v="6"/>
    <x v="9"/>
    <n v="97"/>
    <n v="4.3"/>
    <n v="55"/>
    <n v="4.1399999999999997"/>
    <n v="38"/>
    <n v="4.17"/>
    <x v="0"/>
  </r>
  <r>
    <x v="0"/>
    <s v="中津川市"/>
    <x v="6"/>
    <x v="10"/>
    <n v="314"/>
    <n v="13.92"/>
    <n v="267"/>
    <n v="20.09"/>
    <n v="45"/>
    <n v="4.9400000000000004"/>
    <x v="2"/>
  </r>
  <r>
    <x v="0"/>
    <s v="中津川市"/>
    <x v="6"/>
    <x v="11"/>
    <n v="222"/>
    <n v="9.84"/>
    <n v="184"/>
    <n v="13.84"/>
    <n v="38"/>
    <n v="4.17"/>
    <x v="0"/>
  </r>
  <r>
    <x v="0"/>
    <s v="中津川市"/>
    <x v="6"/>
    <x v="12"/>
    <n v="64"/>
    <n v="2.84"/>
    <n v="51"/>
    <n v="3.84"/>
    <n v="11"/>
    <n v="1.21"/>
    <x v="0"/>
  </r>
  <r>
    <x v="0"/>
    <s v="中津川市"/>
    <x v="6"/>
    <x v="13"/>
    <n v="112"/>
    <n v="4.96"/>
    <n v="77"/>
    <n v="5.79"/>
    <n v="33"/>
    <n v="3.62"/>
    <x v="5"/>
  </r>
  <r>
    <x v="0"/>
    <s v="中津川市"/>
    <x v="6"/>
    <x v="14"/>
    <n v="57"/>
    <n v="2.5299999999999998"/>
    <n v="26"/>
    <n v="1.96"/>
    <n v="31"/>
    <n v="3.4"/>
    <x v="0"/>
  </r>
  <r>
    <x v="0"/>
    <s v="美濃市"/>
    <x v="7"/>
    <x v="0"/>
    <n v="0"/>
    <n v="0"/>
    <n v="0"/>
    <n v="0"/>
    <n v="0"/>
    <n v="0"/>
    <x v="0"/>
  </r>
  <r>
    <x v="0"/>
    <s v="美濃市"/>
    <x v="7"/>
    <x v="1"/>
    <n v="107"/>
    <n v="13.72"/>
    <n v="53"/>
    <n v="11.42"/>
    <n v="54"/>
    <n v="17.7"/>
    <x v="0"/>
  </r>
  <r>
    <x v="0"/>
    <s v="美濃市"/>
    <x v="7"/>
    <x v="2"/>
    <n v="223"/>
    <n v="28.59"/>
    <n v="115"/>
    <n v="24.78"/>
    <n v="108"/>
    <n v="35.409999999999997"/>
    <x v="0"/>
  </r>
  <r>
    <x v="0"/>
    <s v="美濃市"/>
    <x v="7"/>
    <x v="3"/>
    <n v="0"/>
    <n v="0"/>
    <n v="0"/>
    <n v="0"/>
    <n v="0"/>
    <n v="0"/>
    <x v="0"/>
  </r>
  <r>
    <x v="0"/>
    <s v="美濃市"/>
    <x v="7"/>
    <x v="4"/>
    <n v="2"/>
    <n v="0.26"/>
    <n v="0"/>
    <n v="0"/>
    <n v="2"/>
    <n v="0.66"/>
    <x v="0"/>
  </r>
  <r>
    <x v="0"/>
    <s v="美濃市"/>
    <x v="7"/>
    <x v="5"/>
    <n v="2"/>
    <n v="0.26"/>
    <n v="1"/>
    <n v="0.22"/>
    <n v="1"/>
    <n v="0.33"/>
    <x v="0"/>
  </r>
  <r>
    <x v="0"/>
    <s v="美濃市"/>
    <x v="7"/>
    <x v="6"/>
    <n v="177"/>
    <n v="22.69"/>
    <n v="99"/>
    <n v="21.34"/>
    <n v="78"/>
    <n v="25.57"/>
    <x v="0"/>
  </r>
  <r>
    <x v="0"/>
    <s v="美濃市"/>
    <x v="7"/>
    <x v="7"/>
    <n v="6"/>
    <n v="0.77"/>
    <n v="2"/>
    <n v="0.43"/>
    <n v="4"/>
    <n v="1.31"/>
    <x v="0"/>
  </r>
  <r>
    <x v="0"/>
    <s v="美濃市"/>
    <x v="7"/>
    <x v="8"/>
    <n v="36"/>
    <n v="4.62"/>
    <n v="21"/>
    <n v="4.53"/>
    <n v="14"/>
    <n v="4.59"/>
    <x v="0"/>
  </r>
  <r>
    <x v="0"/>
    <s v="美濃市"/>
    <x v="7"/>
    <x v="9"/>
    <n v="30"/>
    <n v="3.85"/>
    <n v="17"/>
    <n v="3.66"/>
    <n v="13"/>
    <n v="4.26"/>
    <x v="0"/>
  </r>
  <r>
    <x v="0"/>
    <s v="美濃市"/>
    <x v="7"/>
    <x v="10"/>
    <n v="75"/>
    <n v="9.6199999999999992"/>
    <n v="66"/>
    <n v="14.22"/>
    <n v="8"/>
    <n v="2.62"/>
    <x v="0"/>
  </r>
  <r>
    <x v="0"/>
    <s v="美濃市"/>
    <x v="7"/>
    <x v="11"/>
    <n v="65"/>
    <n v="8.33"/>
    <n v="52"/>
    <n v="11.21"/>
    <n v="12"/>
    <n v="3.93"/>
    <x v="0"/>
  </r>
  <r>
    <x v="0"/>
    <s v="美濃市"/>
    <x v="7"/>
    <x v="12"/>
    <n v="22"/>
    <n v="2.82"/>
    <n v="17"/>
    <n v="3.66"/>
    <n v="3"/>
    <n v="0.98"/>
    <x v="0"/>
  </r>
  <r>
    <x v="0"/>
    <s v="美濃市"/>
    <x v="7"/>
    <x v="13"/>
    <n v="19"/>
    <n v="2.44"/>
    <n v="12"/>
    <n v="2.59"/>
    <n v="3"/>
    <n v="0.98"/>
    <x v="0"/>
  </r>
  <r>
    <x v="0"/>
    <s v="美濃市"/>
    <x v="7"/>
    <x v="14"/>
    <n v="16"/>
    <n v="2.0499999999999998"/>
    <n v="9"/>
    <n v="1.94"/>
    <n v="5"/>
    <n v="1.64"/>
    <x v="2"/>
  </r>
  <r>
    <x v="0"/>
    <s v="瑞浪市"/>
    <x v="8"/>
    <x v="0"/>
    <n v="3"/>
    <n v="0.28000000000000003"/>
    <n v="3"/>
    <n v="0.48"/>
    <n v="0"/>
    <n v="0"/>
    <x v="0"/>
  </r>
  <r>
    <x v="0"/>
    <s v="瑞浪市"/>
    <x v="8"/>
    <x v="1"/>
    <n v="158"/>
    <n v="14.6"/>
    <n v="73"/>
    <n v="11.79"/>
    <n v="85"/>
    <n v="19.27"/>
    <x v="0"/>
  </r>
  <r>
    <x v="0"/>
    <s v="瑞浪市"/>
    <x v="8"/>
    <x v="2"/>
    <n v="166"/>
    <n v="15.34"/>
    <n v="68"/>
    <n v="10.99"/>
    <n v="98"/>
    <n v="22.22"/>
    <x v="0"/>
  </r>
  <r>
    <x v="0"/>
    <s v="瑞浪市"/>
    <x v="8"/>
    <x v="3"/>
    <n v="4"/>
    <n v="0.37"/>
    <n v="0"/>
    <n v="0"/>
    <n v="4"/>
    <n v="0.91"/>
    <x v="0"/>
  </r>
  <r>
    <x v="0"/>
    <s v="瑞浪市"/>
    <x v="8"/>
    <x v="4"/>
    <n v="7"/>
    <n v="0.65"/>
    <n v="4"/>
    <n v="0.65"/>
    <n v="3"/>
    <n v="0.68"/>
    <x v="0"/>
  </r>
  <r>
    <x v="0"/>
    <s v="瑞浪市"/>
    <x v="8"/>
    <x v="5"/>
    <n v="9"/>
    <n v="0.83"/>
    <n v="4"/>
    <n v="0.65"/>
    <n v="5"/>
    <n v="1.1299999999999999"/>
    <x v="0"/>
  </r>
  <r>
    <x v="0"/>
    <s v="瑞浪市"/>
    <x v="8"/>
    <x v="6"/>
    <n v="242"/>
    <n v="22.37"/>
    <n v="138"/>
    <n v="22.29"/>
    <n v="102"/>
    <n v="23.13"/>
    <x v="5"/>
  </r>
  <r>
    <x v="0"/>
    <s v="瑞浪市"/>
    <x v="8"/>
    <x v="7"/>
    <n v="3"/>
    <n v="0.28000000000000003"/>
    <n v="0"/>
    <n v="0"/>
    <n v="3"/>
    <n v="0.68"/>
    <x v="0"/>
  </r>
  <r>
    <x v="0"/>
    <s v="瑞浪市"/>
    <x v="8"/>
    <x v="8"/>
    <n v="46"/>
    <n v="4.25"/>
    <n v="17"/>
    <n v="2.75"/>
    <n v="27"/>
    <n v="6.12"/>
    <x v="0"/>
  </r>
  <r>
    <x v="0"/>
    <s v="瑞浪市"/>
    <x v="8"/>
    <x v="9"/>
    <n v="51"/>
    <n v="4.71"/>
    <n v="35"/>
    <n v="5.65"/>
    <n v="13"/>
    <n v="2.95"/>
    <x v="0"/>
  </r>
  <r>
    <x v="0"/>
    <s v="瑞浪市"/>
    <x v="8"/>
    <x v="10"/>
    <n v="149"/>
    <n v="13.77"/>
    <n v="113"/>
    <n v="18.260000000000002"/>
    <n v="35"/>
    <n v="7.94"/>
    <x v="0"/>
  </r>
  <r>
    <x v="0"/>
    <s v="瑞浪市"/>
    <x v="8"/>
    <x v="11"/>
    <n v="116"/>
    <n v="10.72"/>
    <n v="88"/>
    <n v="14.22"/>
    <n v="27"/>
    <n v="6.12"/>
    <x v="0"/>
  </r>
  <r>
    <x v="0"/>
    <s v="瑞浪市"/>
    <x v="8"/>
    <x v="12"/>
    <n v="38"/>
    <n v="3.51"/>
    <n v="22"/>
    <n v="3.55"/>
    <n v="10"/>
    <n v="2.27"/>
    <x v="5"/>
  </r>
  <r>
    <x v="0"/>
    <s v="瑞浪市"/>
    <x v="8"/>
    <x v="13"/>
    <n v="54"/>
    <n v="4.99"/>
    <n v="35"/>
    <n v="5.65"/>
    <n v="14"/>
    <n v="3.17"/>
    <x v="2"/>
  </r>
  <r>
    <x v="0"/>
    <s v="瑞浪市"/>
    <x v="8"/>
    <x v="14"/>
    <n v="36"/>
    <n v="3.33"/>
    <n v="19"/>
    <n v="3.07"/>
    <n v="15"/>
    <n v="3.4"/>
    <x v="0"/>
  </r>
  <r>
    <x v="0"/>
    <s v="羽島市"/>
    <x v="9"/>
    <x v="0"/>
    <n v="0"/>
    <n v="0"/>
    <n v="0"/>
    <n v="0"/>
    <n v="0"/>
    <n v="0"/>
    <x v="0"/>
  </r>
  <r>
    <x v="0"/>
    <s v="羽島市"/>
    <x v="9"/>
    <x v="1"/>
    <n v="253"/>
    <n v="14.66"/>
    <n v="83"/>
    <n v="8.7200000000000006"/>
    <n v="170"/>
    <n v="22.49"/>
    <x v="0"/>
  </r>
  <r>
    <x v="0"/>
    <s v="羽島市"/>
    <x v="9"/>
    <x v="2"/>
    <n v="386"/>
    <n v="22.36"/>
    <n v="221"/>
    <n v="23.21"/>
    <n v="165"/>
    <n v="21.83"/>
    <x v="0"/>
  </r>
  <r>
    <x v="0"/>
    <s v="羽島市"/>
    <x v="9"/>
    <x v="3"/>
    <n v="4"/>
    <n v="0.23"/>
    <n v="0"/>
    <n v="0"/>
    <n v="3"/>
    <n v="0.4"/>
    <x v="0"/>
  </r>
  <r>
    <x v="0"/>
    <s v="羽島市"/>
    <x v="9"/>
    <x v="4"/>
    <n v="12"/>
    <n v="0.7"/>
    <n v="0"/>
    <n v="0"/>
    <n v="12"/>
    <n v="1.59"/>
    <x v="0"/>
  </r>
  <r>
    <x v="0"/>
    <s v="羽島市"/>
    <x v="9"/>
    <x v="5"/>
    <n v="16"/>
    <n v="0.93"/>
    <n v="0"/>
    <n v="0"/>
    <n v="16"/>
    <n v="2.12"/>
    <x v="0"/>
  </r>
  <r>
    <x v="0"/>
    <s v="羽島市"/>
    <x v="9"/>
    <x v="6"/>
    <n v="339"/>
    <n v="19.64"/>
    <n v="167"/>
    <n v="17.54"/>
    <n v="170"/>
    <n v="22.49"/>
    <x v="5"/>
  </r>
  <r>
    <x v="0"/>
    <s v="羽島市"/>
    <x v="9"/>
    <x v="7"/>
    <n v="14"/>
    <n v="0.81"/>
    <n v="3"/>
    <n v="0.32"/>
    <n v="11"/>
    <n v="1.46"/>
    <x v="0"/>
  </r>
  <r>
    <x v="0"/>
    <s v="羽島市"/>
    <x v="9"/>
    <x v="8"/>
    <n v="89"/>
    <n v="5.16"/>
    <n v="30"/>
    <n v="3.15"/>
    <n v="59"/>
    <n v="7.8"/>
    <x v="0"/>
  </r>
  <r>
    <x v="0"/>
    <s v="羽島市"/>
    <x v="9"/>
    <x v="9"/>
    <n v="75"/>
    <n v="4.3499999999999996"/>
    <n v="39"/>
    <n v="4.0999999999999996"/>
    <n v="35"/>
    <n v="4.63"/>
    <x v="0"/>
  </r>
  <r>
    <x v="0"/>
    <s v="羽島市"/>
    <x v="9"/>
    <x v="10"/>
    <n v="147"/>
    <n v="8.52"/>
    <n v="131"/>
    <n v="13.76"/>
    <n v="15"/>
    <n v="1.98"/>
    <x v="0"/>
  </r>
  <r>
    <x v="0"/>
    <s v="羽島市"/>
    <x v="9"/>
    <x v="11"/>
    <n v="175"/>
    <n v="10.14"/>
    <n v="135"/>
    <n v="14.18"/>
    <n v="39"/>
    <n v="5.16"/>
    <x v="0"/>
  </r>
  <r>
    <x v="0"/>
    <s v="羽島市"/>
    <x v="9"/>
    <x v="12"/>
    <n v="66"/>
    <n v="3.82"/>
    <n v="46"/>
    <n v="4.83"/>
    <n v="19"/>
    <n v="2.5099999999999998"/>
    <x v="0"/>
  </r>
  <r>
    <x v="0"/>
    <s v="羽島市"/>
    <x v="9"/>
    <x v="13"/>
    <n v="72"/>
    <n v="4.17"/>
    <n v="56"/>
    <n v="5.88"/>
    <n v="16"/>
    <n v="2.12"/>
    <x v="0"/>
  </r>
  <r>
    <x v="0"/>
    <s v="羽島市"/>
    <x v="9"/>
    <x v="14"/>
    <n v="78"/>
    <n v="4.5199999999999996"/>
    <n v="41"/>
    <n v="4.3099999999999996"/>
    <n v="26"/>
    <n v="3.44"/>
    <x v="8"/>
  </r>
  <r>
    <x v="0"/>
    <s v="恵那市"/>
    <x v="10"/>
    <x v="0"/>
    <n v="1"/>
    <n v="7.0000000000000007E-2"/>
    <n v="0"/>
    <n v="0"/>
    <n v="1"/>
    <n v="0.18"/>
    <x v="0"/>
  </r>
  <r>
    <x v="0"/>
    <s v="恵那市"/>
    <x v="10"/>
    <x v="1"/>
    <n v="217"/>
    <n v="14.79"/>
    <n v="116"/>
    <n v="13.32"/>
    <n v="101"/>
    <n v="17.940000000000001"/>
    <x v="0"/>
  </r>
  <r>
    <x v="0"/>
    <s v="恵那市"/>
    <x v="10"/>
    <x v="2"/>
    <n v="163"/>
    <n v="11.11"/>
    <n v="62"/>
    <n v="7.12"/>
    <n v="100"/>
    <n v="17.760000000000002"/>
    <x v="2"/>
  </r>
  <r>
    <x v="0"/>
    <s v="恵那市"/>
    <x v="10"/>
    <x v="3"/>
    <n v="2"/>
    <n v="0.14000000000000001"/>
    <n v="0"/>
    <n v="0"/>
    <n v="2"/>
    <n v="0.36"/>
    <x v="0"/>
  </r>
  <r>
    <x v="0"/>
    <s v="恵那市"/>
    <x v="10"/>
    <x v="4"/>
    <n v="4"/>
    <n v="0.27"/>
    <n v="1"/>
    <n v="0.11"/>
    <n v="3"/>
    <n v="0.53"/>
    <x v="0"/>
  </r>
  <r>
    <x v="0"/>
    <s v="恵那市"/>
    <x v="10"/>
    <x v="5"/>
    <n v="19"/>
    <n v="1.3"/>
    <n v="5"/>
    <n v="0.56999999999999995"/>
    <n v="14"/>
    <n v="2.4900000000000002"/>
    <x v="0"/>
  </r>
  <r>
    <x v="0"/>
    <s v="恵那市"/>
    <x v="10"/>
    <x v="6"/>
    <n v="336"/>
    <n v="22.9"/>
    <n v="186"/>
    <n v="21.35"/>
    <n v="149"/>
    <n v="26.47"/>
    <x v="2"/>
  </r>
  <r>
    <x v="0"/>
    <s v="恵那市"/>
    <x v="10"/>
    <x v="7"/>
    <n v="13"/>
    <n v="0.89"/>
    <n v="1"/>
    <n v="0.11"/>
    <n v="11"/>
    <n v="1.95"/>
    <x v="0"/>
  </r>
  <r>
    <x v="0"/>
    <s v="恵那市"/>
    <x v="10"/>
    <x v="8"/>
    <n v="90"/>
    <n v="6.13"/>
    <n v="47"/>
    <n v="5.4"/>
    <n v="43"/>
    <n v="7.64"/>
    <x v="0"/>
  </r>
  <r>
    <x v="0"/>
    <s v="恵那市"/>
    <x v="10"/>
    <x v="9"/>
    <n v="75"/>
    <n v="5.1100000000000003"/>
    <n v="42"/>
    <n v="4.82"/>
    <n v="30"/>
    <n v="5.33"/>
    <x v="0"/>
  </r>
  <r>
    <x v="0"/>
    <s v="恵那市"/>
    <x v="10"/>
    <x v="10"/>
    <n v="212"/>
    <n v="14.45"/>
    <n v="170"/>
    <n v="19.52"/>
    <n v="37"/>
    <n v="6.57"/>
    <x v="2"/>
  </r>
  <r>
    <x v="0"/>
    <s v="恵那市"/>
    <x v="10"/>
    <x v="11"/>
    <n v="166"/>
    <n v="11.32"/>
    <n v="139"/>
    <n v="15.96"/>
    <n v="26"/>
    <n v="4.62"/>
    <x v="2"/>
  </r>
  <r>
    <x v="0"/>
    <s v="恵那市"/>
    <x v="10"/>
    <x v="12"/>
    <n v="56"/>
    <n v="3.82"/>
    <n v="40"/>
    <n v="4.59"/>
    <n v="6"/>
    <n v="1.07"/>
    <x v="0"/>
  </r>
  <r>
    <x v="0"/>
    <s v="恵那市"/>
    <x v="10"/>
    <x v="13"/>
    <n v="65"/>
    <n v="4.43"/>
    <n v="43"/>
    <n v="4.9400000000000004"/>
    <n v="19"/>
    <n v="3.37"/>
    <x v="2"/>
  </r>
  <r>
    <x v="0"/>
    <s v="恵那市"/>
    <x v="10"/>
    <x v="14"/>
    <n v="48"/>
    <n v="3.27"/>
    <n v="19"/>
    <n v="2.1800000000000002"/>
    <n v="21"/>
    <n v="3.73"/>
    <x v="2"/>
  </r>
  <r>
    <x v="0"/>
    <s v="美濃加茂市"/>
    <x v="11"/>
    <x v="0"/>
    <n v="0"/>
    <n v="0"/>
    <n v="0"/>
    <n v="0"/>
    <n v="0"/>
    <n v="0"/>
    <x v="0"/>
  </r>
  <r>
    <x v="0"/>
    <s v="美濃加茂市"/>
    <x v="11"/>
    <x v="1"/>
    <n v="201"/>
    <n v="14.47"/>
    <n v="66"/>
    <n v="8.44"/>
    <n v="135"/>
    <n v="22.61"/>
    <x v="0"/>
  </r>
  <r>
    <x v="0"/>
    <s v="美濃加茂市"/>
    <x v="11"/>
    <x v="2"/>
    <n v="157"/>
    <n v="11.3"/>
    <n v="64"/>
    <n v="8.18"/>
    <n v="93"/>
    <n v="15.58"/>
    <x v="0"/>
  </r>
  <r>
    <x v="0"/>
    <s v="美濃加茂市"/>
    <x v="11"/>
    <x v="3"/>
    <n v="3"/>
    <n v="0.22"/>
    <n v="0"/>
    <n v="0"/>
    <n v="3"/>
    <n v="0.5"/>
    <x v="0"/>
  </r>
  <r>
    <x v="0"/>
    <s v="美濃加茂市"/>
    <x v="11"/>
    <x v="4"/>
    <n v="11"/>
    <n v="0.79"/>
    <n v="1"/>
    <n v="0.13"/>
    <n v="10"/>
    <n v="1.68"/>
    <x v="0"/>
  </r>
  <r>
    <x v="0"/>
    <s v="美濃加茂市"/>
    <x v="11"/>
    <x v="5"/>
    <n v="19"/>
    <n v="1.37"/>
    <n v="8"/>
    <n v="1.02"/>
    <n v="11"/>
    <n v="1.84"/>
    <x v="0"/>
  </r>
  <r>
    <x v="0"/>
    <s v="美濃加茂市"/>
    <x v="11"/>
    <x v="6"/>
    <n v="297"/>
    <n v="21.38"/>
    <n v="156"/>
    <n v="19.95"/>
    <n v="141"/>
    <n v="23.62"/>
    <x v="0"/>
  </r>
  <r>
    <x v="0"/>
    <s v="美濃加茂市"/>
    <x v="11"/>
    <x v="7"/>
    <n v="12"/>
    <n v="0.86"/>
    <n v="1"/>
    <n v="0.13"/>
    <n v="11"/>
    <n v="1.84"/>
    <x v="0"/>
  </r>
  <r>
    <x v="0"/>
    <s v="美濃加茂市"/>
    <x v="11"/>
    <x v="8"/>
    <n v="109"/>
    <n v="7.85"/>
    <n v="59"/>
    <n v="7.54"/>
    <n v="50"/>
    <n v="8.3800000000000008"/>
    <x v="0"/>
  </r>
  <r>
    <x v="0"/>
    <s v="美濃加茂市"/>
    <x v="11"/>
    <x v="9"/>
    <n v="61"/>
    <n v="4.3899999999999997"/>
    <n v="31"/>
    <n v="3.96"/>
    <n v="29"/>
    <n v="4.8600000000000003"/>
    <x v="0"/>
  </r>
  <r>
    <x v="0"/>
    <s v="美濃加茂市"/>
    <x v="11"/>
    <x v="10"/>
    <n v="174"/>
    <n v="12.53"/>
    <n v="141"/>
    <n v="18.03"/>
    <n v="32"/>
    <n v="5.36"/>
    <x v="0"/>
  </r>
  <r>
    <x v="0"/>
    <s v="美濃加茂市"/>
    <x v="11"/>
    <x v="11"/>
    <n v="159"/>
    <n v="11.45"/>
    <n v="129"/>
    <n v="16.5"/>
    <n v="29"/>
    <n v="4.8600000000000003"/>
    <x v="0"/>
  </r>
  <r>
    <x v="0"/>
    <s v="美濃加茂市"/>
    <x v="11"/>
    <x v="12"/>
    <n v="65"/>
    <n v="4.68"/>
    <n v="44"/>
    <n v="5.63"/>
    <n v="20"/>
    <n v="3.35"/>
    <x v="0"/>
  </r>
  <r>
    <x v="0"/>
    <s v="美濃加茂市"/>
    <x v="11"/>
    <x v="13"/>
    <n v="74"/>
    <n v="5.33"/>
    <n v="53"/>
    <n v="6.78"/>
    <n v="18"/>
    <n v="3.02"/>
    <x v="0"/>
  </r>
  <r>
    <x v="0"/>
    <s v="美濃加茂市"/>
    <x v="11"/>
    <x v="14"/>
    <n v="47"/>
    <n v="3.38"/>
    <n v="29"/>
    <n v="3.71"/>
    <n v="15"/>
    <n v="2.5099999999999998"/>
    <x v="2"/>
  </r>
  <r>
    <x v="0"/>
    <s v="土岐市"/>
    <x v="12"/>
    <x v="0"/>
    <n v="0"/>
    <n v="0"/>
    <n v="0"/>
    <n v="0"/>
    <n v="0"/>
    <n v="0"/>
    <x v="0"/>
  </r>
  <r>
    <x v="0"/>
    <s v="土岐市"/>
    <x v="12"/>
    <x v="1"/>
    <n v="242"/>
    <n v="12.03"/>
    <n v="114"/>
    <n v="9.84"/>
    <n v="128"/>
    <n v="15.37"/>
    <x v="0"/>
  </r>
  <r>
    <x v="0"/>
    <s v="土岐市"/>
    <x v="12"/>
    <x v="2"/>
    <n v="630"/>
    <n v="31.31"/>
    <n v="355"/>
    <n v="30.63"/>
    <n v="275"/>
    <n v="33.01"/>
    <x v="0"/>
  </r>
  <r>
    <x v="0"/>
    <s v="土岐市"/>
    <x v="12"/>
    <x v="3"/>
    <n v="2"/>
    <n v="0.1"/>
    <n v="0"/>
    <n v="0"/>
    <n v="1"/>
    <n v="0.12"/>
    <x v="0"/>
  </r>
  <r>
    <x v="0"/>
    <s v="土岐市"/>
    <x v="12"/>
    <x v="4"/>
    <n v="5"/>
    <n v="0.25"/>
    <n v="0"/>
    <n v="0"/>
    <n v="5"/>
    <n v="0.6"/>
    <x v="0"/>
  </r>
  <r>
    <x v="0"/>
    <s v="土岐市"/>
    <x v="12"/>
    <x v="5"/>
    <n v="22"/>
    <n v="1.0900000000000001"/>
    <n v="6"/>
    <n v="0.52"/>
    <n v="15"/>
    <n v="1.8"/>
    <x v="2"/>
  </r>
  <r>
    <x v="0"/>
    <s v="土岐市"/>
    <x v="12"/>
    <x v="6"/>
    <n v="441"/>
    <n v="21.92"/>
    <n v="217"/>
    <n v="18.72"/>
    <n v="223"/>
    <n v="26.77"/>
    <x v="2"/>
  </r>
  <r>
    <x v="0"/>
    <s v="土岐市"/>
    <x v="12"/>
    <x v="7"/>
    <n v="5"/>
    <n v="0.25"/>
    <n v="0"/>
    <n v="0"/>
    <n v="5"/>
    <n v="0.6"/>
    <x v="0"/>
  </r>
  <r>
    <x v="0"/>
    <s v="土岐市"/>
    <x v="12"/>
    <x v="8"/>
    <n v="72"/>
    <n v="3.58"/>
    <n v="16"/>
    <n v="1.38"/>
    <n v="55"/>
    <n v="6.6"/>
    <x v="0"/>
  </r>
  <r>
    <x v="0"/>
    <s v="土岐市"/>
    <x v="12"/>
    <x v="9"/>
    <n v="62"/>
    <n v="3.08"/>
    <n v="39"/>
    <n v="3.36"/>
    <n v="21"/>
    <n v="2.52"/>
    <x v="0"/>
  </r>
  <r>
    <x v="0"/>
    <s v="土岐市"/>
    <x v="12"/>
    <x v="10"/>
    <n v="187"/>
    <n v="9.2899999999999991"/>
    <n v="161"/>
    <n v="13.89"/>
    <n v="25"/>
    <n v="3"/>
    <x v="0"/>
  </r>
  <r>
    <x v="0"/>
    <s v="土岐市"/>
    <x v="12"/>
    <x v="11"/>
    <n v="176"/>
    <n v="8.75"/>
    <n v="147"/>
    <n v="12.68"/>
    <n v="28"/>
    <n v="3.36"/>
    <x v="0"/>
  </r>
  <r>
    <x v="0"/>
    <s v="土岐市"/>
    <x v="12"/>
    <x v="12"/>
    <n v="51"/>
    <n v="2.5299999999999998"/>
    <n v="32"/>
    <n v="2.76"/>
    <n v="9"/>
    <n v="1.08"/>
    <x v="0"/>
  </r>
  <r>
    <x v="0"/>
    <s v="土岐市"/>
    <x v="12"/>
    <x v="13"/>
    <n v="79"/>
    <n v="3.93"/>
    <n v="52"/>
    <n v="4.49"/>
    <n v="25"/>
    <n v="3"/>
    <x v="0"/>
  </r>
  <r>
    <x v="0"/>
    <s v="土岐市"/>
    <x v="12"/>
    <x v="14"/>
    <n v="38"/>
    <n v="1.89"/>
    <n v="20"/>
    <n v="1.73"/>
    <n v="18"/>
    <n v="2.16"/>
    <x v="0"/>
  </r>
  <r>
    <x v="0"/>
    <s v="各務原市"/>
    <x v="13"/>
    <x v="0"/>
    <n v="1"/>
    <n v="0.03"/>
    <n v="0"/>
    <n v="0"/>
    <n v="1"/>
    <n v="7.0000000000000007E-2"/>
    <x v="0"/>
  </r>
  <r>
    <x v="0"/>
    <s v="各務原市"/>
    <x v="13"/>
    <x v="1"/>
    <n v="406"/>
    <n v="12.99"/>
    <n v="108"/>
    <n v="6.7"/>
    <n v="298"/>
    <n v="19.88"/>
    <x v="0"/>
  </r>
  <r>
    <x v="0"/>
    <s v="各務原市"/>
    <x v="13"/>
    <x v="2"/>
    <n v="535"/>
    <n v="17.12"/>
    <n v="236"/>
    <n v="14.63"/>
    <n v="299"/>
    <n v="19.95"/>
    <x v="0"/>
  </r>
  <r>
    <x v="0"/>
    <s v="各務原市"/>
    <x v="13"/>
    <x v="3"/>
    <n v="1"/>
    <n v="0.03"/>
    <n v="0"/>
    <n v="0"/>
    <n v="1"/>
    <n v="7.0000000000000007E-2"/>
    <x v="0"/>
  </r>
  <r>
    <x v="0"/>
    <s v="各務原市"/>
    <x v="13"/>
    <x v="4"/>
    <n v="16"/>
    <n v="0.51"/>
    <n v="3"/>
    <n v="0.19"/>
    <n v="13"/>
    <n v="0.87"/>
    <x v="0"/>
  </r>
  <r>
    <x v="0"/>
    <s v="各務原市"/>
    <x v="13"/>
    <x v="5"/>
    <n v="30"/>
    <n v="0.96"/>
    <n v="4"/>
    <n v="0.25"/>
    <n v="26"/>
    <n v="1.73"/>
    <x v="0"/>
  </r>
  <r>
    <x v="0"/>
    <s v="各務原市"/>
    <x v="13"/>
    <x v="6"/>
    <n v="657"/>
    <n v="21.02"/>
    <n v="305"/>
    <n v="18.91"/>
    <n v="350"/>
    <n v="23.35"/>
    <x v="5"/>
  </r>
  <r>
    <x v="0"/>
    <s v="各務原市"/>
    <x v="13"/>
    <x v="7"/>
    <n v="20"/>
    <n v="0.64"/>
    <n v="3"/>
    <n v="0.19"/>
    <n v="17"/>
    <n v="1.1299999999999999"/>
    <x v="0"/>
  </r>
  <r>
    <x v="0"/>
    <s v="各務原市"/>
    <x v="13"/>
    <x v="8"/>
    <n v="168"/>
    <n v="5.38"/>
    <n v="37"/>
    <n v="2.29"/>
    <n v="130"/>
    <n v="8.67"/>
    <x v="0"/>
  </r>
  <r>
    <x v="0"/>
    <s v="各務原市"/>
    <x v="13"/>
    <x v="9"/>
    <n v="154"/>
    <n v="4.93"/>
    <n v="79"/>
    <n v="4.9000000000000004"/>
    <n v="74"/>
    <n v="4.9400000000000004"/>
    <x v="0"/>
  </r>
  <r>
    <x v="0"/>
    <s v="各務原市"/>
    <x v="13"/>
    <x v="10"/>
    <n v="328"/>
    <n v="10.5"/>
    <n v="269"/>
    <n v="16.68"/>
    <n v="58"/>
    <n v="3.87"/>
    <x v="0"/>
  </r>
  <r>
    <x v="0"/>
    <s v="各務原市"/>
    <x v="13"/>
    <x v="11"/>
    <n v="383"/>
    <n v="12.26"/>
    <n v="293"/>
    <n v="18.16"/>
    <n v="87"/>
    <n v="5.8"/>
    <x v="0"/>
  </r>
  <r>
    <x v="0"/>
    <s v="各務原市"/>
    <x v="13"/>
    <x v="12"/>
    <n v="146"/>
    <n v="4.67"/>
    <n v="102"/>
    <n v="6.32"/>
    <n v="43"/>
    <n v="2.87"/>
    <x v="0"/>
  </r>
  <r>
    <x v="0"/>
    <s v="各務原市"/>
    <x v="13"/>
    <x v="13"/>
    <n v="155"/>
    <n v="4.96"/>
    <n v="122"/>
    <n v="7.56"/>
    <n v="31"/>
    <n v="2.0699999999999998"/>
    <x v="0"/>
  </r>
  <r>
    <x v="0"/>
    <s v="各務原市"/>
    <x v="13"/>
    <x v="14"/>
    <n v="125"/>
    <n v="4"/>
    <n v="52"/>
    <n v="3.22"/>
    <n v="71"/>
    <n v="4.74"/>
    <x v="5"/>
  </r>
  <r>
    <x v="0"/>
    <s v="可児市"/>
    <x v="14"/>
    <x v="0"/>
    <n v="0"/>
    <n v="0"/>
    <n v="0"/>
    <n v="0"/>
    <n v="0"/>
    <n v="0"/>
    <x v="0"/>
  </r>
  <r>
    <x v="0"/>
    <s v="可児市"/>
    <x v="14"/>
    <x v="1"/>
    <n v="296"/>
    <n v="16.28"/>
    <n v="83"/>
    <n v="8.57"/>
    <n v="213"/>
    <n v="25.69"/>
    <x v="0"/>
  </r>
  <r>
    <x v="0"/>
    <s v="可児市"/>
    <x v="14"/>
    <x v="2"/>
    <n v="133"/>
    <n v="7.32"/>
    <n v="46"/>
    <n v="4.75"/>
    <n v="87"/>
    <n v="10.49"/>
    <x v="0"/>
  </r>
  <r>
    <x v="0"/>
    <s v="可児市"/>
    <x v="14"/>
    <x v="3"/>
    <n v="3"/>
    <n v="0.17"/>
    <n v="0"/>
    <n v="0"/>
    <n v="3"/>
    <n v="0.36"/>
    <x v="0"/>
  </r>
  <r>
    <x v="0"/>
    <s v="可児市"/>
    <x v="14"/>
    <x v="4"/>
    <n v="13"/>
    <n v="0.72"/>
    <n v="2"/>
    <n v="0.21"/>
    <n v="11"/>
    <n v="1.33"/>
    <x v="0"/>
  </r>
  <r>
    <x v="0"/>
    <s v="可児市"/>
    <x v="14"/>
    <x v="5"/>
    <n v="18"/>
    <n v="0.99"/>
    <n v="3"/>
    <n v="0.31"/>
    <n v="15"/>
    <n v="1.81"/>
    <x v="0"/>
  </r>
  <r>
    <x v="0"/>
    <s v="可児市"/>
    <x v="14"/>
    <x v="6"/>
    <n v="343"/>
    <n v="18.87"/>
    <n v="167"/>
    <n v="17.25"/>
    <n v="176"/>
    <n v="21.23"/>
    <x v="0"/>
  </r>
  <r>
    <x v="0"/>
    <s v="可児市"/>
    <x v="14"/>
    <x v="7"/>
    <n v="13"/>
    <n v="0.72"/>
    <n v="3"/>
    <n v="0.31"/>
    <n v="10"/>
    <n v="1.21"/>
    <x v="0"/>
  </r>
  <r>
    <x v="0"/>
    <s v="可児市"/>
    <x v="14"/>
    <x v="8"/>
    <n v="129"/>
    <n v="7.1"/>
    <n v="38"/>
    <n v="3.93"/>
    <n v="91"/>
    <n v="10.98"/>
    <x v="0"/>
  </r>
  <r>
    <x v="0"/>
    <s v="可児市"/>
    <x v="14"/>
    <x v="9"/>
    <n v="124"/>
    <n v="6.82"/>
    <n v="75"/>
    <n v="7.75"/>
    <n v="49"/>
    <n v="5.91"/>
    <x v="0"/>
  </r>
  <r>
    <x v="0"/>
    <s v="可児市"/>
    <x v="14"/>
    <x v="10"/>
    <n v="225"/>
    <n v="12.38"/>
    <n v="187"/>
    <n v="19.32"/>
    <n v="37"/>
    <n v="4.46"/>
    <x v="0"/>
  </r>
  <r>
    <x v="0"/>
    <s v="可児市"/>
    <x v="14"/>
    <x v="11"/>
    <n v="271"/>
    <n v="14.91"/>
    <n v="204"/>
    <n v="21.07"/>
    <n v="67"/>
    <n v="8.08"/>
    <x v="0"/>
  </r>
  <r>
    <x v="0"/>
    <s v="可児市"/>
    <x v="14"/>
    <x v="12"/>
    <n v="109"/>
    <n v="6"/>
    <n v="70"/>
    <n v="7.23"/>
    <n v="24"/>
    <n v="2.9"/>
    <x v="0"/>
  </r>
  <r>
    <x v="0"/>
    <s v="可児市"/>
    <x v="14"/>
    <x v="13"/>
    <n v="84"/>
    <n v="4.62"/>
    <n v="61"/>
    <n v="6.3"/>
    <n v="23"/>
    <n v="2.77"/>
    <x v="0"/>
  </r>
  <r>
    <x v="0"/>
    <s v="可児市"/>
    <x v="14"/>
    <x v="14"/>
    <n v="57"/>
    <n v="3.14"/>
    <n v="29"/>
    <n v="3"/>
    <n v="23"/>
    <n v="2.77"/>
    <x v="2"/>
  </r>
  <r>
    <x v="0"/>
    <s v="山県市"/>
    <x v="15"/>
    <x v="0"/>
    <n v="0"/>
    <n v="0"/>
    <n v="0"/>
    <n v="0"/>
    <n v="0"/>
    <n v="0"/>
    <x v="0"/>
  </r>
  <r>
    <x v="0"/>
    <s v="山県市"/>
    <x v="15"/>
    <x v="1"/>
    <n v="215"/>
    <n v="24.91"/>
    <n v="131"/>
    <n v="23.65"/>
    <n v="84"/>
    <n v="27.91"/>
    <x v="0"/>
  </r>
  <r>
    <x v="0"/>
    <s v="山県市"/>
    <x v="15"/>
    <x v="2"/>
    <n v="229"/>
    <n v="26.54"/>
    <n v="129"/>
    <n v="23.29"/>
    <n v="100"/>
    <n v="33.22"/>
    <x v="0"/>
  </r>
  <r>
    <x v="0"/>
    <s v="山県市"/>
    <x v="15"/>
    <x v="3"/>
    <n v="1"/>
    <n v="0.12"/>
    <n v="1"/>
    <n v="0.18"/>
    <n v="0"/>
    <n v="0"/>
    <x v="0"/>
  </r>
  <r>
    <x v="0"/>
    <s v="山県市"/>
    <x v="15"/>
    <x v="4"/>
    <n v="4"/>
    <n v="0.46"/>
    <n v="2"/>
    <n v="0.36"/>
    <n v="2"/>
    <n v="0.66"/>
    <x v="0"/>
  </r>
  <r>
    <x v="0"/>
    <s v="山県市"/>
    <x v="15"/>
    <x v="5"/>
    <n v="14"/>
    <n v="1.62"/>
    <n v="11"/>
    <n v="1.99"/>
    <n v="3"/>
    <n v="1"/>
    <x v="0"/>
  </r>
  <r>
    <x v="0"/>
    <s v="山県市"/>
    <x v="15"/>
    <x v="6"/>
    <n v="159"/>
    <n v="18.420000000000002"/>
    <n v="103"/>
    <n v="18.59"/>
    <n v="56"/>
    <n v="18.600000000000001"/>
    <x v="0"/>
  </r>
  <r>
    <x v="0"/>
    <s v="山県市"/>
    <x v="15"/>
    <x v="7"/>
    <n v="2"/>
    <n v="0.23"/>
    <n v="1"/>
    <n v="0.18"/>
    <n v="1"/>
    <n v="0.33"/>
    <x v="0"/>
  </r>
  <r>
    <x v="0"/>
    <s v="山県市"/>
    <x v="15"/>
    <x v="8"/>
    <n v="14"/>
    <n v="1.62"/>
    <n v="2"/>
    <n v="0.36"/>
    <n v="12"/>
    <n v="3.99"/>
    <x v="0"/>
  </r>
  <r>
    <x v="0"/>
    <s v="山県市"/>
    <x v="15"/>
    <x v="9"/>
    <n v="29"/>
    <n v="3.36"/>
    <n v="18"/>
    <n v="3.25"/>
    <n v="11"/>
    <n v="3.65"/>
    <x v="0"/>
  </r>
  <r>
    <x v="0"/>
    <s v="山県市"/>
    <x v="15"/>
    <x v="10"/>
    <n v="53"/>
    <n v="6.14"/>
    <n v="49"/>
    <n v="8.84"/>
    <n v="4"/>
    <n v="1.33"/>
    <x v="0"/>
  </r>
  <r>
    <x v="0"/>
    <s v="山県市"/>
    <x v="15"/>
    <x v="11"/>
    <n v="71"/>
    <n v="8.23"/>
    <n v="57"/>
    <n v="10.29"/>
    <n v="14"/>
    <n v="4.6500000000000004"/>
    <x v="0"/>
  </r>
  <r>
    <x v="0"/>
    <s v="山県市"/>
    <x v="15"/>
    <x v="12"/>
    <n v="27"/>
    <n v="3.13"/>
    <n v="20"/>
    <n v="3.61"/>
    <n v="4"/>
    <n v="1.33"/>
    <x v="0"/>
  </r>
  <r>
    <x v="0"/>
    <s v="山県市"/>
    <x v="15"/>
    <x v="13"/>
    <n v="21"/>
    <n v="2.4300000000000002"/>
    <n v="17"/>
    <n v="3.07"/>
    <n v="2"/>
    <n v="0.66"/>
    <x v="0"/>
  </r>
  <r>
    <x v="0"/>
    <s v="山県市"/>
    <x v="15"/>
    <x v="14"/>
    <n v="24"/>
    <n v="2.78"/>
    <n v="13"/>
    <n v="2.35"/>
    <n v="8"/>
    <n v="2.66"/>
    <x v="0"/>
  </r>
  <r>
    <x v="0"/>
    <s v="瑞穂市"/>
    <x v="16"/>
    <x v="0"/>
    <n v="0"/>
    <n v="0"/>
    <n v="0"/>
    <n v="0"/>
    <n v="0"/>
    <n v="0"/>
    <x v="0"/>
  </r>
  <r>
    <x v="0"/>
    <s v="瑞穂市"/>
    <x v="16"/>
    <x v="1"/>
    <n v="145"/>
    <n v="14.02"/>
    <n v="36"/>
    <n v="6.91"/>
    <n v="109"/>
    <n v="21.29"/>
    <x v="0"/>
  </r>
  <r>
    <x v="0"/>
    <s v="瑞穂市"/>
    <x v="16"/>
    <x v="2"/>
    <n v="129"/>
    <n v="12.48"/>
    <n v="50"/>
    <n v="9.6"/>
    <n v="79"/>
    <n v="15.43"/>
    <x v="0"/>
  </r>
  <r>
    <x v="0"/>
    <s v="瑞穂市"/>
    <x v="16"/>
    <x v="3"/>
    <n v="11"/>
    <n v="1.06"/>
    <n v="1"/>
    <n v="0.19"/>
    <n v="10"/>
    <n v="1.95"/>
    <x v="0"/>
  </r>
  <r>
    <x v="0"/>
    <s v="瑞穂市"/>
    <x v="16"/>
    <x v="4"/>
    <n v="4"/>
    <n v="0.39"/>
    <n v="0"/>
    <n v="0"/>
    <n v="4"/>
    <n v="0.78"/>
    <x v="0"/>
  </r>
  <r>
    <x v="0"/>
    <s v="瑞穂市"/>
    <x v="16"/>
    <x v="5"/>
    <n v="10"/>
    <n v="0.97"/>
    <n v="3"/>
    <n v="0.57999999999999996"/>
    <n v="7"/>
    <n v="1.37"/>
    <x v="0"/>
  </r>
  <r>
    <x v="0"/>
    <s v="瑞穂市"/>
    <x v="16"/>
    <x v="6"/>
    <n v="199"/>
    <n v="19.25"/>
    <n v="81"/>
    <n v="15.55"/>
    <n v="118"/>
    <n v="23.05"/>
    <x v="0"/>
  </r>
  <r>
    <x v="0"/>
    <s v="瑞穂市"/>
    <x v="16"/>
    <x v="7"/>
    <n v="8"/>
    <n v="0.77"/>
    <n v="1"/>
    <n v="0.19"/>
    <n v="7"/>
    <n v="1.37"/>
    <x v="0"/>
  </r>
  <r>
    <x v="0"/>
    <s v="瑞穂市"/>
    <x v="16"/>
    <x v="8"/>
    <n v="135"/>
    <n v="13.06"/>
    <n v="75"/>
    <n v="14.4"/>
    <n v="60"/>
    <n v="11.72"/>
    <x v="0"/>
  </r>
  <r>
    <x v="0"/>
    <s v="瑞穂市"/>
    <x v="16"/>
    <x v="9"/>
    <n v="56"/>
    <n v="5.42"/>
    <n v="26"/>
    <n v="4.99"/>
    <n v="30"/>
    <n v="5.86"/>
    <x v="0"/>
  </r>
  <r>
    <x v="0"/>
    <s v="瑞穂市"/>
    <x v="16"/>
    <x v="10"/>
    <n v="85"/>
    <n v="8.2200000000000006"/>
    <n v="71"/>
    <n v="13.63"/>
    <n v="14"/>
    <n v="2.73"/>
    <x v="0"/>
  </r>
  <r>
    <x v="0"/>
    <s v="瑞穂市"/>
    <x v="16"/>
    <x v="11"/>
    <n v="114"/>
    <n v="11.03"/>
    <n v="95"/>
    <n v="18.23"/>
    <n v="19"/>
    <n v="3.71"/>
    <x v="0"/>
  </r>
  <r>
    <x v="0"/>
    <s v="瑞穂市"/>
    <x v="16"/>
    <x v="12"/>
    <n v="42"/>
    <n v="4.0599999999999996"/>
    <n v="26"/>
    <n v="4.99"/>
    <n v="15"/>
    <n v="2.93"/>
    <x v="2"/>
  </r>
  <r>
    <x v="0"/>
    <s v="瑞穂市"/>
    <x v="16"/>
    <x v="13"/>
    <n v="51"/>
    <n v="4.93"/>
    <n v="38"/>
    <n v="7.29"/>
    <n v="13"/>
    <n v="2.54"/>
    <x v="0"/>
  </r>
  <r>
    <x v="0"/>
    <s v="瑞穂市"/>
    <x v="16"/>
    <x v="14"/>
    <n v="45"/>
    <n v="4.3499999999999996"/>
    <n v="18"/>
    <n v="3.45"/>
    <n v="27"/>
    <n v="5.27"/>
    <x v="0"/>
  </r>
  <r>
    <x v="0"/>
    <s v="飛騨市"/>
    <x v="17"/>
    <x v="0"/>
    <n v="0"/>
    <n v="0"/>
    <n v="0"/>
    <n v="0"/>
    <n v="0"/>
    <n v="0"/>
    <x v="0"/>
  </r>
  <r>
    <x v="0"/>
    <s v="飛騨市"/>
    <x v="17"/>
    <x v="1"/>
    <n v="133"/>
    <n v="14.65"/>
    <n v="62"/>
    <n v="10.35"/>
    <n v="71"/>
    <n v="24.15"/>
    <x v="0"/>
  </r>
  <r>
    <x v="0"/>
    <s v="飛騨市"/>
    <x v="17"/>
    <x v="2"/>
    <n v="86"/>
    <n v="9.4700000000000006"/>
    <n v="38"/>
    <n v="6.34"/>
    <n v="48"/>
    <n v="16.329999999999998"/>
    <x v="0"/>
  </r>
  <r>
    <x v="0"/>
    <s v="飛騨市"/>
    <x v="17"/>
    <x v="3"/>
    <n v="8"/>
    <n v="0.88"/>
    <n v="0"/>
    <n v="0"/>
    <n v="5"/>
    <n v="1.7"/>
    <x v="0"/>
  </r>
  <r>
    <x v="0"/>
    <s v="飛騨市"/>
    <x v="17"/>
    <x v="4"/>
    <n v="3"/>
    <n v="0.33"/>
    <n v="0"/>
    <n v="0"/>
    <n v="3"/>
    <n v="1.02"/>
    <x v="0"/>
  </r>
  <r>
    <x v="0"/>
    <s v="飛騨市"/>
    <x v="17"/>
    <x v="5"/>
    <n v="6"/>
    <n v="0.66"/>
    <n v="0"/>
    <n v="0"/>
    <n v="6"/>
    <n v="2.04"/>
    <x v="0"/>
  </r>
  <r>
    <x v="0"/>
    <s v="飛騨市"/>
    <x v="17"/>
    <x v="6"/>
    <n v="207"/>
    <n v="22.8"/>
    <n v="132"/>
    <n v="22.04"/>
    <n v="75"/>
    <n v="25.51"/>
    <x v="0"/>
  </r>
  <r>
    <x v="0"/>
    <s v="飛騨市"/>
    <x v="17"/>
    <x v="7"/>
    <n v="6"/>
    <n v="0.66"/>
    <n v="1"/>
    <n v="0.17"/>
    <n v="5"/>
    <n v="1.7"/>
    <x v="0"/>
  </r>
  <r>
    <x v="0"/>
    <s v="飛騨市"/>
    <x v="17"/>
    <x v="8"/>
    <n v="20"/>
    <n v="2.2000000000000002"/>
    <n v="10"/>
    <n v="1.67"/>
    <n v="10"/>
    <n v="3.4"/>
    <x v="0"/>
  </r>
  <r>
    <x v="0"/>
    <s v="飛騨市"/>
    <x v="17"/>
    <x v="9"/>
    <n v="42"/>
    <n v="4.63"/>
    <n v="19"/>
    <n v="3.17"/>
    <n v="22"/>
    <n v="7.48"/>
    <x v="0"/>
  </r>
  <r>
    <x v="0"/>
    <s v="飛騨市"/>
    <x v="17"/>
    <x v="10"/>
    <n v="162"/>
    <n v="17.84"/>
    <n v="148"/>
    <n v="24.71"/>
    <n v="13"/>
    <n v="4.42"/>
    <x v="0"/>
  </r>
  <r>
    <x v="0"/>
    <s v="飛騨市"/>
    <x v="17"/>
    <x v="11"/>
    <n v="110"/>
    <n v="12.11"/>
    <n v="95"/>
    <n v="15.86"/>
    <n v="15"/>
    <n v="5.0999999999999996"/>
    <x v="0"/>
  </r>
  <r>
    <x v="0"/>
    <s v="飛騨市"/>
    <x v="17"/>
    <x v="12"/>
    <n v="53"/>
    <n v="5.84"/>
    <n v="44"/>
    <n v="7.35"/>
    <n v="5"/>
    <n v="1.7"/>
    <x v="0"/>
  </r>
  <r>
    <x v="0"/>
    <s v="飛騨市"/>
    <x v="17"/>
    <x v="13"/>
    <n v="54"/>
    <n v="5.95"/>
    <n v="41"/>
    <n v="6.84"/>
    <n v="8"/>
    <n v="2.72"/>
    <x v="0"/>
  </r>
  <r>
    <x v="0"/>
    <s v="飛騨市"/>
    <x v="17"/>
    <x v="14"/>
    <n v="18"/>
    <n v="1.98"/>
    <n v="9"/>
    <n v="1.5"/>
    <n v="8"/>
    <n v="2.72"/>
    <x v="2"/>
  </r>
  <r>
    <x v="0"/>
    <s v="本巣市"/>
    <x v="18"/>
    <x v="0"/>
    <n v="0"/>
    <n v="0"/>
    <n v="0"/>
    <n v="0"/>
    <n v="0"/>
    <n v="0"/>
    <x v="0"/>
  </r>
  <r>
    <x v="0"/>
    <s v="本巣市"/>
    <x v="18"/>
    <x v="1"/>
    <n v="156"/>
    <n v="22.45"/>
    <n v="50"/>
    <n v="15.02"/>
    <n v="106"/>
    <n v="30.29"/>
    <x v="0"/>
  </r>
  <r>
    <x v="0"/>
    <s v="本巣市"/>
    <x v="18"/>
    <x v="2"/>
    <n v="89"/>
    <n v="12.81"/>
    <n v="31"/>
    <n v="9.31"/>
    <n v="58"/>
    <n v="16.57"/>
    <x v="0"/>
  </r>
  <r>
    <x v="0"/>
    <s v="本巣市"/>
    <x v="18"/>
    <x v="3"/>
    <n v="0"/>
    <n v="0"/>
    <n v="0"/>
    <n v="0"/>
    <n v="0"/>
    <n v="0"/>
    <x v="0"/>
  </r>
  <r>
    <x v="0"/>
    <s v="本巣市"/>
    <x v="18"/>
    <x v="4"/>
    <n v="6"/>
    <n v="0.86"/>
    <n v="1"/>
    <n v="0.3"/>
    <n v="5"/>
    <n v="1.43"/>
    <x v="0"/>
  </r>
  <r>
    <x v="0"/>
    <s v="本巣市"/>
    <x v="18"/>
    <x v="5"/>
    <n v="4"/>
    <n v="0.57999999999999996"/>
    <n v="1"/>
    <n v="0.3"/>
    <n v="1"/>
    <n v="0.28999999999999998"/>
    <x v="5"/>
  </r>
  <r>
    <x v="0"/>
    <s v="本巣市"/>
    <x v="18"/>
    <x v="6"/>
    <n v="140"/>
    <n v="20.14"/>
    <n v="52"/>
    <n v="15.62"/>
    <n v="88"/>
    <n v="25.14"/>
    <x v="0"/>
  </r>
  <r>
    <x v="0"/>
    <s v="本巣市"/>
    <x v="18"/>
    <x v="7"/>
    <n v="3"/>
    <n v="0.43"/>
    <n v="0"/>
    <n v="0"/>
    <n v="3"/>
    <n v="0.86"/>
    <x v="0"/>
  </r>
  <r>
    <x v="0"/>
    <s v="本巣市"/>
    <x v="18"/>
    <x v="8"/>
    <n v="29"/>
    <n v="4.17"/>
    <n v="14"/>
    <n v="4.2"/>
    <n v="15"/>
    <n v="4.29"/>
    <x v="0"/>
  </r>
  <r>
    <x v="0"/>
    <s v="本巣市"/>
    <x v="18"/>
    <x v="9"/>
    <n v="19"/>
    <n v="2.73"/>
    <n v="4"/>
    <n v="1.2"/>
    <n v="15"/>
    <n v="4.29"/>
    <x v="0"/>
  </r>
  <r>
    <x v="0"/>
    <s v="本巣市"/>
    <x v="18"/>
    <x v="10"/>
    <n v="83"/>
    <n v="11.94"/>
    <n v="67"/>
    <n v="20.12"/>
    <n v="16"/>
    <n v="4.57"/>
    <x v="0"/>
  </r>
  <r>
    <x v="0"/>
    <s v="本巣市"/>
    <x v="18"/>
    <x v="11"/>
    <n v="73"/>
    <n v="10.5"/>
    <n v="52"/>
    <n v="15.62"/>
    <n v="20"/>
    <n v="5.71"/>
    <x v="0"/>
  </r>
  <r>
    <x v="0"/>
    <s v="本巣市"/>
    <x v="18"/>
    <x v="12"/>
    <n v="21"/>
    <n v="3.02"/>
    <n v="16"/>
    <n v="4.8"/>
    <n v="1"/>
    <n v="0.28999999999999998"/>
    <x v="0"/>
  </r>
  <r>
    <x v="0"/>
    <s v="本巣市"/>
    <x v="18"/>
    <x v="13"/>
    <n v="39"/>
    <n v="5.61"/>
    <n v="26"/>
    <n v="7.81"/>
    <n v="10"/>
    <n v="2.86"/>
    <x v="0"/>
  </r>
  <r>
    <x v="0"/>
    <s v="本巣市"/>
    <x v="18"/>
    <x v="14"/>
    <n v="33"/>
    <n v="4.75"/>
    <n v="19"/>
    <n v="5.71"/>
    <n v="12"/>
    <n v="3.43"/>
    <x v="0"/>
  </r>
  <r>
    <x v="0"/>
    <s v="郡上市"/>
    <x v="19"/>
    <x v="0"/>
    <n v="1"/>
    <n v="0.06"/>
    <n v="0"/>
    <n v="0"/>
    <n v="1"/>
    <n v="0.19"/>
    <x v="0"/>
  </r>
  <r>
    <x v="0"/>
    <s v="郡上市"/>
    <x v="19"/>
    <x v="1"/>
    <n v="317"/>
    <n v="17.61"/>
    <n v="183"/>
    <n v="14.82"/>
    <n v="134"/>
    <n v="25.43"/>
    <x v="0"/>
  </r>
  <r>
    <x v="0"/>
    <s v="郡上市"/>
    <x v="19"/>
    <x v="2"/>
    <n v="227"/>
    <n v="12.61"/>
    <n v="132"/>
    <n v="10.69"/>
    <n v="95"/>
    <n v="18.03"/>
    <x v="0"/>
  </r>
  <r>
    <x v="0"/>
    <s v="郡上市"/>
    <x v="19"/>
    <x v="3"/>
    <n v="1"/>
    <n v="0.06"/>
    <n v="0"/>
    <n v="0"/>
    <n v="1"/>
    <n v="0.19"/>
    <x v="0"/>
  </r>
  <r>
    <x v="0"/>
    <s v="郡上市"/>
    <x v="19"/>
    <x v="4"/>
    <n v="5"/>
    <n v="0.28000000000000003"/>
    <n v="0"/>
    <n v="0"/>
    <n v="5"/>
    <n v="0.95"/>
    <x v="0"/>
  </r>
  <r>
    <x v="0"/>
    <s v="郡上市"/>
    <x v="19"/>
    <x v="5"/>
    <n v="11"/>
    <n v="0.61"/>
    <n v="2"/>
    <n v="0.16"/>
    <n v="8"/>
    <n v="1.52"/>
    <x v="2"/>
  </r>
  <r>
    <x v="0"/>
    <s v="郡上市"/>
    <x v="19"/>
    <x v="6"/>
    <n v="377"/>
    <n v="20.94"/>
    <n v="240"/>
    <n v="19.43"/>
    <n v="135"/>
    <n v="25.62"/>
    <x v="5"/>
  </r>
  <r>
    <x v="0"/>
    <s v="郡上市"/>
    <x v="19"/>
    <x v="7"/>
    <n v="6"/>
    <n v="0.33"/>
    <n v="2"/>
    <n v="0.16"/>
    <n v="3"/>
    <n v="0.56999999999999995"/>
    <x v="2"/>
  </r>
  <r>
    <x v="0"/>
    <s v="郡上市"/>
    <x v="19"/>
    <x v="8"/>
    <n v="46"/>
    <n v="2.56"/>
    <n v="22"/>
    <n v="1.78"/>
    <n v="24"/>
    <n v="4.55"/>
    <x v="0"/>
  </r>
  <r>
    <x v="0"/>
    <s v="郡上市"/>
    <x v="19"/>
    <x v="9"/>
    <n v="61"/>
    <n v="3.39"/>
    <n v="44"/>
    <n v="3.56"/>
    <n v="16"/>
    <n v="3.04"/>
    <x v="0"/>
  </r>
  <r>
    <x v="0"/>
    <s v="郡上市"/>
    <x v="19"/>
    <x v="10"/>
    <n v="353"/>
    <n v="19.61"/>
    <n v="313"/>
    <n v="25.34"/>
    <n v="37"/>
    <n v="7.02"/>
    <x v="9"/>
  </r>
  <r>
    <x v="0"/>
    <s v="郡上市"/>
    <x v="19"/>
    <x v="11"/>
    <n v="197"/>
    <n v="10.94"/>
    <n v="169"/>
    <n v="13.68"/>
    <n v="26"/>
    <n v="4.93"/>
    <x v="0"/>
  </r>
  <r>
    <x v="0"/>
    <s v="郡上市"/>
    <x v="19"/>
    <x v="12"/>
    <n v="80"/>
    <n v="4.4400000000000004"/>
    <n v="57"/>
    <n v="4.62"/>
    <n v="5"/>
    <n v="0.95"/>
    <x v="0"/>
  </r>
  <r>
    <x v="0"/>
    <s v="郡上市"/>
    <x v="19"/>
    <x v="13"/>
    <n v="71"/>
    <n v="3.94"/>
    <n v="49"/>
    <n v="3.97"/>
    <n v="17"/>
    <n v="3.23"/>
    <x v="0"/>
  </r>
  <r>
    <x v="0"/>
    <s v="郡上市"/>
    <x v="19"/>
    <x v="14"/>
    <n v="47"/>
    <n v="2.61"/>
    <n v="22"/>
    <n v="1.78"/>
    <n v="20"/>
    <n v="3.8"/>
    <x v="0"/>
  </r>
  <r>
    <x v="0"/>
    <s v="下呂市"/>
    <x v="20"/>
    <x v="0"/>
    <n v="1"/>
    <n v="7.0000000000000007E-2"/>
    <n v="0"/>
    <n v="0"/>
    <n v="1"/>
    <n v="0.21"/>
    <x v="0"/>
  </r>
  <r>
    <x v="0"/>
    <s v="下呂市"/>
    <x v="20"/>
    <x v="1"/>
    <n v="230"/>
    <n v="16.920000000000002"/>
    <n v="116"/>
    <n v="13.36"/>
    <n v="114"/>
    <n v="23.8"/>
    <x v="0"/>
  </r>
  <r>
    <x v="0"/>
    <s v="下呂市"/>
    <x v="20"/>
    <x v="2"/>
    <n v="127"/>
    <n v="9.35"/>
    <n v="66"/>
    <n v="7.6"/>
    <n v="60"/>
    <n v="12.53"/>
    <x v="2"/>
  </r>
  <r>
    <x v="0"/>
    <s v="下呂市"/>
    <x v="20"/>
    <x v="3"/>
    <n v="2"/>
    <n v="0.15"/>
    <n v="0"/>
    <n v="0"/>
    <n v="2"/>
    <n v="0.42"/>
    <x v="0"/>
  </r>
  <r>
    <x v="0"/>
    <s v="下呂市"/>
    <x v="20"/>
    <x v="4"/>
    <n v="10"/>
    <n v="0.74"/>
    <n v="2"/>
    <n v="0.23"/>
    <n v="8"/>
    <n v="1.67"/>
    <x v="0"/>
  </r>
  <r>
    <x v="0"/>
    <s v="下呂市"/>
    <x v="20"/>
    <x v="5"/>
    <n v="15"/>
    <n v="1.1000000000000001"/>
    <n v="5"/>
    <n v="0.57999999999999996"/>
    <n v="8"/>
    <n v="1.67"/>
    <x v="5"/>
  </r>
  <r>
    <x v="0"/>
    <s v="下呂市"/>
    <x v="20"/>
    <x v="6"/>
    <n v="303"/>
    <n v="22.3"/>
    <n v="159"/>
    <n v="18.32"/>
    <n v="144"/>
    <n v="30.06"/>
    <x v="0"/>
  </r>
  <r>
    <x v="0"/>
    <s v="下呂市"/>
    <x v="20"/>
    <x v="7"/>
    <n v="7"/>
    <n v="0.52"/>
    <n v="3"/>
    <n v="0.35"/>
    <n v="4"/>
    <n v="0.84"/>
    <x v="0"/>
  </r>
  <r>
    <x v="0"/>
    <s v="下呂市"/>
    <x v="20"/>
    <x v="8"/>
    <n v="70"/>
    <n v="5.15"/>
    <n v="51"/>
    <n v="5.88"/>
    <n v="19"/>
    <n v="3.97"/>
    <x v="0"/>
  </r>
  <r>
    <x v="0"/>
    <s v="下呂市"/>
    <x v="20"/>
    <x v="9"/>
    <n v="54"/>
    <n v="3.97"/>
    <n v="27"/>
    <n v="3.11"/>
    <n v="25"/>
    <n v="5.22"/>
    <x v="0"/>
  </r>
  <r>
    <x v="0"/>
    <s v="下呂市"/>
    <x v="20"/>
    <x v="10"/>
    <n v="215"/>
    <n v="15.82"/>
    <n v="188"/>
    <n v="21.66"/>
    <n v="27"/>
    <n v="5.64"/>
    <x v="0"/>
  </r>
  <r>
    <x v="0"/>
    <s v="下呂市"/>
    <x v="20"/>
    <x v="11"/>
    <n v="178"/>
    <n v="13.1"/>
    <n v="157"/>
    <n v="18.09"/>
    <n v="21"/>
    <n v="4.38"/>
    <x v="0"/>
  </r>
  <r>
    <x v="0"/>
    <s v="下呂市"/>
    <x v="20"/>
    <x v="12"/>
    <n v="50"/>
    <n v="3.68"/>
    <n v="41"/>
    <n v="4.72"/>
    <n v="5"/>
    <n v="1.04"/>
    <x v="0"/>
  </r>
  <r>
    <x v="0"/>
    <s v="下呂市"/>
    <x v="20"/>
    <x v="13"/>
    <n v="69"/>
    <n v="5.08"/>
    <n v="41"/>
    <n v="4.72"/>
    <n v="26"/>
    <n v="5.43"/>
    <x v="0"/>
  </r>
  <r>
    <x v="0"/>
    <s v="下呂市"/>
    <x v="20"/>
    <x v="14"/>
    <n v="28"/>
    <n v="2.06"/>
    <n v="12"/>
    <n v="1.38"/>
    <n v="15"/>
    <n v="3.13"/>
    <x v="0"/>
  </r>
  <r>
    <x v="0"/>
    <s v="海津市"/>
    <x v="21"/>
    <x v="0"/>
    <n v="0"/>
    <n v="0"/>
    <n v="0"/>
    <n v="0"/>
    <n v="0"/>
    <n v="0"/>
    <x v="0"/>
  </r>
  <r>
    <x v="0"/>
    <s v="海津市"/>
    <x v="21"/>
    <x v="1"/>
    <n v="121"/>
    <n v="13.81"/>
    <n v="54"/>
    <n v="10.4"/>
    <n v="67"/>
    <n v="19.940000000000001"/>
    <x v="0"/>
  </r>
  <r>
    <x v="0"/>
    <s v="海津市"/>
    <x v="21"/>
    <x v="2"/>
    <n v="149"/>
    <n v="17.010000000000002"/>
    <n v="66"/>
    <n v="12.72"/>
    <n v="83"/>
    <n v="24.7"/>
    <x v="0"/>
  </r>
  <r>
    <x v="0"/>
    <s v="海津市"/>
    <x v="21"/>
    <x v="3"/>
    <n v="3"/>
    <n v="0.34"/>
    <n v="0"/>
    <n v="0"/>
    <n v="1"/>
    <n v="0.3"/>
    <x v="0"/>
  </r>
  <r>
    <x v="0"/>
    <s v="海津市"/>
    <x v="21"/>
    <x v="4"/>
    <n v="4"/>
    <n v="0.46"/>
    <n v="0"/>
    <n v="0"/>
    <n v="4"/>
    <n v="1.19"/>
    <x v="0"/>
  </r>
  <r>
    <x v="0"/>
    <s v="海津市"/>
    <x v="21"/>
    <x v="5"/>
    <n v="11"/>
    <n v="1.26"/>
    <n v="3"/>
    <n v="0.57999999999999996"/>
    <n v="8"/>
    <n v="2.38"/>
    <x v="0"/>
  </r>
  <r>
    <x v="0"/>
    <s v="海津市"/>
    <x v="21"/>
    <x v="6"/>
    <n v="259"/>
    <n v="29.57"/>
    <n v="167"/>
    <n v="32.18"/>
    <n v="92"/>
    <n v="27.38"/>
    <x v="0"/>
  </r>
  <r>
    <x v="0"/>
    <s v="海津市"/>
    <x v="21"/>
    <x v="7"/>
    <n v="3"/>
    <n v="0.34"/>
    <n v="1"/>
    <n v="0.19"/>
    <n v="2"/>
    <n v="0.6"/>
    <x v="0"/>
  </r>
  <r>
    <x v="0"/>
    <s v="海津市"/>
    <x v="21"/>
    <x v="8"/>
    <n v="28"/>
    <n v="3.2"/>
    <n v="13"/>
    <n v="2.5"/>
    <n v="15"/>
    <n v="4.46"/>
    <x v="0"/>
  </r>
  <r>
    <x v="0"/>
    <s v="海津市"/>
    <x v="21"/>
    <x v="9"/>
    <n v="32"/>
    <n v="3.65"/>
    <n v="17"/>
    <n v="3.28"/>
    <n v="12"/>
    <n v="3.57"/>
    <x v="0"/>
  </r>
  <r>
    <x v="0"/>
    <s v="海津市"/>
    <x v="21"/>
    <x v="10"/>
    <n v="76"/>
    <n v="8.68"/>
    <n v="63"/>
    <n v="12.14"/>
    <n v="13"/>
    <n v="3.87"/>
    <x v="0"/>
  </r>
  <r>
    <x v="0"/>
    <s v="海津市"/>
    <x v="21"/>
    <x v="11"/>
    <n v="100"/>
    <n v="11.42"/>
    <n v="82"/>
    <n v="15.8"/>
    <n v="17"/>
    <n v="5.0599999999999996"/>
    <x v="0"/>
  </r>
  <r>
    <x v="0"/>
    <s v="海津市"/>
    <x v="21"/>
    <x v="12"/>
    <n v="23"/>
    <n v="2.63"/>
    <n v="14"/>
    <n v="2.7"/>
    <n v="6"/>
    <n v="1.79"/>
    <x v="0"/>
  </r>
  <r>
    <x v="0"/>
    <s v="海津市"/>
    <x v="21"/>
    <x v="13"/>
    <n v="44"/>
    <n v="5.0199999999999996"/>
    <n v="27"/>
    <n v="5.2"/>
    <n v="8"/>
    <n v="2.38"/>
    <x v="0"/>
  </r>
  <r>
    <x v="0"/>
    <s v="海津市"/>
    <x v="21"/>
    <x v="14"/>
    <n v="23"/>
    <n v="2.63"/>
    <n v="12"/>
    <n v="2.31"/>
    <n v="8"/>
    <n v="2.38"/>
    <x v="0"/>
  </r>
  <r>
    <x v="0"/>
    <s v="羽島郡岐南町"/>
    <x v="22"/>
    <x v="0"/>
    <n v="0"/>
    <n v="0"/>
    <n v="0"/>
    <n v="0"/>
    <n v="0"/>
    <n v="0"/>
    <x v="0"/>
  </r>
  <r>
    <x v="0"/>
    <s v="羽島郡岐南町"/>
    <x v="22"/>
    <x v="1"/>
    <n v="112"/>
    <n v="13.13"/>
    <n v="31"/>
    <n v="7.19"/>
    <n v="81"/>
    <n v="19.66"/>
    <x v="0"/>
  </r>
  <r>
    <x v="0"/>
    <s v="羽島郡岐南町"/>
    <x v="22"/>
    <x v="2"/>
    <n v="176"/>
    <n v="20.63"/>
    <n v="62"/>
    <n v="14.39"/>
    <n v="114"/>
    <n v="27.67"/>
    <x v="0"/>
  </r>
  <r>
    <x v="0"/>
    <s v="羽島郡岐南町"/>
    <x v="22"/>
    <x v="3"/>
    <n v="2"/>
    <n v="0.23"/>
    <n v="0"/>
    <n v="0"/>
    <n v="2"/>
    <n v="0.49"/>
    <x v="0"/>
  </r>
  <r>
    <x v="0"/>
    <s v="羽島郡岐南町"/>
    <x v="22"/>
    <x v="4"/>
    <n v="4"/>
    <n v="0.47"/>
    <n v="1"/>
    <n v="0.23"/>
    <n v="3"/>
    <n v="0.73"/>
    <x v="0"/>
  </r>
  <r>
    <x v="0"/>
    <s v="羽島郡岐南町"/>
    <x v="22"/>
    <x v="5"/>
    <n v="6"/>
    <n v="0.7"/>
    <n v="1"/>
    <n v="0.23"/>
    <n v="5"/>
    <n v="1.21"/>
    <x v="0"/>
  </r>
  <r>
    <x v="0"/>
    <s v="羽島郡岐南町"/>
    <x v="22"/>
    <x v="6"/>
    <n v="153"/>
    <n v="17.940000000000001"/>
    <n v="62"/>
    <n v="14.39"/>
    <n v="91"/>
    <n v="22.09"/>
    <x v="0"/>
  </r>
  <r>
    <x v="0"/>
    <s v="羽島郡岐南町"/>
    <x v="22"/>
    <x v="7"/>
    <n v="5"/>
    <n v="0.59"/>
    <n v="2"/>
    <n v="0.46"/>
    <n v="3"/>
    <n v="0.73"/>
    <x v="0"/>
  </r>
  <r>
    <x v="0"/>
    <s v="羽島郡岐南町"/>
    <x v="22"/>
    <x v="8"/>
    <n v="134"/>
    <n v="15.71"/>
    <n v="92"/>
    <n v="21.35"/>
    <n v="42"/>
    <n v="10.19"/>
    <x v="0"/>
  </r>
  <r>
    <x v="0"/>
    <s v="羽島郡岐南町"/>
    <x v="22"/>
    <x v="9"/>
    <n v="34"/>
    <n v="3.99"/>
    <n v="20"/>
    <n v="4.6399999999999997"/>
    <n v="14"/>
    <n v="3.4"/>
    <x v="0"/>
  </r>
  <r>
    <x v="0"/>
    <s v="羽島郡岐南町"/>
    <x v="22"/>
    <x v="10"/>
    <n v="59"/>
    <n v="6.92"/>
    <n v="47"/>
    <n v="10.9"/>
    <n v="12"/>
    <n v="2.91"/>
    <x v="0"/>
  </r>
  <r>
    <x v="0"/>
    <s v="羽島郡岐南町"/>
    <x v="22"/>
    <x v="11"/>
    <n v="71"/>
    <n v="8.32"/>
    <n v="52"/>
    <n v="12.06"/>
    <n v="19"/>
    <n v="4.6100000000000003"/>
    <x v="0"/>
  </r>
  <r>
    <x v="0"/>
    <s v="羽島郡岐南町"/>
    <x v="22"/>
    <x v="12"/>
    <n v="19"/>
    <n v="2.23"/>
    <n v="15"/>
    <n v="3.48"/>
    <n v="4"/>
    <n v="0.97"/>
    <x v="0"/>
  </r>
  <r>
    <x v="0"/>
    <s v="羽島郡岐南町"/>
    <x v="22"/>
    <x v="13"/>
    <n v="35"/>
    <n v="4.0999999999999996"/>
    <n v="26"/>
    <n v="6.03"/>
    <n v="6"/>
    <n v="1.46"/>
    <x v="0"/>
  </r>
  <r>
    <x v="0"/>
    <s v="羽島郡岐南町"/>
    <x v="22"/>
    <x v="14"/>
    <n v="43"/>
    <n v="5.04"/>
    <n v="20"/>
    <n v="4.6399999999999997"/>
    <n v="16"/>
    <n v="3.88"/>
    <x v="5"/>
  </r>
  <r>
    <x v="0"/>
    <s v="羽島郡笠松町"/>
    <x v="23"/>
    <x v="0"/>
    <n v="0"/>
    <n v="0"/>
    <n v="0"/>
    <n v="0"/>
    <n v="0"/>
    <n v="0"/>
    <x v="0"/>
  </r>
  <r>
    <x v="0"/>
    <s v="羽島郡笠松町"/>
    <x v="23"/>
    <x v="1"/>
    <n v="48"/>
    <n v="9.01"/>
    <n v="15"/>
    <n v="5.36"/>
    <n v="33"/>
    <n v="13.31"/>
    <x v="0"/>
  </r>
  <r>
    <x v="0"/>
    <s v="羽島郡笠松町"/>
    <x v="23"/>
    <x v="2"/>
    <n v="102"/>
    <n v="19.14"/>
    <n v="45"/>
    <n v="16.07"/>
    <n v="57"/>
    <n v="22.98"/>
    <x v="0"/>
  </r>
  <r>
    <x v="0"/>
    <s v="羽島郡笠松町"/>
    <x v="23"/>
    <x v="3"/>
    <n v="0"/>
    <n v="0"/>
    <n v="0"/>
    <n v="0"/>
    <n v="0"/>
    <n v="0"/>
    <x v="0"/>
  </r>
  <r>
    <x v="0"/>
    <s v="羽島郡笠松町"/>
    <x v="23"/>
    <x v="4"/>
    <n v="5"/>
    <n v="0.94"/>
    <n v="0"/>
    <n v="0"/>
    <n v="5"/>
    <n v="2.02"/>
    <x v="0"/>
  </r>
  <r>
    <x v="0"/>
    <s v="羽島郡笠松町"/>
    <x v="23"/>
    <x v="5"/>
    <n v="3"/>
    <n v="0.56000000000000005"/>
    <n v="0"/>
    <n v="0"/>
    <n v="3"/>
    <n v="1.21"/>
    <x v="0"/>
  </r>
  <r>
    <x v="0"/>
    <s v="羽島郡笠松町"/>
    <x v="23"/>
    <x v="6"/>
    <n v="151"/>
    <n v="28.33"/>
    <n v="82"/>
    <n v="29.29"/>
    <n v="69"/>
    <n v="27.82"/>
    <x v="0"/>
  </r>
  <r>
    <x v="0"/>
    <s v="羽島郡笠松町"/>
    <x v="23"/>
    <x v="7"/>
    <n v="1"/>
    <n v="0.19"/>
    <n v="0"/>
    <n v="0"/>
    <n v="1"/>
    <n v="0.4"/>
    <x v="0"/>
  </r>
  <r>
    <x v="0"/>
    <s v="羽島郡笠松町"/>
    <x v="23"/>
    <x v="8"/>
    <n v="34"/>
    <n v="6.38"/>
    <n v="7"/>
    <n v="2.5"/>
    <n v="27"/>
    <n v="10.89"/>
    <x v="0"/>
  </r>
  <r>
    <x v="0"/>
    <s v="羽島郡笠松町"/>
    <x v="23"/>
    <x v="9"/>
    <n v="21"/>
    <n v="3.94"/>
    <n v="9"/>
    <n v="3.21"/>
    <n v="12"/>
    <n v="4.84"/>
    <x v="0"/>
  </r>
  <r>
    <x v="0"/>
    <s v="羽島郡笠松町"/>
    <x v="23"/>
    <x v="10"/>
    <n v="35"/>
    <n v="6.57"/>
    <n v="28"/>
    <n v="10"/>
    <n v="7"/>
    <n v="2.82"/>
    <x v="0"/>
  </r>
  <r>
    <x v="0"/>
    <s v="羽島郡笠松町"/>
    <x v="23"/>
    <x v="11"/>
    <n v="59"/>
    <n v="11.07"/>
    <n v="49"/>
    <n v="17.5"/>
    <n v="10"/>
    <n v="4.03"/>
    <x v="0"/>
  </r>
  <r>
    <x v="0"/>
    <s v="羽島郡笠松町"/>
    <x v="23"/>
    <x v="12"/>
    <n v="20"/>
    <n v="3.75"/>
    <n v="13"/>
    <n v="4.6399999999999997"/>
    <n v="5"/>
    <n v="2.02"/>
    <x v="0"/>
  </r>
  <r>
    <x v="0"/>
    <s v="羽島郡笠松町"/>
    <x v="23"/>
    <x v="13"/>
    <n v="25"/>
    <n v="4.6900000000000004"/>
    <n v="18"/>
    <n v="6.43"/>
    <n v="6"/>
    <n v="2.42"/>
    <x v="0"/>
  </r>
  <r>
    <x v="0"/>
    <s v="羽島郡笠松町"/>
    <x v="23"/>
    <x v="14"/>
    <n v="29"/>
    <n v="5.44"/>
    <n v="14"/>
    <n v="5"/>
    <n v="13"/>
    <n v="5.24"/>
    <x v="2"/>
  </r>
  <r>
    <x v="0"/>
    <s v="養老郡養老町"/>
    <x v="24"/>
    <x v="0"/>
    <n v="0"/>
    <n v="0"/>
    <n v="0"/>
    <n v="0"/>
    <n v="0"/>
    <n v="0"/>
    <x v="0"/>
  </r>
  <r>
    <x v="0"/>
    <s v="養老郡養老町"/>
    <x v="24"/>
    <x v="1"/>
    <n v="122"/>
    <n v="20.78"/>
    <n v="51"/>
    <n v="15.6"/>
    <n v="71"/>
    <n v="28.86"/>
    <x v="0"/>
  </r>
  <r>
    <x v="0"/>
    <s v="養老郡養老町"/>
    <x v="24"/>
    <x v="2"/>
    <n v="85"/>
    <n v="14.48"/>
    <n v="28"/>
    <n v="8.56"/>
    <n v="57"/>
    <n v="23.17"/>
    <x v="0"/>
  </r>
  <r>
    <x v="0"/>
    <s v="養老郡養老町"/>
    <x v="24"/>
    <x v="3"/>
    <n v="1"/>
    <n v="0.17"/>
    <n v="0"/>
    <n v="0"/>
    <n v="1"/>
    <n v="0.41"/>
    <x v="0"/>
  </r>
  <r>
    <x v="0"/>
    <s v="養老郡養老町"/>
    <x v="24"/>
    <x v="4"/>
    <n v="3"/>
    <n v="0.51"/>
    <n v="0"/>
    <n v="0"/>
    <n v="3"/>
    <n v="1.22"/>
    <x v="0"/>
  </r>
  <r>
    <x v="0"/>
    <s v="養老郡養老町"/>
    <x v="24"/>
    <x v="5"/>
    <n v="6"/>
    <n v="1.02"/>
    <n v="1"/>
    <n v="0.31"/>
    <n v="5"/>
    <n v="2.0299999999999998"/>
    <x v="0"/>
  </r>
  <r>
    <x v="0"/>
    <s v="養老郡養老町"/>
    <x v="24"/>
    <x v="6"/>
    <n v="168"/>
    <n v="28.62"/>
    <n v="111"/>
    <n v="33.94"/>
    <n v="57"/>
    <n v="23.17"/>
    <x v="0"/>
  </r>
  <r>
    <x v="0"/>
    <s v="養老郡養老町"/>
    <x v="24"/>
    <x v="7"/>
    <n v="1"/>
    <n v="0.17"/>
    <n v="0"/>
    <n v="0"/>
    <n v="1"/>
    <n v="0.41"/>
    <x v="0"/>
  </r>
  <r>
    <x v="0"/>
    <s v="養老郡養老町"/>
    <x v="24"/>
    <x v="8"/>
    <n v="11"/>
    <n v="1.87"/>
    <n v="0"/>
    <n v="0"/>
    <n v="11"/>
    <n v="4.47"/>
    <x v="0"/>
  </r>
  <r>
    <x v="0"/>
    <s v="養老郡養老町"/>
    <x v="24"/>
    <x v="9"/>
    <n v="15"/>
    <n v="2.56"/>
    <n v="11"/>
    <n v="3.36"/>
    <n v="2"/>
    <n v="0.81"/>
    <x v="2"/>
  </r>
  <r>
    <x v="0"/>
    <s v="養老郡養老町"/>
    <x v="24"/>
    <x v="10"/>
    <n v="52"/>
    <n v="8.86"/>
    <n v="43"/>
    <n v="13.15"/>
    <n v="8"/>
    <n v="3.25"/>
    <x v="0"/>
  </r>
  <r>
    <x v="0"/>
    <s v="養老郡養老町"/>
    <x v="24"/>
    <x v="11"/>
    <n v="68"/>
    <n v="11.58"/>
    <n v="51"/>
    <n v="15.6"/>
    <n v="16"/>
    <n v="6.5"/>
    <x v="0"/>
  </r>
  <r>
    <x v="0"/>
    <s v="養老郡養老町"/>
    <x v="24"/>
    <x v="12"/>
    <n v="22"/>
    <n v="3.75"/>
    <n v="7"/>
    <n v="2.14"/>
    <n v="6"/>
    <n v="2.44"/>
    <x v="0"/>
  </r>
  <r>
    <x v="0"/>
    <s v="養老郡養老町"/>
    <x v="24"/>
    <x v="13"/>
    <n v="19"/>
    <n v="3.24"/>
    <n v="14"/>
    <n v="4.28"/>
    <n v="5"/>
    <n v="2.0299999999999998"/>
    <x v="0"/>
  </r>
  <r>
    <x v="0"/>
    <s v="養老郡養老町"/>
    <x v="24"/>
    <x v="14"/>
    <n v="14"/>
    <n v="2.39"/>
    <n v="10"/>
    <n v="3.06"/>
    <n v="3"/>
    <n v="1.22"/>
    <x v="2"/>
  </r>
  <r>
    <x v="0"/>
    <s v="不破郡垂井町"/>
    <x v="25"/>
    <x v="0"/>
    <n v="0"/>
    <n v="0"/>
    <n v="0"/>
    <n v="0"/>
    <n v="0"/>
    <n v="0"/>
    <x v="0"/>
  </r>
  <r>
    <x v="0"/>
    <s v="不破郡垂井町"/>
    <x v="25"/>
    <x v="1"/>
    <n v="89"/>
    <n v="17.489999999999998"/>
    <n v="33"/>
    <n v="12"/>
    <n v="56"/>
    <n v="26.05"/>
    <x v="0"/>
  </r>
  <r>
    <x v="0"/>
    <s v="不破郡垂井町"/>
    <x v="25"/>
    <x v="2"/>
    <n v="77"/>
    <n v="15.13"/>
    <n v="27"/>
    <n v="9.82"/>
    <n v="50"/>
    <n v="23.26"/>
    <x v="0"/>
  </r>
  <r>
    <x v="0"/>
    <s v="不破郡垂井町"/>
    <x v="25"/>
    <x v="3"/>
    <n v="1"/>
    <n v="0.2"/>
    <n v="0"/>
    <n v="0"/>
    <n v="0"/>
    <n v="0"/>
    <x v="2"/>
  </r>
  <r>
    <x v="0"/>
    <s v="不破郡垂井町"/>
    <x v="25"/>
    <x v="4"/>
    <n v="1"/>
    <n v="0.2"/>
    <n v="0"/>
    <n v="0"/>
    <n v="1"/>
    <n v="0.47"/>
    <x v="0"/>
  </r>
  <r>
    <x v="0"/>
    <s v="不破郡垂井町"/>
    <x v="25"/>
    <x v="5"/>
    <n v="5"/>
    <n v="0.98"/>
    <n v="0"/>
    <n v="0"/>
    <n v="5"/>
    <n v="2.33"/>
    <x v="0"/>
  </r>
  <r>
    <x v="0"/>
    <s v="不破郡垂井町"/>
    <x v="25"/>
    <x v="6"/>
    <n v="100"/>
    <n v="19.649999999999999"/>
    <n v="49"/>
    <n v="17.82"/>
    <n v="49"/>
    <n v="22.79"/>
    <x v="5"/>
  </r>
  <r>
    <x v="0"/>
    <s v="不破郡垂井町"/>
    <x v="25"/>
    <x v="7"/>
    <n v="2"/>
    <n v="0.39"/>
    <n v="0"/>
    <n v="0"/>
    <n v="2"/>
    <n v="0.93"/>
    <x v="0"/>
  </r>
  <r>
    <x v="0"/>
    <s v="不破郡垂井町"/>
    <x v="25"/>
    <x v="8"/>
    <n v="13"/>
    <n v="2.5499999999999998"/>
    <n v="4"/>
    <n v="1.45"/>
    <n v="9"/>
    <n v="4.1900000000000004"/>
    <x v="0"/>
  </r>
  <r>
    <x v="0"/>
    <s v="不破郡垂井町"/>
    <x v="25"/>
    <x v="9"/>
    <n v="26"/>
    <n v="5.1100000000000003"/>
    <n v="17"/>
    <n v="6.18"/>
    <n v="9"/>
    <n v="4.1900000000000004"/>
    <x v="0"/>
  </r>
  <r>
    <x v="0"/>
    <s v="不破郡垂井町"/>
    <x v="25"/>
    <x v="10"/>
    <n v="47"/>
    <n v="9.23"/>
    <n v="41"/>
    <n v="14.91"/>
    <n v="6"/>
    <n v="2.79"/>
    <x v="0"/>
  </r>
  <r>
    <x v="0"/>
    <s v="不破郡垂井町"/>
    <x v="25"/>
    <x v="11"/>
    <n v="78"/>
    <n v="15.32"/>
    <n v="66"/>
    <n v="24"/>
    <n v="10"/>
    <n v="4.6500000000000004"/>
    <x v="0"/>
  </r>
  <r>
    <x v="0"/>
    <s v="不破郡垂井町"/>
    <x v="25"/>
    <x v="12"/>
    <n v="27"/>
    <n v="5.3"/>
    <n v="12"/>
    <n v="4.3600000000000003"/>
    <n v="6"/>
    <n v="2.79"/>
    <x v="0"/>
  </r>
  <r>
    <x v="0"/>
    <s v="不破郡垂井町"/>
    <x v="25"/>
    <x v="13"/>
    <n v="24"/>
    <n v="4.72"/>
    <n v="17"/>
    <n v="6.18"/>
    <n v="4"/>
    <n v="1.86"/>
    <x v="0"/>
  </r>
  <r>
    <x v="0"/>
    <s v="不破郡垂井町"/>
    <x v="25"/>
    <x v="14"/>
    <n v="19"/>
    <n v="3.73"/>
    <n v="9"/>
    <n v="3.27"/>
    <n v="8"/>
    <n v="3.72"/>
    <x v="0"/>
  </r>
  <r>
    <x v="0"/>
    <s v="不破郡関ケ原町"/>
    <x v="26"/>
    <x v="0"/>
    <n v="0"/>
    <n v="0"/>
    <n v="0"/>
    <n v="0"/>
    <n v="0"/>
    <n v="0"/>
    <x v="0"/>
  </r>
  <r>
    <x v="0"/>
    <s v="不破郡関ケ原町"/>
    <x v="26"/>
    <x v="1"/>
    <n v="32"/>
    <n v="17.68"/>
    <n v="16"/>
    <n v="14.41"/>
    <n v="16"/>
    <n v="25.4"/>
    <x v="0"/>
  </r>
  <r>
    <x v="0"/>
    <s v="不破郡関ケ原町"/>
    <x v="26"/>
    <x v="2"/>
    <n v="37"/>
    <n v="20.440000000000001"/>
    <n v="17"/>
    <n v="15.32"/>
    <n v="20"/>
    <n v="31.75"/>
    <x v="0"/>
  </r>
  <r>
    <x v="0"/>
    <s v="不破郡関ケ原町"/>
    <x v="26"/>
    <x v="3"/>
    <n v="1"/>
    <n v="0.55000000000000004"/>
    <n v="0"/>
    <n v="0"/>
    <n v="1"/>
    <n v="1.59"/>
    <x v="0"/>
  </r>
  <r>
    <x v="0"/>
    <s v="不破郡関ケ原町"/>
    <x v="26"/>
    <x v="4"/>
    <n v="1"/>
    <n v="0.55000000000000004"/>
    <n v="1"/>
    <n v="0.9"/>
    <n v="0"/>
    <n v="0"/>
    <x v="0"/>
  </r>
  <r>
    <x v="0"/>
    <s v="不破郡関ケ原町"/>
    <x v="26"/>
    <x v="5"/>
    <n v="1"/>
    <n v="0.55000000000000004"/>
    <n v="0"/>
    <n v="0"/>
    <n v="1"/>
    <n v="1.59"/>
    <x v="0"/>
  </r>
  <r>
    <x v="0"/>
    <s v="不破郡関ケ原町"/>
    <x v="26"/>
    <x v="6"/>
    <n v="47"/>
    <n v="25.97"/>
    <n v="33"/>
    <n v="29.73"/>
    <n v="14"/>
    <n v="22.22"/>
    <x v="0"/>
  </r>
  <r>
    <x v="0"/>
    <s v="不破郡関ケ原町"/>
    <x v="26"/>
    <x v="7"/>
    <n v="1"/>
    <n v="0.55000000000000004"/>
    <n v="0"/>
    <n v="0"/>
    <n v="1"/>
    <n v="1.59"/>
    <x v="0"/>
  </r>
  <r>
    <x v="0"/>
    <s v="不破郡関ケ原町"/>
    <x v="26"/>
    <x v="8"/>
    <n v="7"/>
    <n v="3.87"/>
    <n v="4"/>
    <n v="3.6"/>
    <n v="3"/>
    <n v="4.76"/>
    <x v="0"/>
  </r>
  <r>
    <x v="0"/>
    <s v="不破郡関ケ原町"/>
    <x v="26"/>
    <x v="9"/>
    <n v="3"/>
    <n v="1.66"/>
    <n v="2"/>
    <n v="1.8"/>
    <n v="1"/>
    <n v="1.59"/>
    <x v="0"/>
  </r>
  <r>
    <x v="0"/>
    <s v="不破郡関ケ原町"/>
    <x v="26"/>
    <x v="10"/>
    <n v="14"/>
    <n v="7.73"/>
    <n v="11"/>
    <n v="9.91"/>
    <n v="3"/>
    <n v="4.76"/>
    <x v="0"/>
  </r>
  <r>
    <x v="0"/>
    <s v="不破郡関ケ原町"/>
    <x v="26"/>
    <x v="11"/>
    <n v="14"/>
    <n v="7.73"/>
    <n v="14"/>
    <n v="12.61"/>
    <n v="0"/>
    <n v="0"/>
    <x v="0"/>
  </r>
  <r>
    <x v="0"/>
    <s v="不破郡関ケ原町"/>
    <x v="26"/>
    <x v="12"/>
    <n v="10"/>
    <n v="5.52"/>
    <n v="5"/>
    <n v="4.5"/>
    <n v="0"/>
    <n v="0"/>
    <x v="2"/>
  </r>
  <r>
    <x v="0"/>
    <s v="不破郡関ケ原町"/>
    <x v="26"/>
    <x v="13"/>
    <n v="9"/>
    <n v="4.97"/>
    <n v="6"/>
    <n v="5.41"/>
    <n v="2"/>
    <n v="3.17"/>
    <x v="0"/>
  </r>
  <r>
    <x v="0"/>
    <s v="不破郡関ケ原町"/>
    <x v="26"/>
    <x v="14"/>
    <n v="4"/>
    <n v="2.21"/>
    <n v="2"/>
    <n v="1.8"/>
    <n v="1"/>
    <n v="1.59"/>
    <x v="0"/>
  </r>
  <r>
    <x v="0"/>
    <s v="安八郡神戸町"/>
    <x v="27"/>
    <x v="0"/>
    <n v="0"/>
    <n v="0"/>
    <n v="0"/>
    <n v="0"/>
    <n v="0"/>
    <n v="0"/>
    <x v="0"/>
  </r>
  <r>
    <x v="0"/>
    <s v="安八郡神戸町"/>
    <x v="27"/>
    <x v="1"/>
    <n v="65"/>
    <n v="14.77"/>
    <n v="24"/>
    <n v="9.06"/>
    <n v="41"/>
    <n v="23.84"/>
    <x v="0"/>
  </r>
  <r>
    <x v="0"/>
    <s v="安八郡神戸町"/>
    <x v="27"/>
    <x v="2"/>
    <n v="84"/>
    <n v="19.09"/>
    <n v="32"/>
    <n v="12.08"/>
    <n v="52"/>
    <n v="30.23"/>
    <x v="0"/>
  </r>
  <r>
    <x v="0"/>
    <s v="安八郡神戸町"/>
    <x v="27"/>
    <x v="3"/>
    <n v="0"/>
    <n v="0"/>
    <n v="0"/>
    <n v="0"/>
    <n v="0"/>
    <n v="0"/>
    <x v="0"/>
  </r>
  <r>
    <x v="0"/>
    <s v="安八郡神戸町"/>
    <x v="27"/>
    <x v="4"/>
    <n v="3"/>
    <n v="0.68"/>
    <n v="1"/>
    <n v="0.38"/>
    <n v="2"/>
    <n v="1.1599999999999999"/>
    <x v="0"/>
  </r>
  <r>
    <x v="0"/>
    <s v="安八郡神戸町"/>
    <x v="27"/>
    <x v="5"/>
    <n v="6"/>
    <n v="1.36"/>
    <n v="1"/>
    <n v="0.38"/>
    <n v="4"/>
    <n v="2.33"/>
    <x v="2"/>
  </r>
  <r>
    <x v="0"/>
    <s v="安八郡神戸町"/>
    <x v="27"/>
    <x v="6"/>
    <n v="81"/>
    <n v="18.41"/>
    <n v="48"/>
    <n v="18.11"/>
    <n v="33"/>
    <n v="19.190000000000001"/>
    <x v="0"/>
  </r>
  <r>
    <x v="0"/>
    <s v="安八郡神戸町"/>
    <x v="27"/>
    <x v="7"/>
    <n v="3"/>
    <n v="0.68"/>
    <n v="1"/>
    <n v="0.38"/>
    <n v="2"/>
    <n v="1.1599999999999999"/>
    <x v="0"/>
  </r>
  <r>
    <x v="0"/>
    <s v="安八郡神戸町"/>
    <x v="27"/>
    <x v="8"/>
    <n v="12"/>
    <n v="2.73"/>
    <n v="5"/>
    <n v="1.89"/>
    <n v="7"/>
    <n v="4.07"/>
    <x v="0"/>
  </r>
  <r>
    <x v="0"/>
    <s v="安八郡神戸町"/>
    <x v="27"/>
    <x v="9"/>
    <n v="20"/>
    <n v="4.55"/>
    <n v="17"/>
    <n v="6.42"/>
    <n v="3"/>
    <n v="1.74"/>
    <x v="0"/>
  </r>
  <r>
    <x v="0"/>
    <s v="安八郡神戸町"/>
    <x v="27"/>
    <x v="10"/>
    <n v="48"/>
    <n v="10.91"/>
    <n v="42"/>
    <n v="15.85"/>
    <n v="6"/>
    <n v="3.49"/>
    <x v="0"/>
  </r>
  <r>
    <x v="0"/>
    <s v="安八郡神戸町"/>
    <x v="27"/>
    <x v="11"/>
    <n v="53"/>
    <n v="12.05"/>
    <n v="46"/>
    <n v="17.36"/>
    <n v="7"/>
    <n v="4.07"/>
    <x v="0"/>
  </r>
  <r>
    <x v="0"/>
    <s v="安八郡神戸町"/>
    <x v="27"/>
    <x v="12"/>
    <n v="16"/>
    <n v="3.64"/>
    <n v="12"/>
    <n v="4.53"/>
    <n v="4"/>
    <n v="2.33"/>
    <x v="0"/>
  </r>
  <r>
    <x v="0"/>
    <s v="安八郡神戸町"/>
    <x v="27"/>
    <x v="13"/>
    <n v="25"/>
    <n v="5.68"/>
    <n v="21"/>
    <n v="7.92"/>
    <n v="2"/>
    <n v="1.1599999999999999"/>
    <x v="0"/>
  </r>
  <r>
    <x v="0"/>
    <s v="安八郡神戸町"/>
    <x v="27"/>
    <x v="14"/>
    <n v="24"/>
    <n v="5.45"/>
    <n v="15"/>
    <n v="5.66"/>
    <n v="9"/>
    <n v="5.23"/>
    <x v="0"/>
  </r>
  <r>
    <x v="0"/>
    <s v="安八郡輪之内町"/>
    <x v="28"/>
    <x v="0"/>
    <n v="0"/>
    <n v="0"/>
    <n v="0"/>
    <n v="0"/>
    <n v="0"/>
    <n v="0"/>
    <x v="0"/>
  </r>
  <r>
    <x v="0"/>
    <s v="安八郡輪之内町"/>
    <x v="28"/>
    <x v="1"/>
    <n v="41"/>
    <n v="20.3"/>
    <n v="21"/>
    <n v="17.649999999999999"/>
    <n v="20"/>
    <n v="26.32"/>
    <x v="0"/>
  </r>
  <r>
    <x v="0"/>
    <s v="安八郡輪之内町"/>
    <x v="28"/>
    <x v="2"/>
    <n v="43"/>
    <n v="21.29"/>
    <n v="16"/>
    <n v="13.45"/>
    <n v="27"/>
    <n v="35.53"/>
    <x v="0"/>
  </r>
  <r>
    <x v="0"/>
    <s v="安八郡輪之内町"/>
    <x v="28"/>
    <x v="3"/>
    <n v="1"/>
    <n v="0.5"/>
    <n v="1"/>
    <n v="0.84"/>
    <n v="0"/>
    <n v="0"/>
    <x v="0"/>
  </r>
  <r>
    <x v="0"/>
    <s v="安八郡輪之内町"/>
    <x v="28"/>
    <x v="4"/>
    <n v="0"/>
    <n v="0"/>
    <n v="0"/>
    <n v="0"/>
    <n v="0"/>
    <n v="0"/>
    <x v="0"/>
  </r>
  <r>
    <x v="0"/>
    <s v="安八郡輪之内町"/>
    <x v="28"/>
    <x v="5"/>
    <n v="1"/>
    <n v="0.5"/>
    <n v="1"/>
    <n v="0.84"/>
    <n v="0"/>
    <n v="0"/>
    <x v="0"/>
  </r>
  <r>
    <x v="0"/>
    <s v="安八郡輪之内町"/>
    <x v="28"/>
    <x v="6"/>
    <n v="46"/>
    <n v="22.77"/>
    <n v="30"/>
    <n v="25.21"/>
    <n v="14"/>
    <n v="18.420000000000002"/>
    <x v="5"/>
  </r>
  <r>
    <x v="0"/>
    <s v="安八郡輪之内町"/>
    <x v="28"/>
    <x v="7"/>
    <n v="0"/>
    <n v="0"/>
    <n v="0"/>
    <n v="0"/>
    <n v="0"/>
    <n v="0"/>
    <x v="0"/>
  </r>
  <r>
    <x v="0"/>
    <s v="安八郡輪之内町"/>
    <x v="28"/>
    <x v="8"/>
    <n v="7"/>
    <n v="3.47"/>
    <n v="2"/>
    <n v="1.68"/>
    <n v="5"/>
    <n v="6.58"/>
    <x v="0"/>
  </r>
  <r>
    <x v="0"/>
    <s v="安八郡輪之内町"/>
    <x v="28"/>
    <x v="9"/>
    <n v="5"/>
    <n v="2.48"/>
    <n v="4"/>
    <n v="3.36"/>
    <n v="1"/>
    <n v="1.32"/>
    <x v="0"/>
  </r>
  <r>
    <x v="0"/>
    <s v="安八郡輪之内町"/>
    <x v="28"/>
    <x v="10"/>
    <n v="15"/>
    <n v="7.43"/>
    <n v="14"/>
    <n v="11.76"/>
    <n v="0"/>
    <n v="0"/>
    <x v="0"/>
  </r>
  <r>
    <x v="0"/>
    <s v="安八郡輪之内町"/>
    <x v="28"/>
    <x v="11"/>
    <n v="16"/>
    <n v="7.92"/>
    <n v="13"/>
    <n v="10.92"/>
    <n v="3"/>
    <n v="3.95"/>
    <x v="0"/>
  </r>
  <r>
    <x v="0"/>
    <s v="安八郡輪之内町"/>
    <x v="28"/>
    <x v="12"/>
    <n v="6"/>
    <n v="2.97"/>
    <n v="5"/>
    <n v="4.2"/>
    <n v="0"/>
    <n v="0"/>
    <x v="0"/>
  </r>
  <r>
    <x v="0"/>
    <s v="安八郡輪之内町"/>
    <x v="28"/>
    <x v="13"/>
    <n v="11"/>
    <n v="5.45"/>
    <n v="6"/>
    <n v="5.04"/>
    <n v="2"/>
    <n v="2.63"/>
    <x v="0"/>
  </r>
  <r>
    <x v="0"/>
    <s v="安八郡輪之内町"/>
    <x v="28"/>
    <x v="14"/>
    <n v="10"/>
    <n v="4.95"/>
    <n v="6"/>
    <n v="5.04"/>
    <n v="4"/>
    <n v="5.26"/>
    <x v="0"/>
  </r>
  <r>
    <x v="0"/>
    <s v="安八郡安八町"/>
    <x v="29"/>
    <x v="0"/>
    <n v="0"/>
    <n v="0"/>
    <n v="0"/>
    <n v="0"/>
    <n v="0"/>
    <n v="0"/>
    <x v="0"/>
  </r>
  <r>
    <x v="0"/>
    <s v="安八郡安八町"/>
    <x v="29"/>
    <x v="1"/>
    <n v="65"/>
    <n v="21.52"/>
    <n v="30"/>
    <n v="17.05"/>
    <n v="35"/>
    <n v="28.46"/>
    <x v="0"/>
  </r>
  <r>
    <x v="0"/>
    <s v="安八郡安八町"/>
    <x v="29"/>
    <x v="2"/>
    <n v="79"/>
    <n v="26.16"/>
    <n v="44"/>
    <n v="25"/>
    <n v="35"/>
    <n v="28.46"/>
    <x v="0"/>
  </r>
  <r>
    <x v="0"/>
    <s v="安八郡安八町"/>
    <x v="29"/>
    <x v="3"/>
    <n v="3"/>
    <n v="0.99"/>
    <n v="0"/>
    <n v="0"/>
    <n v="2"/>
    <n v="1.63"/>
    <x v="0"/>
  </r>
  <r>
    <x v="0"/>
    <s v="安八郡安八町"/>
    <x v="29"/>
    <x v="4"/>
    <n v="0"/>
    <n v="0"/>
    <n v="0"/>
    <n v="0"/>
    <n v="0"/>
    <n v="0"/>
    <x v="0"/>
  </r>
  <r>
    <x v="0"/>
    <s v="安八郡安八町"/>
    <x v="29"/>
    <x v="5"/>
    <n v="3"/>
    <n v="0.99"/>
    <n v="0"/>
    <n v="0"/>
    <n v="3"/>
    <n v="2.44"/>
    <x v="0"/>
  </r>
  <r>
    <x v="0"/>
    <s v="安八郡安八町"/>
    <x v="29"/>
    <x v="6"/>
    <n v="49"/>
    <n v="16.23"/>
    <n v="29"/>
    <n v="16.48"/>
    <n v="20"/>
    <n v="16.260000000000002"/>
    <x v="0"/>
  </r>
  <r>
    <x v="0"/>
    <s v="安八郡安八町"/>
    <x v="29"/>
    <x v="7"/>
    <n v="3"/>
    <n v="0.99"/>
    <n v="0"/>
    <n v="0"/>
    <n v="3"/>
    <n v="2.44"/>
    <x v="0"/>
  </r>
  <r>
    <x v="0"/>
    <s v="安八郡安八町"/>
    <x v="29"/>
    <x v="8"/>
    <n v="10"/>
    <n v="3.31"/>
    <n v="4"/>
    <n v="2.27"/>
    <n v="6"/>
    <n v="4.88"/>
    <x v="0"/>
  </r>
  <r>
    <x v="0"/>
    <s v="安八郡安八町"/>
    <x v="29"/>
    <x v="9"/>
    <n v="3"/>
    <n v="0.99"/>
    <n v="1"/>
    <n v="0.56999999999999995"/>
    <n v="2"/>
    <n v="1.63"/>
    <x v="0"/>
  </r>
  <r>
    <x v="0"/>
    <s v="安八郡安八町"/>
    <x v="29"/>
    <x v="10"/>
    <n v="25"/>
    <n v="8.2799999999999994"/>
    <n v="23"/>
    <n v="13.07"/>
    <n v="2"/>
    <n v="1.63"/>
    <x v="0"/>
  </r>
  <r>
    <x v="0"/>
    <s v="安八郡安八町"/>
    <x v="29"/>
    <x v="11"/>
    <n v="30"/>
    <n v="9.93"/>
    <n v="28"/>
    <n v="15.91"/>
    <n v="2"/>
    <n v="1.63"/>
    <x v="0"/>
  </r>
  <r>
    <x v="0"/>
    <s v="安八郡安八町"/>
    <x v="29"/>
    <x v="12"/>
    <n v="3"/>
    <n v="0.99"/>
    <n v="0"/>
    <n v="0"/>
    <n v="3"/>
    <n v="2.44"/>
    <x v="0"/>
  </r>
  <r>
    <x v="0"/>
    <s v="安八郡安八町"/>
    <x v="29"/>
    <x v="13"/>
    <n v="14"/>
    <n v="4.6399999999999997"/>
    <n v="10"/>
    <n v="5.68"/>
    <n v="2"/>
    <n v="1.63"/>
    <x v="0"/>
  </r>
  <r>
    <x v="0"/>
    <s v="安八郡安八町"/>
    <x v="29"/>
    <x v="14"/>
    <n v="15"/>
    <n v="4.97"/>
    <n v="7"/>
    <n v="3.98"/>
    <n v="8"/>
    <n v="6.5"/>
    <x v="0"/>
  </r>
  <r>
    <x v="0"/>
    <s v="揖斐郡揖斐川町"/>
    <x v="30"/>
    <x v="0"/>
    <n v="2"/>
    <n v="0.35"/>
    <n v="0"/>
    <n v="0"/>
    <n v="2"/>
    <n v="0.93"/>
    <x v="0"/>
  </r>
  <r>
    <x v="0"/>
    <s v="揖斐郡揖斐川町"/>
    <x v="30"/>
    <x v="1"/>
    <n v="157"/>
    <n v="27.12"/>
    <n v="68"/>
    <n v="20.12"/>
    <n v="89"/>
    <n v="41.4"/>
    <x v="0"/>
  </r>
  <r>
    <x v="0"/>
    <s v="揖斐郡揖斐川町"/>
    <x v="30"/>
    <x v="2"/>
    <n v="59"/>
    <n v="10.19"/>
    <n v="29"/>
    <n v="8.58"/>
    <n v="28"/>
    <n v="13.02"/>
    <x v="5"/>
  </r>
  <r>
    <x v="0"/>
    <s v="揖斐郡揖斐川町"/>
    <x v="30"/>
    <x v="3"/>
    <n v="2"/>
    <n v="0.35"/>
    <n v="0"/>
    <n v="0"/>
    <n v="2"/>
    <n v="0.93"/>
    <x v="0"/>
  </r>
  <r>
    <x v="0"/>
    <s v="揖斐郡揖斐川町"/>
    <x v="30"/>
    <x v="4"/>
    <n v="3"/>
    <n v="0.52"/>
    <n v="0"/>
    <n v="0"/>
    <n v="3"/>
    <n v="1.4"/>
    <x v="0"/>
  </r>
  <r>
    <x v="0"/>
    <s v="揖斐郡揖斐川町"/>
    <x v="30"/>
    <x v="5"/>
    <n v="3"/>
    <n v="0.52"/>
    <n v="1"/>
    <n v="0.3"/>
    <n v="2"/>
    <n v="0.93"/>
    <x v="0"/>
  </r>
  <r>
    <x v="0"/>
    <s v="揖斐郡揖斐川町"/>
    <x v="30"/>
    <x v="6"/>
    <n v="124"/>
    <n v="21.42"/>
    <n v="90"/>
    <n v="26.63"/>
    <n v="34"/>
    <n v="15.81"/>
    <x v="0"/>
  </r>
  <r>
    <x v="0"/>
    <s v="揖斐郡揖斐川町"/>
    <x v="30"/>
    <x v="7"/>
    <n v="1"/>
    <n v="0.17"/>
    <n v="1"/>
    <n v="0.3"/>
    <n v="0"/>
    <n v="0"/>
    <x v="0"/>
  </r>
  <r>
    <x v="0"/>
    <s v="揖斐郡揖斐川町"/>
    <x v="30"/>
    <x v="8"/>
    <n v="11"/>
    <n v="1.9"/>
    <n v="4"/>
    <n v="1.18"/>
    <n v="7"/>
    <n v="3.26"/>
    <x v="0"/>
  </r>
  <r>
    <x v="0"/>
    <s v="揖斐郡揖斐川町"/>
    <x v="30"/>
    <x v="9"/>
    <n v="21"/>
    <n v="3.63"/>
    <n v="12"/>
    <n v="3.55"/>
    <n v="8"/>
    <n v="3.72"/>
    <x v="0"/>
  </r>
  <r>
    <x v="0"/>
    <s v="揖斐郡揖斐川町"/>
    <x v="30"/>
    <x v="10"/>
    <n v="54"/>
    <n v="9.33"/>
    <n v="40"/>
    <n v="11.83"/>
    <n v="14"/>
    <n v="6.51"/>
    <x v="0"/>
  </r>
  <r>
    <x v="0"/>
    <s v="揖斐郡揖斐川町"/>
    <x v="30"/>
    <x v="11"/>
    <n v="67"/>
    <n v="11.57"/>
    <n v="54"/>
    <n v="15.98"/>
    <n v="11"/>
    <n v="5.12"/>
    <x v="2"/>
  </r>
  <r>
    <x v="0"/>
    <s v="揖斐郡揖斐川町"/>
    <x v="30"/>
    <x v="12"/>
    <n v="35"/>
    <n v="6.04"/>
    <n v="14"/>
    <n v="4.1399999999999997"/>
    <n v="4"/>
    <n v="1.86"/>
    <x v="0"/>
  </r>
  <r>
    <x v="0"/>
    <s v="揖斐郡揖斐川町"/>
    <x v="30"/>
    <x v="13"/>
    <n v="19"/>
    <n v="3.28"/>
    <n v="17"/>
    <n v="5.03"/>
    <n v="2"/>
    <n v="0.93"/>
    <x v="0"/>
  </r>
  <r>
    <x v="0"/>
    <s v="揖斐郡揖斐川町"/>
    <x v="30"/>
    <x v="14"/>
    <n v="21"/>
    <n v="3.63"/>
    <n v="8"/>
    <n v="2.37"/>
    <n v="9"/>
    <n v="4.1900000000000004"/>
    <x v="0"/>
  </r>
  <r>
    <x v="0"/>
    <s v="揖斐郡大野町"/>
    <x v="31"/>
    <x v="0"/>
    <n v="2"/>
    <n v="0.45"/>
    <n v="0"/>
    <n v="0"/>
    <n v="2"/>
    <n v="1.08"/>
    <x v="0"/>
  </r>
  <r>
    <x v="0"/>
    <s v="揖斐郡大野町"/>
    <x v="31"/>
    <x v="1"/>
    <n v="98"/>
    <n v="21.83"/>
    <n v="42"/>
    <n v="17"/>
    <n v="56"/>
    <n v="30.11"/>
    <x v="0"/>
  </r>
  <r>
    <x v="0"/>
    <s v="揖斐郡大野町"/>
    <x v="31"/>
    <x v="2"/>
    <n v="48"/>
    <n v="10.69"/>
    <n v="12"/>
    <n v="4.8600000000000003"/>
    <n v="36"/>
    <n v="19.350000000000001"/>
    <x v="0"/>
  </r>
  <r>
    <x v="0"/>
    <s v="揖斐郡大野町"/>
    <x v="31"/>
    <x v="3"/>
    <n v="2"/>
    <n v="0.45"/>
    <n v="0"/>
    <n v="0"/>
    <n v="1"/>
    <n v="0.54"/>
    <x v="0"/>
  </r>
  <r>
    <x v="0"/>
    <s v="揖斐郡大野町"/>
    <x v="31"/>
    <x v="4"/>
    <n v="1"/>
    <n v="0.22"/>
    <n v="0"/>
    <n v="0"/>
    <n v="1"/>
    <n v="0.54"/>
    <x v="0"/>
  </r>
  <r>
    <x v="0"/>
    <s v="揖斐郡大野町"/>
    <x v="31"/>
    <x v="5"/>
    <n v="1"/>
    <n v="0.22"/>
    <n v="0"/>
    <n v="0"/>
    <n v="1"/>
    <n v="0.54"/>
    <x v="0"/>
  </r>
  <r>
    <x v="0"/>
    <s v="揖斐郡大野町"/>
    <x v="31"/>
    <x v="6"/>
    <n v="103"/>
    <n v="22.94"/>
    <n v="60"/>
    <n v="24.29"/>
    <n v="41"/>
    <n v="22.04"/>
    <x v="5"/>
  </r>
  <r>
    <x v="0"/>
    <s v="揖斐郡大野町"/>
    <x v="31"/>
    <x v="7"/>
    <n v="4"/>
    <n v="0.89"/>
    <n v="1"/>
    <n v="0.4"/>
    <n v="3"/>
    <n v="1.61"/>
    <x v="0"/>
  </r>
  <r>
    <x v="0"/>
    <s v="揖斐郡大野町"/>
    <x v="31"/>
    <x v="8"/>
    <n v="15"/>
    <n v="3.34"/>
    <n v="5"/>
    <n v="2.02"/>
    <n v="10"/>
    <n v="5.38"/>
    <x v="0"/>
  </r>
  <r>
    <x v="0"/>
    <s v="揖斐郡大野町"/>
    <x v="31"/>
    <x v="9"/>
    <n v="14"/>
    <n v="3.12"/>
    <n v="7"/>
    <n v="2.83"/>
    <n v="6"/>
    <n v="3.23"/>
    <x v="0"/>
  </r>
  <r>
    <x v="0"/>
    <s v="揖斐郡大野町"/>
    <x v="31"/>
    <x v="10"/>
    <n v="33"/>
    <n v="7.35"/>
    <n v="28"/>
    <n v="11.34"/>
    <n v="5"/>
    <n v="2.69"/>
    <x v="0"/>
  </r>
  <r>
    <x v="0"/>
    <s v="揖斐郡大野町"/>
    <x v="31"/>
    <x v="11"/>
    <n v="51"/>
    <n v="11.36"/>
    <n v="39"/>
    <n v="15.79"/>
    <n v="9"/>
    <n v="4.84"/>
    <x v="0"/>
  </r>
  <r>
    <x v="0"/>
    <s v="揖斐郡大野町"/>
    <x v="31"/>
    <x v="12"/>
    <n v="35"/>
    <n v="7.8"/>
    <n v="28"/>
    <n v="11.34"/>
    <n v="3"/>
    <n v="1.61"/>
    <x v="0"/>
  </r>
  <r>
    <x v="0"/>
    <s v="揖斐郡大野町"/>
    <x v="31"/>
    <x v="13"/>
    <n v="21"/>
    <n v="4.68"/>
    <n v="14"/>
    <n v="5.67"/>
    <n v="4"/>
    <n v="2.15"/>
    <x v="0"/>
  </r>
  <r>
    <x v="0"/>
    <s v="揖斐郡大野町"/>
    <x v="31"/>
    <x v="14"/>
    <n v="21"/>
    <n v="4.68"/>
    <n v="11"/>
    <n v="4.45"/>
    <n v="8"/>
    <n v="4.3"/>
    <x v="0"/>
  </r>
  <r>
    <x v="0"/>
    <s v="揖斐郡池田町"/>
    <x v="32"/>
    <x v="0"/>
    <n v="0"/>
    <n v="0"/>
    <n v="0"/>
    <n v="0"/>
    <n v="0"/>
    <n v="0"/>
    <x v="0"/>
  </r>
  <r>
    <x v="0"/>
    <s v="揖斐郡池田町"/>
    <x v="32"/>
    <x v="1"/>
    <n v="113"/>
    <n v="19.82"/>
    <n v="51"/>
    <n v="15.6"/>
    <n v="62"/>
    <n v="27.68"/>
    <x v="0"/>
  </r>
  <r>
    <x v="0"/>
    <s v="揖斐郡池田町"/>
    <x v="32"/>
    <x v="2"/>
    <n v="80"/>
    <n v="14.04"/>
    <n v="32"/>
    <n v="9.7899999999999991"/>
    <n v="48"/>
    <n v="21.43"/>
    <x v="0"/>
  </r>
  <r>
    <x v="0"/>
    <s v="揖斐郡池田町"/>
    <x v="32"/>
    <x v="3"/>
    <n v="3"/>
    <n v="0.53"/>
    <n v="0"/>
    <n v="0"/>
    <n v="3"/>
    <n v="1.34"/>
    <x v="0"/>
  </r>
  <r>
    <x v="0"/>
    <s v="揖斐郡池田町"/>
    <x v="32"/>
    <x v="4"/>
    <n v="2"/>
    <n v="0.35"/>
    <n v="0"/>
    <n v="0"/>
    <n v="2"/>
    <n v="0.89"/>
    <x v="0"/>
  </r>
  <r>
    <x v="0"/>
    <s v="揖斐郡池田町"/>
    <x v="32"/>
    <x v="5"/>
    <n v="6"/>
    <n v="1.05"/>
    <n v="2"/>
    <n v="0.61"/>
    <n v="4"/>
    <n v="1.79"/>
    <x v="0"/>
  </r>
  <r>
    <x v="0"/>
    <s v="揖斐郡池田町"/>
    <x v="32"/>
    <x v="6"/>
    <n v="114"/>
    <n v="20"/>
    <n v="73"/>
    <n v="22.32"/>
    <n v="40"/>
    <n v="17.86"/>
    <x v="2"/>
  </r>
  <r>
    <x v="0"/>
    <s v="揖斐郡池田町"/>
    <x v="32"/>
    <x v="7"/>
    <n v="5"/>
    <n v="0.88"/>
    <n v="0"/>
    <n v="0"/>
    <n v="5"/>
    <n v="2.23"/>
    <x v="0"/>
  </r>
  <r>
    <x v="0"/>
    <s v="揖斐郡池田町"/>
    <x v="32"/>
    <x v="8"/>
    <n v="23"/>
    <n v="4.04"/>
    <n v="10"/>
    <n v="3.06"/>
    <n v="13"/>
    <n v="5.8"/>
    <x v="0"/>
  </r>
  <r>
    <x v="0"/>
    <s v="揖斐郡池田町"/>
    <x v="32"/>
    <x v="9"/>
    <n v="27"/>
    <n v="4.74"/>
    <n v="20"/>
    <n v="6.12"/>
    <n v="7"/>
    <n v="3.13"/>
    <x v="0"/>
  </r>
  <r>
    <x v="0"/>
    <s v="揖斐郡池田町"/>
    <x v="32"/>
    <x v="10"/>
    <n v="44"/>
    <n v="7.72"/>
    <n v="35"/>
    <n v="10.7"/>
    <n v="7"/>
    <n v="3.13"/>
    <x v="0"/>
  </r>
  <r>
    <x v="0"/>
    <s v="揖斐郡池田町"/>
    <x v="32"/>
    <x v="11"/>
    <n v="64"/>
    <n v="11.23"/>
    <n v="53"/>
    <n v="16.21"/>
    <n v="11"/>
    <n v="4.91"/>
    <x v="0"/>
  </r>
  <r>
    <x v="0"/>
    <s v="揖斐郡池田町"/>
    <x v="32"/>
    <x v="12"/>
    <n v="43"/>
    <n v="7.54"/>
    <n v="26"/>
    <n v="7.95"/>
    <n v="11"/>
    <n v="4.91"/>
    <x v="0"/>
  </r>
  <r>
    <x v="0"/>
    <s v="揖斐郡池田町"/>
    <x v="32"/>
    <x v="13"/>
    <n v="27"/>
    <n v="4.74"/>
    <n v="14"/>
    <n v="4.28"/>
    <n v="5"/>
    <n v="2.23"/>
    <x v="0"/>
  </r>
  <r>
    <x v="0"/>
    <s v="揖斐郡池田町"/>
    <x v="32"/>
    <x v="14"/>
    <n v="19"/>
    <n v="3.33"/>
    <n v="11"/>
    <n v="3.36"/>
    <n v="6"/>
    <n v="2.68"/>
    <x v="2"/>
  </r>
  <r>
    <x v="0"/>
    <s v="本巣郡北方町"/>
    <x v="33"/>
    <x v="0"/>
    <n v="0"/>
    <n v="0"/>
    <n v="0"/>
    <n v="0"/>
    <n v="0"/>
    <n v="0"/>
    <x v="0"/>
  </r>
  <r>
    <x v="0"/>
    <s v="本巣郡北方町"/>
    <x v="33"/>
    <x v="1"/>
    <n v="39"/>
    <n v="9.65"/>
    <n v="10"/>
    <n v="4.4800000000000004"/>
    <n v="29"/>
    <n v="16.38"/>
    <x v="0"/>
  </r>
  <r>
    <x v="0"/>
    <s v="本巣郡北方町"/>
    <x v="33"/>
    <x v="2"/>
    <n v="21"/>
    <n v="5.2"/>
    <n v="7"/>
    <n v="3.14"/>
    <n v="14"/>
    <n v="7.91"/>
    <x v="0"/>
  </r>
  <r>
    <x v="0"/>
    <s v="本巣郡北方町"/>
    <x v="33"/>
    <x v="3"/>
    <n v="0"/>
    <n v="0"/>
    <n v="0"/>
    <n v="0"/>
    <n v="0"/>
    <n v="0"/>
    <x v="0"/>
  </r>
  <r>
    <x v="0"/>
    <s v="本巣郡北方町"/>
    <x v="33"/>
    <x v="4"/>
    <n v="2"/>
    <n v="0.5"/>
    <n v="0"/>
    <n v="0"/>
    <n v="2"/>
    <n v="1.1299999999999999"/>
    <x v="0"/>
  </r>
  <r>
    <x v="0"/>
    <s v="本巣郡北方町"/>
    <x v="33"/>
    <x v="5"/>
    <n v="1"/>
    <n v="0.25"/>
    <n v="1"/>
    <n v="0.45"/>
    <n v="0"/>
    <n v="0"/>
    <x v="0"/>
  </r>
  <r>
    <x v="0"/>
    <s v="本巣郡北方町"/>
    <x v="33"/>
    <x v="6"/>
    <n v="91"/>
    <n v="22.52"/>
    <n v="36"/>
    <n v="16.14"/>
    <n v="55"/>
    <n v="31.07"/>
    <x v="0"/>
  </r>
  <r>
    <x v="0"/>
    <s v="本巣郡北方町"/>
    <x v="33"/>
    <x v="7"/>
    <n v="3"/>
    <n v="0.74"/>
    <n v="0"/>
    <n v="0"/>
    <n v="3"/>
    <n v="1.69"/>
    <x v="0"/>
  </r>
  <r>
    <x v="0"/>
    <s v="本巣郡北方町"/>
    <x v="33"/>
    <x v="8"/>
    <n v="39"/>
    <n v="9.65"/>
    <n v="19"/>
    <n v="8.52"/>
    <n v="20"/>
    <n v="11.3"/>
    <x v="0"/>
  </r>
  <r>
    <x v="0"/>
    <s v="本巣郡北方町"/>
    <x v="33"/>
    <x v="9"/>
    <n v="19"/>
    <n v="4.7"/>
    <n v="13"/>
    <n v="5.83"/>
    <n v="6"/>
    <n v="3.39"/>
    <x v="0"/>
  </r>
  <r>
    <x v="0"/>
    <s v="本巣郡北方町"/>
    <x v="33"/>
    <x v="10"/>
    <n v="65"/>
    <n v="16.09"/>
    <n v="53"/>
    <n v="23.77"/>
    <n v="12"/>
    <n v="6.78"/>
    <x v="0"/>
  </r>
  <r>
    <x v="0"/>
    <s v="本巣郡北方町"/>
    <x v="33"/>
    <x v="11"/>
    <n v="73"/>
    <n v="18.07"/>
    <n v="55"/>
    <n v="24.66"/>
    <n v="18"/>
    <n v="10.17"/>
    <x v="0"/>
  </r>
  <r>
    <x v="0"/>
    <s v="本巣郡北方町"/>
    <x v="33"/>
    <x v="12"/>
    <n v="21"/>
    <n v="5.2"/>
    <n v="11"/>
    <n v="4.93"/>
    <n v="8"/>
    <n v="4.5199999999999996"/>
    <x v="0"/>
  </r>
  <r>
    <x v="0"/>
    <s v="本巣郡北方町"/>
    <x v="33"/>
    <x v="13"/>
    <n v="21"/>
    <n v="5.2"/>
    <n v="15"/>
    <n v="6.73"/>
    <n v="5"/>
    <n v="2.82"/>
    <x v="0"/>
  </r>
  <r>
    <x v="0"/>
    <s v="本巣郡北方町"/>
    <x v="33"/>
    <x v="14"/>
    <n v="9"/>
    <n v="2.23"/>
    <n v="3"/>
    <n v="1.35"/>
    <n v="5"/>
    <n v="2.82"/>
    <x v="0"/>
  </r>
  <r>
    <x v="0"/>
    <s v="加茂郡坂祝町"/>
    <x v="34"/>
    <x v="0"/>
    <n v="1"/>
    <n v="0.82"/>
    <n v="0"/>
    <n v="0"/>
    <n v="1"/>
    <n v="2.04"/>
    <x v="0"/>
  </r>
  <r>
    <x v="0"/>
    <s v="加茂郡坂祝町"/>
    <x v="34"/>
    <x v="1"/>
    <n v="19"/>
    <n v="15.57"/>
    <n v="8"/>
    <n v="11.27"/>
    <n v="11"/>
    <n v="22.45"/>
    <x v="0"/>
  </r>
  <r>
    <x v="0"/>
    <s v="加茂郡坂祝町"/>
    <x v="34"/>
    <x v="2"/>
    <n v="21"/>
    <n v="17.21"/>
    <n v="8"/>
    <n v="11.27"/>
    <n v="13"/>
    <n v="26.53"/>
    <x v="0"/>
  </r>
  <r>
    <x v="0"/>
    <s v="加茂郡坂祝町"/>
    <x v="34"/>
    <x v="3"/>
    <n v="0"/>
    <n v="0"/>
    <n v="0"/>
    <n v="0"/>
    <n v="0"/>
    <n v="0"/>
    <x v="0"/>
  </r>
  <r>
    <x v="0"/>
    <s v="加茂郡坂祝町"/>
    <x v="34"/>
    <x v="4"/>
    <n v="0"/>
    <n v="0"/>
    <n v="0"/>
    <n v="0"/>
    <n v="0"/>
    <n v="0"/>
    <x v="0"/>
  </r>
  <r>
    <x v="0"/>
    <s v="加茂郡坂祝町"/>
    <x v="34"/>
    <x v="5"/>
    <n v="2"/>
    <n v="1.64"/>
    <n v="0"/>
    <n v="0"/>
    <n v="2"/>
    <n v="4.08"/>
    <x v="0"/>
  </r>
  <r>
    <x v="0"/>
    <s v="加茂郡坂祝町"/>
    <x v="34"/>
    <x v="6"/>
    <n v="25"/>
    <n v="20.49"/>
    <n v="16"/>
    <n v="22.54"/>
    <n v="9"/>
    <n v="18.37"/>
    <x v="0"/>
  </r>
  <r>
    <x v="0"/>
    <s v="加茂郡坂祝町"/>
    <x v="34"/>
    <x v="7"/>
    <n v="2"/>
    <n v="1.64"/>
    <n v="0"/>
    <n v="0"/>
    <n v="2"/>
    <n v="4.08"/>
    <x v="0"/>
  </r>
  <r>
    <x v="0"/>
    <s v="加茂郡坂祝町"/>
    <x v="34"/>
    <x v="8"/>
    <n v="6"/>
    <n v="4.92"/>
    <n v="2"/>
    <n v="2.82"/>
    <n v="4"/>
    <n v="8.16"/>
    <x v="0"/>
  </r>
  <r>
    <x v="0"/>
    <s v="加茂郡坂祝町"/>
    <x v="34"/>
    <x v="9"/>
    <n v="4"/>
    <n v="3.28"/>
    <n v="1"/>
    <n v="1.41"/>
    <n v="3"/>
    <n v="6.12"/>
    <x v="0"/>
  </r>
  <r>
    <x v="0"/>
    <s v="加茂郡坂祝町"/>
    <x v="34"/>
    <x v="10"/>
    <n v="16"/>
    <n v="13.11"/>
    <n v="14"/>
    <n v="19.72"/>
    <n v="1"/>
    <n v="2.04"/>
    <x v="0"/>
  </r>
  <r>
    <x v="0"/>
    <s v="加茂郡坂祝町"/>
    <x v="34"/>
    <x v="11"/>
    <n v="13"/>
    <n v="10.66"/>
    <n v="12"/>
    <n v="16.899999999999999"/>
    <n v="1"/>
    <n v="2.04"/>
    <x v="0"/>
  </r>
  <r>
    <x v="0"/>
    <s v="加茂郡坂祝町"/>
    <x v="34"/>
    <x v="12"/>
    <n v="6"/>
    <n v="4.92"/>
    <n v="6"/>
    <n v="8.4499999999999993"/>
    <n v="0"/>
    <n v="0"/>
    <x v="0"/>
  </r>
  <r>
    <x v="0"/>
    <s v="加茂郡坂祝町"/>
    <x v="34"/>
    <x v="13"/>
    <n v="3"/>
    <n v="2.46"/>
    <n v="2"/>
    <n v="2.82"/>
    <n v="1"/>
    <n v="2.04"/>
    <x v="0"/>
  </r>
  <r>
    <x v="0"/>
    <s v="加茂郡坂祝町"/>
    <x v="34"/>
    <x v="14"/>
    <n v="4"/>
    <n v="3.28"/>
    <n v="2"/>
    <n v="2.82"/>
    <n v="1"/>
    <n v="2.04"/>
    <x v="2"/>
  </r>
  <r>
    <x v="0"/>
    <s v="加茂郡富加町"/>
    <x v="35"/>
    <x v="0"/>
    <n v="0"/>
    <n v="0"/>
    <n v="0"/>
    <n v="0"/>
    <n v="0"/>
    <n v="0"/>
    <x v="0"/>
  </r>
  <r>
    <x v="0"/>
    <s v="加茂郡富加町"/>
    <x v="35"/>
    <x v="1"/>
    <n v="27"/>
    <n v="17.2"/>
    <n v="15"/>
    <n v="15"/>
    <n v="12"/>
    <n v="21.82"/>
    <x v="0"/>
  </r>
  <r>
    <x v="0"/>
    <s v="加茂郡富加町"/>
    <x v="35"/>
    <x v="2"/>
    <n v="50"/>
    <n v="31.85"/>
    <n v="26"/>
    <n v="26"/>
    <n v="24"/>
    <n v="43.64"/>
    <x v="0"/>
  </r>
  <r>
    <x v="0"/>
    <s v="加茂郡富加町"/>
    <x v="35"/>
    <x v="3"/>
    <n v="0"/>
    <n v="0"/>
    <n v="0"/>
    <n v="0"/>
    <n v="0"/>
    <n v="0"/>
    <x v="0"/>
  </r>
  <r>
    <x v="0"/>
    <s v="加茂郡富加町"/>
    <x v="35"/>
    <x v="4"/>
    <n v="0"/>
    <n v="0"/>
    <n v="0"/>
    <n v="0"/>
    <n v="0"/>
    <n v="0"/>
    <x v="0"/>
  </r>
  <r>
    <x v="0"/>
    <s v="加茂郡富加町"/>
    <x v="35"/>
    <x v="5"/>
    <n v="0"/>
    <n v="0"/>
    <n v="0"/>
    <n v="0"/>
    <n v="0"/>
    <n v="0"/>
    <x v="0"/>
  </r>
  <r>
    <x v="0"/>
    <s v="加茂郡富加町"/>
    <x v="35"/>
    <x v="6"/>
    <n v="22"/>
    <n v="14.01"/>
    <n v="11"/>
    <n v="11"/>
    <n v="10"/>
    <n v="18.18"/>
    <x v="2"/>
  </r>
  <r>
    <x v="0"/>
    <s v="加茂郡富加町"/>
    <x v="35"/>
    <x v="7"/>
    <n v="0"/>
    <n v="0"/>
    <n v="0"/>
    <n v="0"/>
    <n v="0"/>
    <n v="0"/>
    <x v="0"/>
  </r>
  <r>
    <x v="0"/>
    <s v="加茂郡富加町"/>
    <x v="35"/>
    <x v="8"/>
    <n v="4"/>
    <n v="2.5499999999999998"/>
    <n v="3"/>
    <n v="3"/>
    <n v="1"/>
    <n v="1.82"/>
    <x v="0"/>
  </r>
  <r>
    <x v="0"/>
    <s v="加茂郡富加町"/>
    <x v="35"/>
    <x v="9"/>
    <n v="7"/>
    <n v="4.46"/>
    <n v="6"/>
    <n v="6"/>
    <n v="1"/>
    <n v="1.82"/>
    <x v="0"/>
  </r>
  <r>
    <x v="0"/>
    <s v="加茂郡富加町"/>
    <x v="35"/>
    <x v="10"/>
    <n v="12"/>
    <n v="7.64"/>
    <n v="12"/>
    <n v="12"/>
    <n v="0"/>
    <n v="0"/>
    <x v="0"/>
  </r>
  <r>
    <x v="0"/>
    <s v="加茂郡富加町"/>
    <x v="35"/>
    <x v="11"/>
    <n v="20"/>
    <n v="12.74"/>
    <n v="18"/>
    <n v="18"/>
    <n v="2"/>
    <n v="3.64"/>
    <x v="0"/>
  </r>
  <r>
    <x v="0"/>
    <s v="加茂郡富加町"/>
    <x v="35"/>
    <x v="12"/>
    <n v="6"/>
    <n v="3.82"/>
    <n v="4"/>
    <n v="4"/>
    <n v="2"/>
    <n v="3.64"/>
    <x v="0"/>
  </r>
  <r>
    <x v="0"/>
    <s v="加茂郡富加町"/>
    <x v="35"/>
    <x v="13"/>
    <n v="4"/>
    <n v="2.5499999999999998"/>
    <n v="3"/>
    <n v="3"/>
    <n v="0"/>
    <n v="0"/>
    <x v="0"/>
  </r>
  <r>
    <x v="0"/>
    <s v="加茂郡富加町"/>
    <x v="35"/>
    <x v="14"/>
    <n v="5"/>
    <n v="3.18"/>
    <n v="2"/>
    <n v="2"/>
    <n v="3"/>
    <n v="5.45"/>
    <x v="0"/>
  </r>
  <r>
    <x v="0"/>
    <s v="加茂郡川辺町"/>
    <x v="36"/>
    <x v="0"/>
    <n v="0"/>
    <n v="0"/>
    <n v="0"/>
    <n v="0"/>
    <n v="0"/>
    <n v="0"/>
    <x v="0"/>
  </r>
  <r>
    <x v="0"/>
    <s v="加茂郡川辺町"/>
    <x v="36"/>
    <x v="1"/>
    <n v="44"/>
    <n v="16.73"/>
    <n v="19"/>
    <n v="11.59"/>
    <n v="25"/>
    <n v="26.32"/>
    <x v="0"/>
  </r>
  <r>
    <x v="0"/>
    <s v="加茂郡川辺町"/>
    <x v="36"/>
    <x v="2"/>
    <n v="47"/>
    <n v="17.87"/>
    <n v="23"/>
    <n v="14.02"/>
    <n v="24"/>
    <n v="25.26"/>
    <x v="0"/>
  </r>
  <r>
    <x v="0"/>
    <s v="加茂郡川辺町"/>
    <x v="36"/>
    <x v="3"/>
    <n v="0"/>
    <n v="0"/>
    <n v="0"/>
    <n v="0"/>
    <n v="0"/>
    <n v="0"/>
    <x v="0"/>
  </r>
  <r>
    <x v="0"/>
    <s v="加茂郡川辺町"/>
    <x v="36"/>
    <x v="4"/>
    <n v="2"/>
    <n v="0.76"/>
    <n v="1"/>
    <n v="0.61"/>
    <n v="1"/>
    <n v="1.05"/>
    <x v="0"/>
  </r>
  <r>
    <x v="0"/>
    <s v="加茂郡川辺町"/>
    <x v="36"/>
    <x v="5"/>
    <n v="2"/>
    <n v="0.76"/>
    <n v="1"/>
    <n v="0.61"/>
    <n v="1"/>
    <n v="1.05"/>
    <x v="0"/>
  </r>
  <r>
    <x v="0"/>
    <s v="加茂郡川辺町"/>
    <x v="36"/>
    <x v="6"/>
    <n v="60"/>
    <n v="22.81"/>
    <n v="36"/>
    <n v="21.95"/>
    <n v="23"/>
    <n v="24.21"/>
    <x v="2"/>
  </r>
  <r>
    <x v="0"/>
    <s v="加茂郡川辺町"/>
    <x v="36"/>
    <x v="7"/>
    <n v="2"/>
    <n v="0.76"/>
    <n v="1"/>
    <n v="0.61"/>
    <n v="1"/>
    <n v="1.05"/>
    <x v="0"/>
  </r>
  <r>
    <x v="0"/>
    <s v="加茂郡川辺町"/>
    <x v="36"/>
    <x v="8"/>
    <n v="9"/>
    <n v="3.42"/>
    <n v="3"/>
    <n v="1.83"/>
    <n v="6"/>
    <n v="6.32"/>
    <x v="0"/>
  </r>
  <r>
    <x v="0"/>
    <s v="加茂郡川辺町"/>
    <x v="36"/>
    <x v="9"/>
    <n v="11"/>
    <n v="4.18"/>
    <n v="9"/>
    <n v="5.49"/>
    <n v="2"/>
    <n v="2.11"/>
    <x v="0"/>
  </r>
  <r>
    <x v="0"/>
    <s v="加茂郡川辺町"/>
    <x v="36"/>
    <x v="10"/>
    <n v="25"/>
    <n v="9.51"/>
    <n v="21"/>
    <n v="12.8"/>
    <n v="3"/>
    <n v="3.16"/>
    <x v="0"/>
  </r>
  <r>
    <x v="0"/>
    <s v="加茂郡川辺町"/>
    <x v="36"/>
    <x v="11"/>
    <n v="25"/>
    <n v="9.51"/>
    <n v="23"/>
    <n v="14.02"/>
    <n v="2"/>
    <n v="2.11"/>
    <x v="0"/>
  </r>
  <r>
    <x v="0"/>
    <s v="加茂郡川辺町"/>
    <x v="36"/>
    <x v="12"/>
    <n v="13"/>
    <n v="4.9400000000000004"/>
    <n v="11"/>
    <n v="6.71"/>
    <n v="1"/>
    <n v="1.05"/>
    <x v="0"/>
  </r>
  <r>
    <x v="0"/>
    <s v="加茂郡川辺町"/>
    <x v="36"/>
    <x v="13"/>
    <n v="15"/>
    <n v="5.7"/>
    <n v="10"/>
    <n v="6.1"/>
    <n v="5"/>
    <n v="5.26"/>
    <x v="0"/>
  </r>
  <r>
    <x v="0"/>
    <s v="加茂郡川辺町"/>
    <x v="36"/>
    <x v="14"/>
    <n v="8"/>
    <n v="3.04"/>
    <n v="6"/>
    <n v="3.66"/>
    <n v="1"/>
    <n v="1.05"/>
    <x v="2"/>
  </r>
  <r>
    <x v="0"/>
    <s v="加茂郡七宗町"/>
    <x v="37"/>
    <x v="0"/>
    <n v="0"/>
    <n v="0"/>
    <n v="0"/>
    <n v="0"/>
    <n v="0"/>
    <n v="0"/>
    <x v="0"/>
  </r>
  <r>
    <x v="0"/>
    <s v="加茂郡七宗町"/>
    <x v="37"/>
    <x v="1"/>
    <n v="39"/>
    <n v="30"/>
    <n v="25"/>
    <n v="28.09"/>
    <n v="14"/>
    <n v="36.840000000000003"/>
    <x v="0"/>
  </r>
  <r>
    <x v="0"/>
    <s v="加茂郡七宗町"/>
    <x v="37"/>
    <x v="2"/>
    <n v="22"/>
    <n v="16.920000000000002"/>
    <n v="14"/>
    <n v="15.73"/>
    <n v="8"/>
    <n v="21.05"/>
    <x v="0"/>
  </r>
  <r>
    <x v="0"/>
    <s v="加茂郡七宗町"/>
    <x v="37"/>
    <x v="3"/>
    <n v="1"/>
    <n v="0.77"/>
    <n v="1"/>
    <n v="1.1200000000000001"/>
    <n v="0"/>
    <n v="0"/>
    <x v="0"/>
  </r>
  <r>
    <x v="0"/>
    <s v="加茂郡七宗町"/>
    <x v="37"/>
    <x v="4"/>
    <n v="0"/>
    <n v="0"/>
    <n v="0"/>
    <n v="0"/>
    <n v="0"/>
    <n v="0"/>
    <x v="0"/>
  </r>
  <r>
    <x v="0"/>
    <s v="加茂郡七宗町"/>
    <x v="37"/>
    <x v="5"/>
    <n v="2"/>
    <n v="1.54"/>
    <n v="2"/>
    <n v="2.25"/>
    <n v="0"/>
    <n v="0"/>
    <x v="0"/>
  </r>
  <r>
    <x v="0"/>
    <s v="加茂郡七宗町"/>
    <x v="37"/>
    <x v="6"/>
    <n v="29"/>
    <n v="22.31"/>
    <n v="22"/>
    <n v="24.72"/>
    <n v="7"/>
    <n v="18.420000000000002"/>
    <x v="0"/>
  </r>
  <r>
    <x v="0"/>
    <s v="加茂郡七宗町"/>
    <x v="37"/>
    <x v="7"/>
    <n v="2"/>
    <n v="1.54"/>
    <n v="1"/>
    <n v="1.1200000000000001"/>
    <n v="1"/>
    <n v="2.63"/>
    <x v="0"/>
  </r>
  <r>
    <x v="0"/>
    <s v="加茂郡七宗町"/>
    <x v="37"/>
    <x v="8"/>
    <n v="0"/>
    <n v="0"/>
    <n v="0"/>
    <n v="0"/>
    <n v="0"/>
    <n v="0"/>
    <x v="0"/>
  </r>
  <r>
    <x v="0"/>
    <s v="加茂郡七宗町"/>
    <x v="37"/>
    <x v="9"/>
    <n v="1"/>
    <n v="0.77"/>
    <n v="0"/>
    <n v="0"/>
    <n v="1"/>
    <n v="2.63"/>
    <x v="0"/>
  </r>
  <r>
    <x v="0"/>
    <s v="加茂郡七宗町"/>
    <x v="37"/>
    <x v="10"/>
    <n v="11"/>
    <n v="8.4600000000000009"/>
    <n v="8"/>
    <n v="8.99"/>
    <n v="3"/>
    <n v="7.89"/>
    <x v="0"/>
  </r>
  <r>
    <x v="0"/>
    <s v="加茂郡七宗町"/>
    <x v="37"/>
    <x v="11"/>
    <n v="14"/>
    <n v="10.77"/>
    <n v="12"/>
    <n v="13.48"/>
    <n v="1"/>
    <n v="2.63"/>
    <x v="0"/>
  </r>
  <r>
    <x v="0"/>
    <s v="加茂郡七宗町"/>
    <x v="37"/>
    <x v="12"/>
    <n v="2"/>
    <n v="1.54"/>
    <n v="0"/>
    <n v="0"/>
    <n v="1"/>
    <n v="2.63"/>
    <x v="0"/>
  </r>
  <r>
    <x v="0"/>
    <s v="加茂郡七宗町"/>
    <x v="37"/>
    <x v="13"/>
    <n v="2"/>
    <n v="1.54"/>
    <n v="2"/>
    <n v="2.25"/>
    <n v="0"/>
    <n v="0"/>
    <x v="0"/>
  </r>
  <r>
    <x v="0"/>
    <s v="加茂郡七宗町"/>
    <x v="37"/>
    <x v="14"/>
    <n v="5"/>
    <n v="3.85"/>
    <n v="2"/>
    <n v="2.25"/>
    <n v="2"/>
    <n v="5.26"/>
    <x v="0"/>
  </r>
  <r>
    <x v="0"/>
    <s v="加茂郡八百津町"/>
    <x v="38"/>
    <x v="0"/>
    <n v="0"/>
    <n v="0"/>
    <n v="0"/>
    <n v="0"/>
    <n v="0"/>
    <n v="0"/>
    <x v="0"/>
  </r>
  <r>
    <x v="0"/>
    <s v="加茂郡八百津町"/>
    <x v="38"/>
    <x v="1"/>
    <n v="57"/>
    <n v="18.809999999999999"/>
    <n v="40"/>
    <n v="19.23"/>
    <n v="17"/>
    <n v="18.68"/>
    <x v="0"/>
  </r>
  <r>
    <x v="0"/>
    <s v="加茂郡八百津町"/>
    <x v="38"/>
    <x v="2"/>
    <n v="66"/>
    <n v="21.78"/>
    <n v="39"/>
    <n v="18.75"/>
    <n v="27"/>
    <n v="29.67"/>
    <x v="0"/>
  </r>
  <r>
    <x v="0"/>
    <s v="加茂郡八百津町"/>
    <x v="38"/>
    <x v="3"/>
    <n v="0"/>
    <n v="0"/>
    <n v="0"/>
    <n v="0"/>
    <n v="0"/>
    <n v="0"/>
    <x v="0"/>
  </r>
  <r>
    <x v="0"/>
    <s v="加茂郡八百津町"/>
    <x v="38"/>
    <x v="4"/>
    <n v="0"/>
    <n v="0"/>
    <n v="0"/>
    <n v="0"/>
    <n v="0"/>
    <n v="0"/>
    <x v="0"/>
  </r>
  <r>
    <x v="0"/>
    <s v="加茂郡八百津町"/>
    <x v="38"/>
    <x v="5"/>
    <n v="3"/>
    <n v="0.99"/>
    <n v="1"/>
    <n v="0.48"/>
    <n v="2"/>
    <n v="2.2000000000000002"/>
    <x v="0"/>
  </r>
  <r>
    <x v="0"/>
    <s v="加茂郡八百津町"/>
    <x v="38"/>
    <x v="6"/>
    <n v="84"/>
    <n v="27.72"/>
    <n v="61"/>
    <n v="29.33"/>
    <n v="23"/>
    <n v="25.27"/>
    <x v="0"/>
  </r>
  <r>
    <x v="0"/>
    <s v="加茂郡八百津町"/>
    <x v="38"/>
    <x v="7"/>
    <n v="1"/>
    <n v="0.33"/>
    <n v="0"/>
    <n v="0"/>
    <n v="1"/>
    <n v="1.1000000000000001"/>
    <x v="0"/>
  </r>
  <r>
    <x v="0"/>
    <s v="加茂郡八百津町"/>
    <x v="38"/>
    <x v="8"/>
    <n v="9"/>
    <n v="2.97"/>
    <n v="3"/>
    <n v="1.44"/>
    <n v="6"/>
    <n v="6.59"/>
    <x v="0"/>
  </r>
  <r>
    <x v="0"/>
    <s v="加茂郡八百津町"/>
    <x v="38"/>
    <x v="9"/>
    <n v="7"/>
    <n v="2.31"/>
    <n v="6"/>
    <n v="2.88"/>
    <n v="1"/>
    <n v="1.1000000000000001"/>
    <x v="0"/>
  </r>
  <r>
    <x v="0"/>
    <s v="加茂郡八百津町"/>
    <x v="38"/>
    <x v="10"/>
    <n v="27"/>
    <n v="8.91"/>
    <n v="24"/>
    <n v="11.54"/>
    <n v="2"/>
    <n v="2.2000000000000002"/>
    <x v="0"/>
  </r>
  <r>
    <x v="0"/>
    <s v="加茂郡八百津町"/>
    <x v="38"/>
    <x v="11"/>
    <n v="26"/>
    <n v="8.58"/>
    <n v="23"/>
    <n v="11.06"/>
    <n v="3"/>
    <n v="3.3"/>
    <x v="0"/>
  </r>
  <r>
    <x v="0"/>
    <s v="加茂郡八百津町"/>
    <x v="38"/>
    <x v="12"/>
    <n v="7"/>
    <n v="2.31"/>
    <n v="4"/>
    <n v="1.92"/>
    <n v="1"/>
    <n v="1.1000000000000001"/>
    <x v="0"/>
  </r>
  <r>
    <x v="0"/>
    <s v="加茂郡八百津町"/>
    <x v="38"/>
    <x v="13"/>
    <n v="11"/>
    <n v="3.63"/>
    <n v="5"/>
    <n v="2.4"/>
    <n v="5"/>
    <n v="5.49"/>
    <x v="0"/>
  </r>
  <r>
    <x v="0"/>
    <s v="加茂郡八百津町"/>
    <x v="38"/>
    <x v="14"/>
    <n v="5"/>
    <n v="1.65"/>
    <n v="2"/>
    <n v="0.96"/>
    <n v="3"/>
    <n v="3.3"/>
    <x v="0"/>
  </r>
  <r>
    <x v="0"/>
    <s v="加茂郡白川町"/>
    <x v="39"/>
    <x v="0"/>
    <n v="0"/>
    <n v="0"/>
    <n v="0"/>
    <n v="0"/>
    <n v="0"/>
    <n v="0"/>
    <x v="0"/>
  </r>
  <r>
    <x v="0"/>
    <s v="加茂郡白川町"/>
    <x v="39"/>
    <x v="1"/>
    <n v="106"/>
    <n v="33.229999999999997"/>
    <n v="52"/>
    <n v="27.23"/>
    <n v="54"/>
    <n v="42.86"/>
    <x v="0"/>
  </r>
  <r>
    <x v="0"/>
    <s v="加茂郡白川町"/>
    <x v="39"/>
    <x v="2"/>
    <n v="53"/>
    <n v="16.61"/>
    <n v="25"/>
    <n v="13.09"/>
    <n v="27"/>
    <n v="21.43"/>
    <x v="2"/>
  </r>
  <r>
    <x v="0"/>
    <s v="加茂郡白川町"/>
    <x v="39"/>
    <x v="3"/>
    <n v="3"/>
    <n v="0.94"/>
    <n v="0"/>
    <n v="0"/>
    <n v="3"/>
    <n v="2.38"/>
    <x v="0"/>
  </r>
  <r>
    <x v="0"/>
    <s v="加茂郡白川町"/>
    <x v="39"/>
    <x v="4"/>
    <n v="1"/>
    <n v="0.31"/>
    <n v="0"/>
    <n v="0"/>
    <n v="1"/>
    <n v="0.79"/>
    <x v="0"/>
  </r>
  <r>
    <x v="0"/>
    <s v="加茂郡白川町"/>
    <x v="39"/>
    <x v="5"/>
    <n v="6"/>
    <n v="1.88"/>
    <n v="3"/>
    <n v="1.57"/>
    <n v="2"/>
    <n v="1.59"/>
    <x v="2"/>
  </r>
  <r>
    <x v="0"/>
    <s v="加茂郡白川町"/>
    <x v="39"/>
    <x v="6"/>
    <n v="60"/>
    <n v="18.809999999999999"/>
    <n v="41"/>
    <n v="21.47"/>
    <n v="19"/>
    <n v="15.08"/>
    <x v="0"/>
  </r>
  <r>
    <x v="0"/>
    <s v="加茂郡白川町"/>
    <x v="39"/>
    <x v="7"/>
    <n v="1"/>
    <n v="0.31"/>
    <n v="0"/>
    <n v="0"/>
    <n v="1"/>
    <n v="0.79"/>
    <x v="0"/>
  </r>
  <r>
    <x v="0"/>
    <s v="加茂郡白川町"/>
    <x v="39"/>
    <x v="8"/>
    <n v="8"/>
    <n v="2.5099999999999998"/>
    <n v="1"/>
    <n v="0.52"/>
    <n v="7"/>
    <n v="5.56"/>
    <x v="0"/>
  </r>
  <r>
    <x v="0"/>
    <s v="加茂郡白川町"/>
    <x v="39"/>
    <x v="9"/>
    <n v="4"/>
    <n v="1.25"/>
    <n v="4"/>
    <n v="2.09"/>
    <n v="0"/>
    <n v="0"/>
    <x v="0"/>
  </r>
  <r>
    <x v="0"/>
    <s v="加茂郡白川町"/>
    <x v="39"/>
    <x v="10"/>
    <n v="26"/>
    <n v="8.15"/>
    <n v="23"/>
    <n v="12.04"/>
    <n v="3"/>
    <n v="2.38"/>
    <x v="0"/>
  </r>
  <r>
    <x v="0"/>
    <s v="加茂郡白川町"/>
    <x v="39"/>
    <x v="11"/>
    <n v="34"/>
    <n v="10.66"/>
    <n v="30"/>
    <n v="15.71"/>
    <n v="4"/>
    <n v="3.17"/>
    <x v="0"/>
  </r>
  <r>
    <x v="0"/>
    <s v="加茂郡白川町"/>
    <x v="39"/>
    <x v="12"/>
    <n v="5"/>
    <n v="1.57"/>
    <n v="3"/>
    <n v="1.57"/>
    <n v="2"/>
    <n v="1.59"/>
    <x v="0"/>
  </r>
  <r>
    <x v="0"/>
    <s v="加茂郡白川町"/>
    <x v="39"/>
    <x v="13"/>
    <n v="5"/>
    <n v="1.57"/>
    <n v="4"/>
    <n v="2.09"/>
    <n v="1"/>
    <n v="0.79"/>
    <x v="0"/>
  </r>
  <r>
    <x v="0"/>
    <s v="加茂郡白川町"/>
    <x v="39"/>
    <x v="14"/>
    <n v="7"/>
    <n v="2.19"/>
    <n v="5"/>
    <n v="2.62"/>
    <n v="2"/>
    <n v="1.59"/>
    <x v="0"/>
  </r>
  <r>
    <x v="0"/>
    <s v="加茂郡東白川村"/>
    <x v="40"/>
    <x v="0"/>
    <n v="0"/>
    <n v="0"/>
    <n v="0"/>
    <n v="0"/>
    <n v="0"/>
    <n v="0"/>
    <x v="0"/>
  </r>
  <r>
    <x v="0"/>
    <s v="加茂郡東白川村"/>
    <x v="40"/>
    <x v="1"/>
    <n v="38"/>
    <n v="33.04"/>
    <n v="25"/>
    <n v="33.33"/>
    <n v="13"/>
    <n v="34.21"/>
    <x v="0"/>
  </r>
  <r>
    <x v="0"/>
    <s v="加茂郡東白川村"/>
    <x v="40"/>
    <x v="2"/>
    <n v="26"/>
    <n v="22.61"/>
    <n v="14"/>
    <n v="18.670000000000002"/>
    <n v="12"/>
    <n v="31.58"/>
    <x v="0"/>
  </r>
  <r>
    <x v="0"/>
    <s v="加茂郡東白川村"/>
    <x v="40"/>
    <x v="3"/>
    <n v="2"/>
    <n v="1.74"/>
    <n v="0"/>
    <n v="0"/>
    <n v="2"/>
    <n v="5.26"/>
    <x v="0"/>
  </r>
  <r>
    <x v="0"/>
    <s v="加茂郡東白川村"/>
    <x v="40"/>
    <x v="4"/>
    <n v="0"/>
    <n v="0"/>
    <n v="0"/>
    <n v="0"/>
    <n v="0"/>
    <n v="0"/>
    <x v="0"/>
  </r>
  <r>
    <x v="0"/>
    <s v="加茂郡東白川村"/>
    <x v="40"/>
    <x v="5"/>
    <n v="0"/>
    <n v="0"/>
    <n v="0"/>
    <n v="0"/>
    <n v="0"/>
    <n v="0"/>
    <x v="0"/>
  </r>
  <r>
    <x v="0"/>
    <s v="加茂郡東白川村"/>
    <x v="40"/>
    <x v="6"/>
    <n v="20"/>
    <n v="17.39"/>
    <n v="16"/>
    <n v="21.33"/>
    <n v="4"/>
    <n v="10.53"/>
    <x v="0"/>
  </r>
  <r>
    <x v="0"/>
    <s v="加茂郡東白川村"/>
    <x v="40"/>
    <x v="7"/>
    <n v="0"/>
    <n v="0"/>
    <n v="0"/>
    <n v="0"/>
    <n v="0"/>
    <n v="0"/>
    <x v="0"/>
  </r>
  <r>
    <x v="0"/>
    <s v="加茂郡東白川村"/>
    <x v="40"/>
    <x v="8"/>
    <n v="1"/>
    <n v="0.87"/>
    <n v="1"/>
    <n v="1.33"/>
    <n v="0"/>
    <n v="0"/>
    <x v="0"/>
  </r>
  <r>
    <x v="0"/>
    <s v="加茂郡東白川村"/>
    <x v="40"/>
    <x v="9"/>
    <n v="4"/>
    <n v="3.48"/>
    <n v="2"/>
    <n v="2.67"/>
    <n v="2"/>
    <n v="5.26"/>
    <x v="0"/>
  </r>
  <r>
    <x v="0"/>
    <s v="加茂郡東白川村"/>
    <x v="40"/>
    <x v="10"/>
    <n v="8"/>
    <n v="6.96"/>
    <n v="5"/>
    <n v="6.67"/>
    <n v="2"/>
    <n v="5.26"/>
    <x v="2"/>
  </r>
  <r>
    <x v="0"/>
    <s v="加茂郡東白川村"/>
    <x v="40"/>
    <x v="11"/>
    <n v="12"/>
    <n v="10.43"/>
    <n v="10"/>
    <n v="13.33"/>
    <n v="1"/>
    <n v="2.63"/>
    <x v="2"/>
  </r>
  <r>
    <x v="0"/>
    <s v="加茂郡東白川村"/>
    <x v="40"/>
    <x v="12"/>
    <n v="2"/>
    <n v="1.74"/>
    <n v="1"/>
    <n v="1.33"/>
    <n v="1"/>
    <n v="2.63"/>
    <x v="0"/>
  </r>
  <r>
    <x v="0"/>
    <s v="加茂郡東白川村"/>
    <x v="40"/>
    <x v="13"/>
    <n v="1"/>
    <n v="0.87"/>
    <n v="1"/>
    <n v="1.33"/>
    <n v="0"/>
    <n v="0"/>
    <x v="0"/>
  </r>
  <r>
    <x v="0"/>
    <s v="加茂郡東白川村"/>
    <x v="40"/>
    <x v="14"/>
    <n v="1"/>
    <n v="0.87"/>
    <n v="0"/>
    <n v="0"/>
    <n v="1"/>
    <n v="2.63"/>
    <x v="0"/>
  </r>
  <r>
    <x v="0"/>
    <s v="可児郡御嵩町"/>
    <x v="41"/>
    <x v="0"/>
    <n v="1"/>
    <n v="0.26"/>
    <n v="0"/>
    <n v="0"/>
    <n v="1"/>
    <n v="0.63"/>
    <x v="0"/>
  </r>
  <r>
    <x v="0"/>
    <s v="可児郡御嵩町"/>
    <x v="41"/>
    <x v="1"/>
    <n v="64"/>
    <n v="16.37"/>
    <n v="30"/>
    <n v="13.57"/>
    <n v="34"/>
    <n v="21.38"/>
    <x v="0"/>
  </r>
  <r>
    <x v="0"/>
    <s v="可児郡御嵩町"/>
    <x v="41"/>
    <x v="2"/>
    <n v="43"/>
    <n v="11"/>
    <n v="20"/>
    <n v="9.0500000000000007"/>
    <n v="23"/>
    <n v="14.47"/>
    <x v="0"/>
  </r>
  <r>
    <x v="0"/>
    <s v="可児郡御嵩町"/>
    <x v="41"/>
    <x v="3"/>
    <n v="0"/>
    <n v="0"/>
    <n v="0"/>
    <n v="0"/>
    <n v="0"/>
    <n v="0"/>
    <x v="0"/>
  </r>
  <r>
    <x v="0"/>
    <s v="可児郡御嵩町"/>
    <x v="41"/>
    <x v="4"/>
    <n v="0"/>
    <n v="0"/>
    <n v="0"/>
    <n v="0"/>
    <n v="0"/>
    <n v="0"/>
    <x v="0"/>
  </r>
  <r>
    <x v="0"/>
    <s v="可児郡御嵩町"/>
    <x v="41"/>
    <x v="5"/>
    <n v="3"/>
    <n v="0.77"/>
    <n v="0"/>
    <n v="0"/>
    <n v="3"/>
    <n v="1.89"/>
    <x v="0"/>
  </r>
  <r>
    <x v="0"/>
    <s v="可児郡御嵩町"/>
    <x v="41"/>
    <x v="6"/>
    <n v="85"/>
    <n v="21.74"/>
    <n v="40"/>
    <n v="18.100000000000001"/>
    <n v="45"/>
    <n v="28.3"/>
    <x v="0"/>
  </r>
  <r>
    <x v="0"/>
    <s v="可児郡御嵩町"/>
    <x v="41"/>
    <x v="7"/>
    <n v="4"/>
    <n v="1.02"/>
    <n v="2"/>
    <n v="0.9"/>
    <n v="2"/>
    <n v="1.26"/>
    <x v="0"/>
  </r>
  <r>
    <x v="0"/>
    <s v="可児郡御嵩町"/>
    <x v="41"/>
    <x v="8"/>
    <n v="14"/>
    <n v="3.58"/>
    <n v="5"/>
    <n v="2.2599999999999998"/>
    <n v="9"/>
    <n v="5.66"/>
    <x v="0"/>
  </r>
  <r>
    <x v="0"/>
    <s v="可児郡御嵩町"/>
    <x v="41"/>
    <x v="9"/>
    <n v="14"/>
    <n v="3.58"/>
    <n v="10"/>
    <n v="4.5199999999999996"/>
    <n v="4"/>
    <n v="2.52"/>
    <x v="0"/>
  </r>
  <r>
    <x v="0"/>
    <s v="可児郡御嵩町"/>
    <x v="41"/>
    <x v="10"/>
    <n v="44"/>
    <n v="11.25"/>
    <n v="30"/>
    <n v="13.57"/>
    <n v="13"/>
    <n v="8.18"/>
    <x v="0"/>
  </r>
  <r>
    <x v="0"/>
    <s v="可児郡御嵩町"/>
    <x v="41"/>
    <x v="11"/>
    <n v="54"/>
    <n v="13.81"/>
    <n v="48"/>
    <n v="21.72"/>
    <n v="6"/>
    <n v="3.77"/>
    <x v="0"/>
  </r>
  <r>
    <x v="0"/>
    <s v="可児郡御嵩町"/>
    <x v="41"/>
    <x v="12"/>
    <n v="20"/>
    <n v="5.12"/>
    <n v="12"/>
    <n v="5.43"/>
    <n v="2"/>
    <n v="1.26"/>
    <x v="0"/>
  </r>
  <r>
    <x v="0"/>
    <s v="可児郡御嵩町"/>
    <x v="41"/>
    <x v="13"/>
    <n v="22"/>
    <n v="5.63"/>
    <n v="11"/>
    <n v="4.9800000000000004"/>
    <n v="8"/>
    <n v="5.03"/>
    <x v="0"/>
  </r>
  <r>
    <x v="0"/>
    <s v="可児郡御嵩町"/>
    <x v="41"/>
    <x v="14"/>
    <n v="23"/>
    <n v="5.88"/>
    <n v="13"/>
    <n v="5.88"/>
    <n v="9"/>
    <n v="5.66"/>
    <x v="0"/>
  </r>
  <r>
    <x v="0"/>
    <s v="大野郡白川村"/>
    <x v="42"/>
    <x v="0"/>
    <n v="0"/>
    <n v="0"/>
    <n v="0"/>
    <n v="0"/>
    <n v="0"/>
    <n v="0"/>
    <x v="0"/>
  </r>
  <r>
    <x v="0"/>
    <s v="大野郡白川村"/>
    <x v="42"/>
    <x v="1"/>
    <n v="10"/>
    <n v="6.71"/>
    <n v="6"/>
    <n v="5.77"/>
    <n v="4"/>
    <n v="9.3000000000000007"/>
    <x v="0"/>
  </r>
  <r>
    <x v="0"/>
    <s v="大野郡白川村"/>
    <x v="42"/>
    <x v="2"/>
    <n v="8"/>
    <n v="5.37"/>
    <n v="3"/>
    <n v="2.88"/>
    <n v="4"/>
    <n v="9.3000000000000007"/>
    <x v="2"/>
  </r>
  <r>
    <x v="0"/>
    <s v="大野郡白川村"/>
    <x v="42"/>
    <x v="3"/>
    <n v="2"/>
    <n v="1.34"/>
    <n v="0"/>
    <n v="0"/>
    <n v="1"/>
    <n v="2.33"/>
    <x v="0"/>
  </r>
  <r>
    <x v="0"/>
    <s v="大野郡白川村"/>
    <x v="42"/>
    <x v="4"/>
    <n v="1"/>
    <n v="0.67"/>
    <n v="0"/>
    <n v="0"/>
    <n v="1"/>
    <n v="2.33"/>
    <x v="0"/>
  </r>
  <r>
    <x v="0"/>
    <s v="大野郡白川村"/>
    <x v="42"/>
    <x v="5"/>
    <n v="1"/>
    <n v="0.67"/>
    <n v="0"/>
    <n v="0"/>
    <n v="1"/>
    <n v="2.33"/>
    <x v="0"/>
  </r>
  <r>
    <x v="0"/>
    <s v="大野郡白川村"/>
    <x v="42"/>
    <x v="6"/>
    <n v="34"/>
    <n v="22.82"/>
    <n v="18"/>
    <n v="17.309999999999999"/>
    <n v="16"/>
    <n v="37.21"/>
    <x v="0"/>
  </r>
  <r>
    <x v="0"/>
    <s v="大野郡白川村"/>
    <x v="42"/>
    <x v="7"/>
    <n v="0"/>
    <n v="0"/>
    <n v="0"/>
    <n v="0"/>
    <n v="0"/>
    <n v="0"/>
    <x v="0"/>
  </r>
  <r>
    <x v="0"/>
    <s v="大野郡白川村"/>
    <x v="42"/>
    <x v="8"/>
    <n v="0"/>
    <n v="0"/>
    <n v="0"/>
    <n v="0"/>
    <n v="0"/>
    <n v="0"/>
    <x v="0"/>
  </r>
  <r>
    <x v="0"/>
    <s v="大野郡白川村"/>
    <x v="42"/>
    <x v="9"/>
    <n v="1"/>
    <n v="0.67"/>
    <n v="1"/>
    <n v="0.96"/>
    <n v="0"/>
    <n v="0"/>
    <x v="0"/>
  </r>
  <r>
    <x v="0"/>
    <s v="大野郡白川村"/>
    <x v="42"/>
    <x v="10"/>
    <n v="69"/>
    <n v="46.31"/>
    <n v="63"/>
    <n v="60.58"/>
    <n v="6"/>
    <n v="13.95"/>
    <x v="0"/>
  </r>
  <r>
    <x v="0"/>
    <s v="大野郡白川村"/>
    <x v="42"/>
    <x v="11"/>
    <n v="3"/>
    <n v="2.0099999999999998"/>
    <n v="3"/>
    <n v="2.88"/>
    <n v="0"/>
    <n v="0"/>
    <x v="0"/>
  </r>
  <r>
    <x v="0"/>
    <s v="大野郡白川村"/>
    <x v="42"/>
    <x v="12"/>
    <n v="8"/>
    <n v="5.37"/>
    <n v="4"/>
    <n v="3.85"/>
    <n v="4"/>
    <n v="9.3000000000000007"/>
    <x v="0"/>
  </r>
  <r>
    <x v="0"/>
    <s v="大野郡白川村"/>
    <x v="42"/>
    <x v="13"/>
    <n v="6"/>
    <n v="4.03"/>
    <n v="2"/>
    <n v="1.92"/>
    <n v="4"/>
    <n v="9.3000000000000007"/>
    <x v="0"/>
  </r>
  <r>
    <x v="0"/>
    <s v="大野郡白川村"/>
    <x v="42"/>
    <x v="14"/>
    <n v="6"/>
    <n v="4.03"/>
    <n v="4"/>
    <n v="3.85"/>
    <n v="2"/>
    <n v="4.6500000000000004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18">
  <r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1"/>
    <x v="1"/>
    <x v="1"/>
    <x v="1"/>
    <x v="1"/>
    <x v="1"/>
    <x v="1"/>
    <x v="1"/>
    <x v="1"/>
    <x v="1"/>
    <x v="1"/>
  </r>
  <r>
    <x v="0"/>
    <x v="0"/>
    <x v="0"/>
    <x v="2"/>
    <x v="2"/>
    <x v="2"/>
    <x v="2"/>
    <x v="2"/>
    <x v="2"/>
    <x v="2"/>
    <x v="2"/>
    <x v="2"/>
    <x v="2"/>
    <x v="1"/>
  </r>
  <r>
    <x v="0"/>
    <x v="0"/>
    <x v="0"/>
    <x v="3"/>
    <x v="3"/>
    <x v="3"/>
    <x v="3"/>
    <x v="3"/>
    <x v="3"/>
    <x v="3"/>
    <x v="3"/>
    <x v="3"/>
    <x v="3"/>
    <x v="2"/>
  </r>
  <r>
    <x v="0"/>
    <x v="0"/>
    <x v="0"/>
    <x v="4"/>
    <x v="4"/>
    <x v="4"/>
    <x v="4"/>
    <x v="4"/>
    <x v="4"/>
    <x v="4"/>
    <x v="4"/>
    <x v="4"/>
    <x v="4"/>
    <x v="3"/>
  </r>
  <r>
    <x v="0"/>
    <x v="0"/>
    <x v="0"/>
    <x v="5"/>
    <x v="5"/>
    <x v="5"/>
    <x v="5"/>
    <x v="5"/>
    <x v="5"/>
    <x v="5"/>
    <x v="5"/>
    <x v="5"/>
    <x v="5"/>
    <x v="1"/>
  </r>
  <r>
    <x v="0"/>
    <x v="0"/>
    <x v="0"/>
    <x v="6"/>
    <x v="6"/>
    <x v="6"/>
    <x v="6"/>
    <x v="6"/>
    <x v="6"/>
    <x v="6"/>
    <x v="6"/>
    <x v="6"/>
    <x v="6"/>
    <x v="4"/>
  </r>
  <r>
    <x v="0"/>
    <x v="0"/>
    <x v="0"/>
    <x v="7"/>
    <x v="7"/>
    <x v="7"/>
    <x v="7"/>
    <x v="7"/>
    <x v="7"/>
    <x v="7"/>
    <x v="7"/>
    <x v="7"/>
    <x v="7"/>
    <x v="4"/>
  </r>
  <r>
    <x v="0"/>
    <x v="0"/>
    <x v="0"/>
    <x v="8"/>
    <x v="8"/>
    <x v="8"/>
    <x v="8"/>
    <x v="8"/>
    <x v="8"/>
    <x v="8"/>
    <x v="8"/>
    <x v="8"/>
    <x v="8"/>
    <x v="1"/>
  </r>
  <r>
    <x v="0"/>
    <x v="0"/>
    <x v="0"/>
    <x v="9"/>
    <x v="9"/>
    <x v="9"/>
    <x v="9"/>
    <x v="9"/>
    <x v="9"/>
    <x v="9"/>
    <x v="9"/>
    <x v="9"/>
    <x v="9"/>
    <x v="1"/>
  </r>
  <r>
    <x v="0"/>
    <x v="0"/>
    <x v="0"/>
    <x v="10"/>
    <x v="10"/>
    <x v="10"/>
    <x v="10"/>
    <x v="10"/>
    <x v="10"/>
    <x v="10"/>
    <x v="10"/>
    <x v="10"/>
    <x v="10"/>
    <x v="1"/>
  </r>
  <r>
    <x v="0"/>
    <x v="0"/>
    <x v="0"/>
    <x v="11"/>
    <x v="11"/>
    <x v="11"/>
    <x v="11"/>
    <x v="11"/>
    <x v="11"/>
    <x v="11"/>
    <x v="11"/>
    <x v="11"/>
    <x v="11"/>
    <x v="0"/>
  </r>
  <r>
    <x v="0"/>
    <x v="0"/>
    <x v="0"/>
    <x v="12"/>
    <x v="12"/>
    <x v="12"/>
    <x v="12"/>
    <x v="12"/>
    <x v="12"/>
    <x v="12"/>
    <x v="12"/>
    <x v="12"/>
    <x v="12"/>
    <x v="5"/>
  </r>
  <r>
    <x v="0"/>
    <x v="0"/>
    <x v="0"/>
    <x v="13"/>
    <x v="13"/>
    <x v="13"/>
    <x v="13"/>
    <x v="13"/>
    <x v="13"/>
    <x v="13"/>
    <x v="13"/>
    <x v="13"/>
    <x v="13"/>
    <x v="1"/>
  </r>
  <r>
    <x v="0"/>
    <x v="0"/>
    <x v="0"/>
    <x v="14"/>
    <x v="14"/>
    <x v="14"/>
    <x v="14"/>
    <x v="14"/>
    <x v="14"/>
    <x v="14"/>
    <x v="14"/>
    <x v="14"/>
    <x v="14"/>
    <x v="5"/>
  </r>
  <r>
    <x v="0"/>
    <x v="0"/>
    <x v="0"/>
    <x v="15"/>
    <x v="15"/>
    <x v="15"/>
    <x v="15"/>
    <x v="15"/>
    <x v="15"/>
    <x v="15"/>
    <x v="15"/>
    <x v="15"/>
    <x v="15"/>
    <x v="5"/>
  </r>
  <r>
    <x v="0"/>
    <x v="0"/>
    <x v="0"/>
    <x v="16"/>
    <x v="16"/>
    <x v="16"/>
    <x v="16"/>
    <x v="16"/>
    <x v="16"/>
    <x v="16"/>
    <x v="16"/>
    <x v="16"/>
    <x v="16"/>
    <x v="1"/>
  </r>
  <r>
    <x v="0"/>
    <x v="0"/>
    <x v="0"/>
    <x v="17"/>
    <x v="17"/>
    <x v="17"/>
    <x v="17"/>
    <x v="17"/>
    <x v="17"/>
    <x v="17"/>
    <x v="17"/>
    <x v="17"/>
    <x v="17"/>
    <x v="6"/>
  </r>
  <r>
    <x v="0"/>
    <x v="0"/>
    <x v="0"/>
    <x v="18"/>
    <x v="18"/>
    <x v="18"/>
    <x v="18"/>
    <x v="18"/>
    <x v="18"/>
    <x v="18"/>
    <x v="18"/>
    <x v="18"/>
    <x v="18"/>
    <x v="1"/>
  </r>
  <r>
    <x v="0"/>
    <x v="0"/>
    <x v="0"/>
    <x v="19"/>
    <x v="19"/>
    <x v="19"/>
    <x v="19"/>
    <x v="19"/>
    <x v="19"/>
    <x v="19"/>
    <x v="19"/>
    <x v="19"/>
    <x v="19"/>
    <x v="1"/>
  </r>
  <r>
    <x v="0"/>
    <x v="1"/>
    <x v="1"/>
    <x v="0"/>
    <x v="0"/>
    <x v="0"/>
    <x v="0"/>
    <x v="20"/>
    <x v="20"/>
    <x v="20"/>
    <x v="20"/>
    <x v="20"/>
    <x v="20"/>
    <x v="1"/>
  </r>
  <r>
    <x v="0"/>
    <x v="1"/>
    <x v="1"/>
    <x v="4"/>
    <x v="4"/>
    <x v="4"/>
    <x v="1"/>
    <x v="21"/>
    <x v="21"/>
    <x v="21"/>
    <x v="21"/>
    <x v="21"/>
    <x v="21"/>
    <x v="5"/>
  </r>
  <r>
    <x v="0"/>
    <x v="1"/>
    <x v="1"/>
    <x v="1"/>
    <x v="1"/>
    <x v="1"/>
    <x v="2"/>
    <x v="22"/>
    <x v="22"/>
    <x v="22"/>
    <x v="22"/>
    <x v="22"/>
    <x v="22"/>
    <x v="1"/>
  </r>
  <r>
    <x v="0"/>
    <x v="1"/>
    <x v="1"/>
    <x v="3"/>
    <x v="3"/>
    <x v="3"/>
    <x v="3"/>
    <x v="23"/>
    <x v="23"/>
    <x v="23"/>
    <x v="4"/>
    <x v="23"/>
    <x v="23"/>
    <x v="1"/>
  </r>
  <r>
    <x v="0"/>
    <x v="1"/>
    <x v="1"/>
    <x v="2"/>
    <x v="2"/>
    <x v="2"/>
    <x v="4"/>
    <x v="24"/>
    <x v="24"/>
    <x v="24"/>
    <x v="23"/>
    <x v="24"/>
    <x v="24"/>
    <x v="1"/>
  </r>
  <r>
    <x v="0"/>
    <x v="1"/>
    <x v="1"/>
    <x v="11"/>
    <x v="11"/>
    <x v="11"/>
    <x v="5"/>
    <x v="25"/>
    <x v="25"/>
    <x v="25"/>
    <x v="24"/>
    <x v="25"/>
    <x v="25"/>
    <x v="2"/>
  </r>
  <r>
    <x v="0"/>
    <x v="1"/>
    <x v="1"/>
    <x v="5"/>
    <x v="5"/>
    <x v="5"/>
    <x v="6"/>
    <x v="26"/>
    <x v="26"/>
    <x v="26"/>
    <x v="25"/>
    <x v="26"/>
    <x v="26"/>
    <x v="1"/>
  </r>
  <r>
    <x v="0"/>
    <x v="1"/>
    <x v="1"/>
    <x v="9"/>
    <x v="9"/>
    <x v="9"/>
    <x v="7"/>
    <x v="27"/>
    <x v="27"/>
    <x v="27"/>
    <x v="26"/>
    <x v="27"/>
    <x v="27"/>
    <x v="1"/>
  </r>
  <r>
    <x v="0"/>
    <x v="1"/>
    <x v="1"/>
    <x v="6"/>
    <x v="6"/>
    <x v="6"/>
    <x v="8"/>
    <x v="28"/>
    <x v="28"/>
    <x v="28"/>
    <x v="27"/>
    <x v="28"/>
    <x v="28"/>
    <x v="1"/>
  </r>
  <r>
    <x v="0"/>
    <x v="1"/>
    <x v="1"/>
    <x v="8"/>
    <x v="8"/>
    <x v="8"/>
    <x v="9"/>
    <x v="29"/>
    <x v="29"/>
    <x v="29"/>
    <x v="28"/>
    <x v="29"/>
    <x v="29"/>
    <x v="1"/>
  </r>
  <r>
    <x v="0"/>
    <x v="1"/>
    <x v="1"/>
    <x v="13"/>
    <x v="13"/>
    <x v="13"/>
    <x v="10"/>
    <x v="30"/>
    <x v="30"/>
    <x v="30"/>
    <x v="29"/>
    <x v="29"/>
    <x v="29"/>
    <x v="1"/>
  </r>
  <r>
    <x v="0"/>
    <x v="1"/>
    <x v="1"/>
    <x v="7"/>
    <x v="7"/>
    <x v="7"/>
    <x v="11"/>
    <x v="31"/>
    <x v="31"/>
    <x v="31"/>
    <x v="30"/>
    <x v="30"/>
    <x v="30"/>
    <x v="1"/>
  </r>
  <r>
    <x v="0"/>
    <x v="1"/>
    <x v="1"/>
    <x v="10"/>
    <x v="10"/>
    <x v="10"/>
    <x v="12"/>
    <x v="32"/>
    <x v="32"/>
    <x v="32"/>
    <x v="31"/>
    <x v="31"/>
    <x v="31"/>
    <x v="1"/>
  </r>
  <r>
    <x v="0"/>
    <x v="1"/>
    <x v="1"/>
    <x v="12"/>
    <x v="12"/>
    <x v="12"/>
    <x v="13"/>
    <x v="33"/>
    <x v="33"/>
    <x v="33"/>
    <x v="32"/>
    <x v="32"/>
    <x v="32"/>
    <x v="1"/>
  </r>
  <r>
    <x v="0"/>
    <x v="1"/>
    <x v="1"/>
    <x v="14"/>
    <x v="14"/>
    <x v="14"/>
    <x v="14"/>
    <x v="34"/>
    <x v="13"/>
    <x v="34"/>
    <x v="33"/>
    <x v="33"/>
    <x v="33"/>
    <x v="1"/>
  </r>
  <r>
    <x v="0"/>
    <x v="1"/>
    <x v="1"/>
    <x v="20"/>
    <x v="20"/>
    <x v="20"/>
    <x v="15"/>
    <x v="35"/>
    <x v="16"/>
    <x v="35"/>
    <x v="34"/>
    <x v="34"/>
    <x v="34"/>
    <x v="1"/>
  </r>
  <r>
    <x v="0"/>
    <x v="1"/>
    <x v="1"/>
    <x v="17"/>
    <x v="17"/>
    <x v="17"/>
    <x v="16"/>
    <x v="36"/>
    <x v="34"/>
    <x v="36"/>
    <x v="19"/>
    <x v="35"/>
    <x v="35"/>
    <x v="1"/>
  </r>
  <r>
    <x v="0"/>
    <x v="1"/>
    <x v="1"/>
    <x v="21"/>
    <x v="21"/>
    <x v="21"/>
    <x v="17"/>
    <x v="37"/>
    <x v="35"/>
    <x v="37"/>
    <x v="35"/>
    <x v="29"/>
    <x v="29"/>
    <x v="1"/>
  </r>
  <r>
    <x v="0"/>
    <x v="1"/>
    <x v="1"/>
    <x v="22"/>
    <x v="22"/>
    <x v="22"/>
    <x v="18"/>
    <x v="38"/>
    <x v="36"/>
    <x v="38"/>
    <x v="36"/>
    <x v="36"/>
    <x v="13"/>
    <x v="4"/>
  </r>
  <r>
    <x v="0"/>
    <x v="1"/>
    <x v="1"/>
    <x v="18"/>
    <x v="18"/>
    <x v="18"/>
    <x v="19"/>
    <x v="39"/>
    <x v="37"/>
    <x v="39"/>
    <x v="37"/>
    <x v="37"/>
    <x v="36"/>
    <x v="1"/>
  </r>
  <r>
    <x v="0"/>
    <x v="2"/>
    <x v="2"/>
    <x v="1"/>
    <x v="1"/>
    <x v="1"/>
    <x v="0"/>
    <x v="40"/>
    <x v="38"/>
    <x v="40"/>
    <x v="38"/>
    <x v="38"/>
    <x v="37"/>
    <x v="1"/>
  </r>
  <r>
    <x v="0"/>
    <x v="2"/>
    <x v="2"/>
    <x v="0"/>
    <x v="0"/>
    <x v="0"/>
    <x v="1"/>
    <x v="41"/>
    <x v="39"/>
    <x v="41"/>
    <x v="39"/>
    <x v="39"/>
    <x v="38"/>
    <x v="1"/>
  </r>
  <r>
    <x v="0"/>
    <x v="2"/>
    <x v="2"/>
    <x v="4"/>
    <x v="4"/>
    <x v="4"/>
    <x v="2"/>
    <x v="32"/>
    <x v="40"/>
    <x v="42"/>
    <x v="40"/>
    <x v="35"/>
    <x v="39"/>
    <x v="0"/>
  </r>
  <r>
    <x v="0"/>
    <x v="2"/>
    <x v="2"/>
    <x v="3"/>
    <x v="3"/>
    <x v="3"/>
    <x v="3"/>
    <x v="42"/>
    <x v="41"/>
    <x v="43"/>
    <x v="41"/>
    <x v="40"/>
    <x v="40"/>
    <x v="1"/>
  </r>
  <r>
    <x v="0"/>
    <x v="2"/>
    <x v="2"/>
    <x v="2"/>
    <x v="2"/>
    <x v="2"/>
    <x v="4"/>
    <x v="43"/>
    <x v="42"/>
    <x v="44"/>
    <x v="42"/>
    <x v="41"/>
    <x v="41"/>
    <x v="1"/>
  </r>
  <r>
    <x v="0"/>
    <x v="2"/>
    <x v="2"/>
    <x v="8"/>
    <x v="8"/>
    <x v="8"/>
    <x v="5"/>
    <x v="44"/>
    <x v="43"/>
    <x v="45"/>
    <x v="6"/>
    <x v="42"/>
    <x v="42"/>
    <x v="1"/>
  </r>
  <r>
    <x v="0"/>
    <x v="2"/>
    <x v="2"/>
    <x v="6"/>
    <x v="6"/>
    <x v="6"/>
    <x v="6"/>
    <x v="45"/>
    <x v="44"/>
    <x v="46"/>
    <x v="43"/>
    <x v="38"/>
    <x v="37"/>
    <x v="5"/>
  </r>
  <r>
    <x v="0"/>
    <x v="2"/>
    <x v="2"/>
    <x v="5"/>
    <x v="5"/>
    <x v="5"/>
    <x v="7"/>
    <x v="46"/>
    <x v="45"/>
    <x v="47"/>
    <x v="44"/>
    <x v="43"/>
    <x v="43"/>
    <x v="1"/>
  </r>
  <r>
    <x v="0"/>
    <x v="2"/>
    <x v="2"/>
    <x v="9"/>
    <x v="9"/>
    <x v="9"/>
    <x v="8"/>
    <x v="47"/>
    <x v="46"/>
    <x v="48"/>
    <x v="45"/>
    <x v="44"/>
    <x v="44"/>
    <x v="1"/>
  </r>
  <r>
    <x v="0"/>
    <x v="2"/>
    <x v="2"/>
    <x v="11"/>
    <x v="11"/>
    <x v="11"/>
    <x v="9"/>
    <x v="48"/>
    <x v="47"/>
    <x v="49"/>
    <x v="46"/>
    <x v="45"/>
    <x v="45"/>
    <x v="5"/>
  </r>
  <r>
    <x v="0"/>
    <x v="2"/>
    <x v="2"/>
    <x v="7"/>
    <x v="7"/>
    <x v="7"/>
    <x v="10"/>
    <x v="49"/>
    <x v="48"/>
    <x v="24"/>
    <x v="47"/>
    <x v="46"/>
    <x v="15"/>
    <x v="1"/>
  </r>
  <r>
    <x v="0"/>
    <x v="2"/>
    <x v="2"/>
    <x v="10"/>
    <x v="10"/>
    <x v="10"/>
    <x v="11"/>
    <x v="50"/>
    <x v="49"/>
    <x v="50"/>
    <x v="48"/>
    <x v="47"/>
    <x v="46"/>
    <x v="1"/>
  </r>
  <r>
    <x v="0"/>
    <x v="2"/>
    <x v="2"/>
    <x v="12"/>
    <x v="12"/>
    <x v="12"/>
    <x v="12"/>
    <x v="51"/>
    <x v="50"/>
    <x v="35"/>
    <x v="49"/>
    <x v="48"/>
    <x v="47"/>
    <x v="1"/>
  </r>
  <r>
    <x v="0"/>
    <x v="2"/>
    <x v="2"/>
    <x v="14"/>
    <x v="14"/>
    <x v="14"/>
    <x v="13"/>
    <x v="52"/>
    <x v="51"/>
    <x v="51"/>
    <x v="50"/>
    <x v="49"/>
    <x v="17"/>
    <x v="1"/>
  </r>
  <r>
    <x v="0"/>
    <x v="2"/>
    <x v="2"/>
    <x v="19"/>
    <x v="19"/>
    <x v="19"/>
    <x v="14"/>
    <x v="53"/>
    <x v="52"/>
    <x v="52"/>
    <x v="51"/>
    <x v="50"/>
    <x v="48"/>
    <x v="1"/>
  </r>
  <r>
    <x v="0"/>
    <x v="2"/>
    <x v="2"/>
    <x v="13"/>
    <x v="13"/>
    <x v="13"/>
    <x v="15"/>
    <x v="54"/>
    <x v="53"/>
    <x v="53"/>
    <x v="52"/>
    <x v="51"/>
    <x v="49"/>
    <x v="1"/>
  </r>
  <r>
    <x v="0"/>
    <x v="2"/>
    <x v="2"/>
    <x v="23"/>
    <x v="23"/>
    <x v="23"/>
    <x v="16"/>
    <x v="55"/>
    <x v="54"/>
    <x v="54"/>
    <x v="53"/>
    <x v="52"/>
    <x v="50"/>
    <x v="1"/>
  </r>
  <r>
    <x v="0"/>
    <x v="2"/>
    <x v="2"/>
    <x v="21"/>
    <x v="21"/>
    <x v="21"/>
    <x v="17"/>
    <x v="56"/>
    <x v="55"/>
    <x v="55"/>
    <x v="36"/>
    <x v="53"/>
    <x v="51"/>
    <x v="1"/>
  </r>
  <r>
    <x v="0"/>
    <x v="2"/>
    <x v="2"/>
    <x v="17"/>
    <x v="17"/>
    <x v="17"/>
    <x v="18"/>
    <x v="57"/>
    <x v="56"/>
    <x v="56"/>
    <x v="54"/>
    <x v="54"/>
    <x v="52"/>
    <x v="7"/>
  </r>
  <r>
    <x v="0"/>
    <x v="2"/>
    <x v="2"/>
    <x v="16"/>
    <x v="16"/>
    <x v="16"/>
    <x v="19"/>
    <x v="58"/>
    <x v="57"/>
    <x v="57"/>
    <x v="55"/>
    <x v="55"/>
    <x v="53"/>
    <x v="1"/>
  </r>
  <r>
    <x v="0"/>
    <x v="2"/>
    <x v="2"/>
    <x v="24"/>
    <x v="24"/>
    <x v="24"/>
    <x v="19"/>
    <x v="58"/>
    <x v="57"/>
    <x v="58"/>
    <x v="56"/>
    <x v="56"/>
    <x v="54"/>
    <x v="1"/>
  </r>
  <r>
    <x v="0"/>
    <x v="3"/>
    <x v="3"/>
    <x v="0"/>
    <x v="0"/>
    <x v="0"/>
    <x v="0"/>
    <x v="59"/>
    <x v="58"/>
    <x v="59"/>
    <x v="57"/>
    <x v="57"/>
    <x v="55"/>
    <x v="1"/>
  </r>
  <r>
    <x v="0"/>
    <x v="3"/>
    <x v="3"/>
    <x v="1"/>
    <x v="1"/>
    <x v="1"/>
    <x v="1"/>
    <x v="60"/>
    <x v="59"/>
    <x v="60"/>
    <x v="58"/>
    <x v="49"/>
    <x v="56"/>
    <x v="1"/>
  </r>
  <r>
    <x v="0"/>
    <x v="3"/>
    <x v="3"/>
    <x v="3"/>
    <x v="3"/>
    <x v="3"/>
    <x v="2"/>
    <x v="33"/>
    <x v="60"/>
    <x v="61"/>
    <x v="59"/>
    <x v="58"/>
    <x v="57"/>
    <x v="1"/>
  </r>
  <r>
    <x v="0"/>
    <x v="3"/>
    <x v="3"/>
    <x v="2"/>
    <x v="2"/>
    <x v="2"/>
    <x v="3"/>
    <x v="61"/>
    <x v="61"/>
    <x v="62"/>
    <x v="60"/>
    <x v="59"/>
    <x v="58"/>
    <x v="1"/>
  </r>
  <r>
    <x v="0"/>
    <x v="3"/>
    <x v="3"/>
    <x v="4"/>
    <x v="4"/>
    <x v="4"/>
    <x v="4"/>
    <x v="62"/>
    <x v="62"/>
    <x v="63"/>
    <x v="61"/>
    <x v="60"/>
    <x v="59"/>
    <x v="1"/>
  </r>
  <r>
    <x v="0"/>
    <x v="3"/>
    <x v="3"/>
    <x v="7"/>
    <x v="7"/>
    <x v="7"/>
    <x v="5"/>
    <x v="63"/>
    <x v="63"/>
    <x v="64"/>
    <x v="62"/>
    <x v="61"/>
    <x v="60"/>
    <x v="5"/>
  </r>
  <r>
    <x v="0"/>
    <x v="3"/>
    <x v="3"/>
    <x v="5"/>
    <x v="5"/>
    <x v="5"/>
    <x v="6"/>
    <x v="43"/>
    <x v="64"/>
    <x v="65"/>
    <x v="63"/>
    <x v="62"/>
    <x v="61"/>
    <x v="1"/>
  </r>
  <r>
    <x v="0"/>
    <x v="3"/>
    <x v="3"/>
    <x v="25"/>
    <x v="25"/>
    <x v="25"/>
    <x v="7"/>
    <x v="64"/>
    <x v="65"/>
    <x v="49"/>
    <x v="64"/>
    <x v="63"/>
    <x v="62"/>
    <x v="2"/>
  </r>
  <r>
    <x v="0"/>
    <x v="3"/>
    <x v="3"/>
    <x v="9"/>
    <x v="9"/>
    <x v="9"/>
    <x v="8"/>
    <x v="48"/>
    <x v="66"/>
    <x v="66"/>
    <x v="65"/>
    <x v="64"/>
    <x v="63"/>
    <x v="1"/>
  </r>
  <r>
    <x v="0"/>
    <x v="3"/>
    <x v="3"/>
    <x v="6"/>
    <x v="6"/>
    <x v="6"/>
    <x v="9"/>
    <x v="65"/>
    <x v="67"/>
    <x v="67"/>
    <x v="66"/>
    <x v="65"/>
    <x v="64"/>
    <x v="1"/>
  </r>
  <r>
    <x v="0"/>
    <x v="3"/>
    <x v="3"/>
    <x v="8"/>
    <x v="8"/>
    <x v="8"/>
    <x v="10"/>
    <x v="66"/>
    <x v="68"/>
    <x v="47"/>
    <x v="67"/>
    <x v="38"/>
    <x v="65"/>
    <x v="1"/>
  </r>
  <r>
    <x v="0"/>
    <x v="3"/>
    <x v="3"/>
    <x v="12"/>
    <x v="12"/>
    <x v="12"/>
    <x v="11"/>
    <x v="67"/>
    <x v="11"/>
    <x v="68"/>
    <x v="68"/>
    <x v="66"/>
    <x v="66"/>
    <x v="1"/>
  </r>
  <r>
    <x v="0"/>
    <x v="3"/>
    <x v="3"/>
    <x v="14"/>
    <x v="14"/>
    <x v="14"/>
    <x v="12"/>
    <x v="68"/>
    <x v="69"/>
    <x v="69"/>
    <x v="69"/>
    <x v="67"/>
    <x v="67"/>
    <x v="1"/>
  </r>
  <r>
    <x v="0"/>
    <x v="3"/>
    <x v="3"/>
    <x v="10"/>
    <x v="10"/>
    <x v="10"/>
    <x v="13"/>
    <x v="69"/>
    <x v="70"/>
    <x v="70"/>
    <x v="70"/>
    <x v="67"/>
    <x v="67"/>
    <x v="1"/>
  </r>
  <r>
    <x v="0"/>
    <x v="3"/>
    <x v="3"/>
    <x v="11"/>
    <x v="11"/>
    <x v="11"/>
    <x v="14"/>
    <x v="70"/>
    <x v="71"/>
    <x v="71"/>
    <x v="71"/>
    <x v="68"/>
    <x v="68"/>
    <x v="1"/>
  </r>
  <r>
    <x v="0"/>
    <x v="3"/>
    <x v="3"/>
    <x v="26"/>
    <x v="26"/>
    <x v="26"/>
    <x v="15"/>
    <x v="54"/>
    <x v="72"/>
    <x v="72"/>
    <x v="72"/>
    <x v="27"/>
    <x v="69"/>
    <x v="5"/>
  </r>
  <r>
    <x v="0"/>
    <x v="3"/>
    <x v="3"/>
    <x v="27"/>
    <x v="27"/>
    <x v="27"/>
    <x v="16"/>
    <x v="71"/>
    <x v="53"/>
    <x v="44"/>
    <x v="73"/>
    <x v="69"/>
    <x v="70"/>
    <x v="1"/>
  </r>
  <r>
    <x v="0"/>
    <x v="3"/>
    <x v="3"/>
    <x v="28"/>
    <x v="28"/>
    <x v="28"/>
    <x v="17"/>
    <x v="72"/>
    <x v="73"/>
    <x v="73"/>
    <x v="31"/>
    <x v="70"/>
    <x v="71"/>
    <x v="1"/>
  </r>
  <r>
    <x v="0"/>
    <x v="3"/>
    <x v="3"/>
    <x v="17"/>
    <x v="17"/>
    <x v="17"/>
    <x v="18"/>
    <x v="73"/>
    <x v="74"/>
    <x v="55"/>
    <x v="74"/>
    <x v="71"/>
    <x v="72"/>
    <x v="8"/>
  </r>
  <r>
    <x v="0"/>
    <x v="3"/>
    <x v="3"/>
    <x v="29"/>
    <x v="29"/>
    <x v="29"/>
    <x v="19"/>
    <x v="74"/>
    <x v="75"/>
    <x v="74"/>
    <x v="75"/>
    <x v="72"/>
    <x v="73"/>
    <x v="1"/>
  </r>
  <r>
    <x v="0"/>
    <x v="4"/>
    <x v="4"/>
    <x v="15"/>
    <x v="15"/>
    <x v="15"/>
    <x v="0"/>
    <x v="62"/>
    <x v="76"/>
    <x v="26"/>
    <x v="76"/>
    <x v="73"/>
    <x v="74"/>
    <x v="1"/>
  </r>
  <r>
    <x v="0"/>
    <x v="4"/>
    <x v="4"/>
    <x v="1"/>
    <x v="1"/>
    <x v="1"/>
    <x v="1"/>
    <x v="75"/>
    <x v="77"/>
    <x v="75"/>
    <x v="77"/>
    <x v="49"/>
    <x v="75"/>
    <x v="1"/>
  </r>
  <r>
    <x v="0"/>
    <x v="4"/>
    <x v="4"/>
    <x v="0"/>
    <x v="0"/>
    <x v="0"/>
    <x v="2"/>
    <x v="76"/>
    <x v="78"/>
    <x v="42"/>
    <x v="78"/>
    <x v="55"/>
    <x v="76"/>
    <x v="1"/>
  </r>
  <r>
    <x v="0"/>
    <x v="4"/>
    <x v="4"/>
    <x v="3"/>
    <x v="3"/>
    <x v="3"/>
    <x v="3"/>
    <x v="77"/>
    <x v="79"/>
    <x v="76"/>
    <x v="79"/>
    <x v="74"/>
    <x v="77"/>
    <x v="8"/>
  </r>
  <r>
    <x v="0"/>
    <x v="4"/>
    <x v="4"/>
    <x v="2"/>
    <x v="2"/>
    <x v="2"/>
    <x v="4"/>
    <x v="78"/>
    <x v="80"/>
    <x v="53"/>
    <x v="80"/>
    <x v="75"/>
    <x v="78"/>
    <x v="1"/>
  </r>
  <r>
    <x v="0"/>
    <x v="4"/>
    <x v="4"/>
    <x v="4"/>
    <x v="4"/>
    <x v="4"/>
    <x v="5"/>
    <x v="79"/>
    <x v="81"/>
    <x v="50"/>
    <x v="81"/>
    <x v="60"/>
    <x v="79"/>
    <x v="8"/>
  </r>
  <r>
    <x v="0"/>
    <x v="4"/>
    <x v="4"/>
    <x v="17"/>
    <x v="17"/>
    <x v="17"/>
    <x v="6"/>
    <x v="80"/>
    <x v="82"/>
    <x v="44"/>
    <x v="82"/>
    <x v="76"/>
    <x v="80"/>
    <x v="1"/>
  </r>
  <r>
    <x v="0"/>
    <x v="4"/>
    <x v="4"/>
    <x v="5"/>
    <x v="5"/>
    <x v="5"/>
    <x v="7"/>
    <x v="81"/>
    <x v="83"/>
    <x v="77"/>
    <x v="83"/>
    <x v="77"/>
    <x v="81"/>
    <x v="1"/>
  </r>
  <r>
    <x v="0"/>
    <x v="4"/>
    <x v="4"/>
    <x v="6"/>
    <x v="6"/>
    <x v="6"/>
    <x v="8"/>
    <x v="82"/>
    <x v="84"/>
    <x v="78"/>
    <x v="84"/>
    <x v="71"/>
    <x v="82"/>
    <x v="1"/>
  </r>
  <r>
    <x v="0"/>
    <x v="4"/>
    <x v="4"/>
    <x v="10"/>
    <x v="10"/>
    <x v="10"/>
    <x v="9"/>
    <x v="83"/>
    <x v="7"/>
    <x v="79"/>
    <x v="85"/>
    <x v="78"/>
    <x v="83"/>
    <x v="1"/>
  </r>
  <r>
    <x v="0"/>
    <x v="4"/>
    <x v="4"/>
    <x v="9"/>
    <x v="9"/>
    <x v="9"/>
    <x v="10"/>
    <x v="84"/>
    <x v="85"/>
    <x v="80"/>
    <x v="86"/>
    <x v="64"/>
    <x v="84"/>
    <x v="1"/>
  </r>
  <r>
    <x v="0"/>
    <x v="4"/>
    <x v="4"/>
    <x v="11"/>
    <x v="11"/>
    <x v="11"/>
    <x v="11"/>
    <x v="85"/>
    <x v="86"/>
    <x v="81"/>
    <x v="87"/>
    <x v="79"/>
    <x v="85"/>
    <x v="1"/>
  </r>
  <r>
    <x v="0"/>
    <x v="4"/>
    <x v="4"/>
    <x v="7"/>
    <x v="7"/>
    <x v="7"/>
    <x v="12"/>
    <x v="86"/>
    <x v="87"/>
    <x v="44"/>
    <x v="82"/>
    <x v="79"/>
    <x v="85"/>
    <x v="1"/>
  </r>
  <r>
    <x v="0"/>
    <x v="4"/>
    <x v="4"/>
    <x v="23"/>
    <x v="23"/>
    <x v="23"/>
    <x v="13"/>
    <x v="87"/>
    <x v="88"/>
    <x v="55"/>
    <x v="88"/>
    <x v="66"/>
    <x v="86"/>
    <x v="1"/>
  </r>
  <r>
    <x v="0"/>
    <x v="4"/>
    <x v="4"/>
    <x v="8"/>
    <x v="8"/>
    <x v="8"/>
    <x v="14"/>
    <x v="88"/>
    <x v="89"/>
    <x v="82"/>
    <x v="89"/>
    <x v="45"/>
    <x v="87"/>
    <x v="1"/>
  </r>
  <r>
    <x v="0"/>
    <x v="4"/>
    <x v="4"/>
    <x v="14"/>
    <x v="14"/>
    <x v="14"/>
    <x v="15"/>
    <x v="89"/>
    <x v="90"/>
    <x v="83"/>
    <x v="90"/>
    <x v="80"/>
    <x v="88"/>
    <x v="1"/>
  </r>
  <r>
    <x v="0"/>
    <x v="4"/>
    <x v="4"/>
    <x v="12"/>
    <x v="12"/>
    <x v="12"/>
    <x v="16"/>
    <x v="90"/>
    <x v="16"/>
    <x v="84"/>
    <x v="91"/>
    <x v="81"/>
    <x v="89"/>
    <x v="1"/>
  </r>
  <r>
    <x v="0"/>
    <x v="4"/>
    <x v="4"/>
    <x v="30"/>
    <x v="30"/>
    <x v="30"/>
    <x v="17"/>
    <x v="91"/>
    <x v="91"/>
    <x v="85"/>
    <x v="92"/>
    <x v="82"/>
    <x v="90"/>
    <x v="1"/>
  </r>
  <r>
    <x v="0"/>
    <x v="4"/>
    <x v="4"/>
    <x v="31"/>
    <x v="31"/>
    <x v="31"/>
    <x v="18"/>
    <x v="92"/>
    <x v="92"/>
    <x v="86"/>
    <x v="93"/>
    <x v="83"/>
    <x v="91"/>
    <x v="1"/>
  </r>
  <r>
    <x v="0"/>
    <x v="4"/>
    <x v="4"/>
    <x v="18"/>
    <x v="18"/>
    <x v="18"/>
    <x v="18"/>
    <x v="92"/>
    <x v="92"/>
    <x v="87"/>
    <x v="94"/>
    <x v="81"/>
    <x v="89"/>
    <x v="1"/>
  </r>
  <r>
    <x v="0"/>
    <x v="5"/>
    <x v="5"/>
    <x v="16"/>
    <x v="16"/>
    <x v="16"/>
    <x v="0"/>
    <x v="93"/>
    <x v="93"/>
    <x v="88"/>
    <x v="95"/>
    <x v="84"/>
    <x v="92"/>
    <x v="1"/>
  </r>
  <r>
    <x v="0"/>
    <x v="5"/>
    <x v="5"/>
    <x v="0"/>
    <x v="0"/>
    <x v="0"/>
    <x v="1"/>
    <x v="94"/>
    <x v="94"/>
    <x v="31"/>
    <x v="96"/>
    <x v="85"/>
    <x v="93"/>
    <x v="1"/>
  </r>
  <r>
    <x v="0"/>
    <x v="5"/>
    <x v="5"/>
    <x v="1"/>
    <x v="1"/>
    <x v="1"/>
    <x v="2"/>
    <x v="95"/>
    <x v="95"/>
    <x v="89"/>
    <x v="97"/>
    <x v="68"/>
    <x v="94"/>
    <x v="1"/>
  </r>
  <r>
    <x v="0"/>
    <x v="5"/>
    <x v="5"/>
    <x v="2"/>
    <x v="2"/>
    <x v="2"/>
    <x v="3"/>
    <x v="79"/>
    <x v="96"/>
    <x v="90"/>
    <x v="49"/>
    <x v="86"/>
    <x v="95"/>
    <x v="1"/>
  </r>
  <r>
    <x v="0"/>
    <x v="5"/>
    <x v="5"/>
    <x v="3"/>
    <x v="3"/>
    <x v="3"/>
    <x v="4"/>
    <x v="96"/>
    <x v="82"/>
    <x v="32"/>
    <x v="98"/>
    <x v="87"/>
    <x v="96"/>
    <x v="1"/>
  </r>
  <r>
    <x v="0"/>
    <x v="5"/>
    <x v="5"/>
    <x v="5"/>
    <x v="5"/>
    <x v="5"/>
    <x v="5"/>
    <x v="97"/>
    <x v="97"/>
    <x v="80"/>
    <x v="99"/>
    <x v="88"/>
    <x v="97"/>
    <x v="1"/>
  </r>
  <r>
    <x v="0"/>
    <x v="5"/>
    <x v="5"/>
    <x v="4"/>
    <x v="4"/>
    <x v="4"/>
    <x v="6"/>
    <x v="49"/>
    <x v="98"/>
    <x v="24"/>
    <x v="100"/>
    <x v="46"/>
    <x v="98"/>
    <x v="1"/>
  </r>
  <r>
    <x v="0"/>
    <x v="5"/>
    <x v="5"/>
    <x v="8"/>
    <x v="8"/>
    <x v="8"/>
    <x v="7"/>
    <x v="98"/>
    <x v="99"/>
    <x v="91"/>
    <x v="101"/>
    <x v="27"/>
    <x v="99"/>
    <x v="1"/>
  </r>
  <r>
    <x v="0"/>
    <x v="5"/>
    <x v="5"/>
    <x v="19"/>
    <x v="19"/>
    <x v="19"/>
    <x v="8"/>
    <x v="99"/>
    <x v="100"/>
    <x v="36"/>
    <x v="102"/>
    <x v="77"/>
    <x v="100"/>
    <x v="1"/>
  </r>
  <r>
    <x v="0"/>
    <x v="5"/>
    <x v="5"/>
    <x v="6"/>
    <x v="6"/>
    <x v="6"/>
    <x v="9"/>
    <x v="100"/>
    <x v="101"/>
    <x v="91"/>
    <x v="101"/>
    <x v="89"/>
    <x v="101"/>
    <x v="5"/>
  </r>
  <r>
    <x v="0"/>
    <x v="5"/>
    <x v="5"/>
    <x v="7"/>
    <x v="7"/>
    <x v="7"/>
    <x v="10"/>
    <x v="84"/>
    <x v="102"/>
    <x v="92"/>
    <x v="103"/>
    <x v="54"/>
    <x v="102"/>
    <x v="5"/>
  </r>
  <r>
    <x v="0"/>
    <x v="5"/>
    <x v="5"/>
    <x v="10"/>
    <x v="10"/>
    <x v="10"/>
    <x v="11"/>
    <x v="101"/>
    <x v="103"/>
    <x v="93"/>
    <x v="104"/>
    <x v="46"/>
    <x v="98"/>
    <x v="1"/>
  </r>
  <r>
    <x v="0"/>
    <x v="5"/>
    <x v="5"/>
    <x v="9"/>
    <x v="9"/>
    <x v="9"/>
    <x v="12"/>
    <x v="102"/>
    <x v="104"/>
    <x v="94"/>
    <x v="46"/>
    <x v="90"/>
    <x v="103"/>
    <x v="1"/>
  </r>
  <r>
    <x v="0"/>
    <x v="5"/>
    <x v="5"/>
    <x v="12"/>
    <x v="12"/>
    <x v="12"/>
    <x v="13"/>
    <x v="103"/>
    <x v="105"/>
    <x v="95"/>
    <x v="105"/>
    <x v="80"/>
    <x v="104"/>
    <x v="1"/>
  </r>
  <r>
    <x v="0"/>
    <x v="5"/>
    <x v="5"/>
    <x v="30"/>
    <x v="30"/>
    <x v="30"/>
    <x v="14"/>
    <x v="56"/>
    <x v="106"/>
    <x v="96"/>
    <x v="106"/>
    <x v="82"/>
    <x v="1"/>
    <x v="5"/>
  </r>
  <r>
    <x v="0"/>
    <x v="5"/>
    <x v="5"/>
    <x v="17"/>
    <x v="17"/>
    <x v="17"/>
    <x v="15"/>
    <x v="72"/>
    <x v="107"/>
    <x v="97"/>
    <x v="107"/>
    <x v="85"/>
    <x v="93"/>
    <x v="1"/>
  </r>
  <r>
    <x v="0"/>
    <x v="5"/>
    <x v="5"/>
    <x v="14"/>
    <x v="14"/>
    <x v="14"/>
    <x v="16"/>
    <x v="104"/>
    <x v="108"/>
    <x v="74"/>
    <x v="108"/>
    <x v="91"/>
    <x v="105"/>
    <x v="1"/>
  </r>
  <r>
    <x v="0"/>
    <x v="5"/>
    <x v="5"/>
    <x v="13"/>
    <x v="13"/>
    <x v="13"/>
    <x v="17"/>
    <x v="90"/>
    <x v="52"/>
    <x v="73"/>
    <x v="109"/>
    <x v="72"/>
    <x v="106"/>
    <x v="1"/>
  </r>
  <r>
    <x v="0"/>
    <x v="5"/>
    <x v="5"/>
    <x v="32"/>
    <x v="32"/>
    <x v="32"/>
    <x v="18"/>
    <x v="58"/>
    <x v="109"/>
    <x v="83"/>
    <x v="94"/>
    <x v="79"/>
    <x v="107"/>
    <x v="1"/>
  </r>
  <r>
    <x v="0"/>
    <x v="5"/>
    <x v="5"/>
    <x v="18"/>
    <x v="18"/>
    <x v="18"/>
    <x v="18"/>
    <x v="58"/>
    <x v="109"/>
    <x v="98"/>
    <x v="110"/>
    <x v="92"/>
    <x v="108"/>
    <x v="1"/>
  </r>
  <r>
    <x v="0"/>
    <x v="6"/>
    <x v="6"/>
    <x v="0"/>
    <x v="0"/>
    <x v="0"/>
    <x v="0"/>
    <x v="105"/>
    <x v="110"/>
    <x v="99"/>
    <x v="111"/>
    <x v="54"/>
    <x v="33"/>
    <x v="5"/>
  </r>
  <r>
    <x v="0"/>
    <x v="6"/>
    <x v="6"/>
    <x v="1"/>
    <x v="1"/>
    <x v="1"/>
    <x v="1"/>
    <x v="106"/>
    <x v="111"/>
    <x v="61"/>
    <x v="112"/>
    <x v="56"/>
    <x v="109"/>
    <x v="1"/>
  </r>
  <r>
    <x v="0"/>
    <x v="6"/>
    <x v="6"/>
    <x v="2"/>
    <x v="2"/>
    <x v="2"/>
    <x v="2"/>
    <x v="107"/>
    <x v="112"/>
    <x v="100"/>
    <x v="113"/>
    <x v="93"/>
    <x v="110"/>
    <x v="1"/>
  </r>
  <r>
    <x v="0"/>
    <x v="6"/>
    <x v="6"/>
    <x v="3"/>
    <x v="3"/>
    <x v="3"/>
    <x v="3"/>
    <x v="38"/>
    <x v="113"/>
    <x v="47"/>
    <x v="114"/>
    <x v="94"/>
    <x v="111"/>
    <x v="1"/>
  </r>
  <r>
    <x v="0"/>
    <x v="6"/>
    <x v="6"/>
    <x v="5"/>
    <x v="5"/>
    <x v="5"/>
    <x v="4"/>
    <x v="108"/>
    <x v="114"/>
    <x v="101"/>
    <x v="115"/>
    <x v="95"/>
    <x v="112"/>
    <x v="1"/>
  </r>
  <r>
    <x v="0"/>
    <x v="6"/>
    <x v="6"/>
    <x v="7"/>
    <x v="7"/>
    <x v="7"/>
    <x v="5"/>
    <x v="109"/>
    <x v="83"/>
    <x v="102"/>
    <x v="116"/>
    <x v="80"/>
    <x v="113"/>
    <x v="5"/>
  </r>
  <r>
    <x v="0"/>
    <x v="6"/>
    <x v="6"/>
    <x v="4"/>
    <x v="4"/>
    <x v="4"/>
    <x v="6"/>
    <x v="110"/>
    <x v="115"/>
    <x v="38"/>
    <x v="117"/>
    <x v="50"/>
    <x v="114"/>
    <x v="1"/>
  </r>
  <r>
    <x v="0"/>
    <x v="6"/>
    <x v="6"/>
    <x v="9"/>
    <x v="9"/>
    <x v="9"/>
    <x v="7"/>
    <x v="70"/>
    <x v="116"/>
    <x v="78"/>
    <x v="118"/>
    <x v="90"/>
    <x v="115"/>
    <x v="1"/>
  </r>
  <r>
    <x v="0"/>
    <x v="6"/>
    <x v="6"/>
    <x v="29"/>
    <x v="29"/>
    <x v="29"/>
    <x v="8"/>
    <x v="111"/>
    <x v="117"/>
    <x v="103"/>
    <x v="119"/>
    <x v="45"/>
    <x v="116"/>
    <x v="1"/>
  </r>
  <r>
    <x v="0"/>
    <x v="6"/>
    <x v="6"/>
    <x v="10"/>
    <x v="10"/>
    <x v="10"/>
    <x v="9"/>
    <x v="112"/>
    <x v="47"/>
    <x v="104"/>
    <x v="13"/>
    <x v="49"/>
    <x v="117"/>
    <x v="1"/>
  </r>
  <r>
    <x v="0"/>
    <x v="6"/>
    <x v="6"/>
    <x v="6"/>
    <x v="6"/>
    <x v="6"/>
    <x v="10"/>
    <x v="55"/>
    <x v="118"/>
    <x v="105"/>
    <x v="120"/>
    <x v="92"/>
    <x v="118"/>
    <x v="1"/>
  </r>
  <r>
    <x v="0"/>
    <x v="6"/>
    <x v="6"/>
    <x v="8"/>
    <x v="8"/>
    <x v="8"/>
    <x v="11"/>
    <x v="113"/>
    <x v="33"/>
    <x v="79"/>
    <x v="121"/>
    <x v="55"/>
    <x v="0"/>
    <x v="1"/>
  </r>
  <r>
    <x v="0"/>
    <x v="6"/>
    <x v="6"/>
    <x v="14"/>
    <x v="14"/>
    <x v="14"/>
    <x v="12"/>
    <x v="57"/>
    <x v="119"/>
    <x v="106"/>
    <x v="122"/>
    <x v="91"/>
    <x v="119"/>
    <x v="1"/>
  </r>
  <r>
    <x v="0"/>
    <x v="6"/>
    <x v="6"/>
    <x v="12"/>
    <x v="12"/>
    <x v="12"/>
    <x v="13"/>
    <x v="74"/>
    <x v="120"/>
    <x v="52"/>
    <x v="123"/>
    <x v="91"/>
    <x v="119"/>
    <x v="1"/>
  </r>
  <r>
    <x v="0"/>
    <x v="6"/>
    <x v="6"/>
    <x v="11"/>
    <x v="11"/>
    <x v="11"/>
    <x v="14"/>
    <x v="114"/>
    <x v="121"/>
    <x v="104"/>
    <x v="13"/>
    <x v="44"/>
    <x v="120"/>
    <x v="1"/>
  </r>
  <r>
    <x v="0"/>
    <x v="6"/>
    <x v="6"/>
    <x v="27"/>
    <x v="27"/>
    <x v="27"/>
    <x v="15"/>
    <x v="115"/>
    <x v="122"/>
    <x v="104"/>
    <x v="13"/>
    <x v="96"/>
    <x v="121"/>
    <x v="1"/>
  </r>
  <r>
    <x v="0"/>
    <x v="6"/>
    <x v="6"/>
    <x v="16"/>
    <x v="16"/>
    <x v="16"/>
    <x v="16"/>
    <x v="116"/>
    <x v="123"/>
    <x v="87"/>
    <x v="124"/>
    <x v="72"/>
    <x v="122"/>
    <x v="1"/>
  </r>
  <r>
    <x v="0"/>
    <x v="6"/>
    <x v="6"/>
    <x v="30"/>
    <x v="30"/>
    <x v="30"/>
    <x v="17"/>
    <x v="92"/>
    <x v="124"/>
    <x v="85"/>
    <x v="125"/>
    <x v="71"/>
    <x v="67"/>
    <x v="8"/>
  </r>
  <r>
    <x v="0"/>
    <x v="6"/>
    <x v="6"/>
    <x v="26"/>
    <x v="26"/>
    <x v="26"/>
    <x v="18"/>
    <x v="117"/>
    <x v="125"/>
    <x v="107"/>
    <x v="126"/>
    <x v="81"/>
    <x v="123"/>
    <x v="8"/>
  </r>
  <r>
    <x v="0"/>
    <x v="6"/>
    <x v="6"/>
    <x v="25"/>
    <x v="25"/>
    <x v="25"/>
    <x v="19"/>
    <x v="118"/>
    <x v="92"/>
    <x v="37"/>
    <x v="127"/>
    <x v="44"/>
    <x v="120"/>
    <x v="1"/>
  </r>
  <r>
    <x v="0"/>
    <x v="7"/>
    <x v="7"/>
    <x v="3"/>
    <x v="3"/>
    <x v="3"/>
    <x v="0"/>
    <x v="119"/>
    <x v="126"/>
    <x v="108"/>
    <x v="128"/>
    <x v="97"/>
    <x v="124"/>
    <x v="1"/>
  </r>
  <r>
    <x v="0"/>
    <x v="7"/>
    <x v="7"/>
    <x v="0"/>
    <x v="0"/>
    <x v="0"/>
    <x v="1"/>
    <x v="120"/>
    <x v="127"/>
    <x v="71"/>
    <x v="129"/>
    <x v="98"/>
    <x v="125"/>
    <x v="1"/>
  </r>
  <r>
    <x v="0"/>
    <x v="7"/>
    <x v="7"/>
    <x v="1"/>
    <x v="1"/>
    <x v="1"/>
    <x v="2"/>
    <x v="89"/>
    <x v="128"/>
    <x v="51"/>
    <x v="130"/>
    <x v="99"/>
    <x v="14"/>
    <x v="1"/>
  </r>
  <r>
    <x v="0"/>
    <x v="7"/>
    <x v="7"/>
    <x v="2"/>
    <x v="2"/>
    <x v="2"/>
    <x v="3"/>
    <x v="73"/>
    <x v="129"/>
    <x v="57"/>
    <x v="131"/>
    <x v="54"/>
    <x v="126"/>
    <x v="1"/>
  </r>
  <r>
    <x v="0"/>
    <x v="7"/>
    <x v="7"/>
    <x v="32"/>
    <x v="32"/>
    <x v="32"/>
    <x v="4"/>
    <x v="114"/>
    <x v="130"/>
    <x v="97"/>
    <x v="132"/>
    <x v="91"/>
    <x v="127"/>
    <x v="1"/>
  </r>
  <r>
    <x v="0"/>
    <x v="7"/>
    <x v="7"/>
    <x v="16"/>
    <x v="16"/>
    <x v="16"/>
    <x v="5"/>
    <x v="121"/>
    <x v="131"/>
    <x v="106"/>
    <x v="133"/>
    <x v="100"/>
    <x v="128"/>
    <x v="1"/>
  </r>
  <r>
    <x v="0"/>
    <x v="7"/>
    <x v="7"/>
    <x v="5"/>
    <x v="5"/>
    <x v="5"/>
    <x v="6"/>
    <x v="91"/>
    <x v="132"/>
    <x v="97"/>
    <x v="132"/>
    <x v="81"/>
    <x v="129"/>
    <x v="1"/>
  </r>
  <r>
    <x v="0"/>
    <x v="7"/>
    <x v="7"/>
    <x v="7"/>
    <x v="7"/>
    <x v="7"/>
    <x v="7"/>
    <x v="122"/>
    <x v="133"/>
    <x v="83"/>
    <x v="134"/>
    <x v="64"/>
    <x v="51"/>
    <x v="1"/>
  </r>
  <r>
    <x v="0"/>
    <x v="7"/>
    <x v="7"/>
    <x v="4"/>
    <x v="4"/>
    <x v="4"/>
    <x v="8"/>
    <x v="123"/>
    <x v="134"/>
    <x v="87"/>
    <x v="135"/>
    <x v="92"/>
    <x v="130"/>
    <x v="1"/>
  </r>
  <r>
    <x v="0"/>
    <x v="7"/>
    <x v="7"/>
    <x v="33"/>
    <x v="33"/>
    <x v="33"/>
    <x v="9"/>
    <x v="124"/>
    <x v="116"/>
    <x v="107"/>
    <x v="136"/>
    <x v="100"/>
    <x v="128"/>
    <x v="1"/>
  </r>
  <r>
    <x v="0"/>
    <x v="7"/>
    <x v="7"/>
    <x v="10"/>
    <x v="10"/>
    <x v="10"/>
    <x v="10"/>
    <x v="125"/>
    <x v="48"/>
    <x v="109"/>
    <x v="137"/>
    <x v="100"/>
    <x v="128"/>
    <x v="1"/>
  </r>
  <r>
    <x v="0"/>
    <x v="7"/>
    <x v="7"/>
    <x v="6"/>
    <x v="6"/>
    <x v="6"/>
    <x v="11"/>
    <x v="126"/>
    <x v="135"/>
    <x v="56"/>
    <x v="138"/>
    <x v="101"/>
    <x v="131"/>
    <x v="1"/>
  </r>
  <r>
    <x v="0"/>
    <x v="7"/>
    <x v="7"/>
    <x v="8"/>
    <x v="8"/>
    <x v="8"/>
    <x v="12"/>
    <x v="127"/>
    <x v="136"/>
    <x v="110"/>
    <x v="32"/>
    <x v="102"/>
    <x v="132"/>
    <x v="1"/>
  </r>
  <r>
    <x v="0"/>
    <x v="7"/>
    <x v="7"/>
    <x v="14"/>
    <x v="14"/>
    <x v="14"/>
    <x v="13"/>
    <x v="128"/>
    <x v="137"/>
    <x v="111"/>
    <x v="139"/>
    <x v="92"/>
    <x v="130"/>
    <x v="1"/>
  </r>
  <r>
    <x v="0"/>
    <x v="7"/>
    <x v="7"/>
    <x v="12"/>
    <x v="12"/>
    <x v="12"/>
    <x v="14"/>
    <x v="129"/>
    <x v="138"/>
    <x v="112"/>
    <x v="140"/>
    <x v="64"/>
    <x v="51"/>
    <x v="1"/>
  </r>
  <r>
    <x v="0"/>
    <x v="7"/>
    <x v="7"/>
    <x v="19"/>
    <x v="19"/>
    <x v="19"/>
    <x v="15"/>
    <x v="130"/>
    <x v="139"/>
    <x v="86"/>
    <x v="141"/>
    <x v="99"/>
    <x v="14"/>
    <x v="1"/>
  </r>
  <r>
    <x v="0"/>
    <x v="7"/>
    <x v="7"/>
    <x v="31"/>
    <x v="31"/>
    <x v="31"/>
    <x v="16"/>
    <x v="131"/>
    <x v="140"/>
    <x v="54"/>
    <x v="142"/>
    <x v="102"/>
    <x v="132"/>
    <x v="1"/>
  </r>
  <r>
    <x v="0"/>
    <x v="7"/>
    <x v="7"/>
    <x v="13"/>
    <x v="13"/>
    <x v="13"/>
    <x v="17"/>
    <x v="132"/>
    <x v="53"/>
    <x v="112"/>
    <x v="140"/>
    <x v="98"/>
    <x v="125"/>
    <x v="1"/>
  </r>
  <r>
    <x v="0"/>
    <x v="7"/>
    <x v="7"/>
    <x v="23"/>
    <x v="23"/>
    <x v="23"/>
    <x v="17"/>
    <x v="132"/>
    <x v="53"/>
    <x v="113"/>
    <x v="143"/>
    <x v="102"/>
    <x v="132"/>
    <x v="1"/>
  </r>
  <r>
    <x v="0"/>
    <x v="7"/>
    <x v="7"/>
    <x v="9"/>
    <x v="9"/>
    <x v="9"/>
    <x v="17"/>
    <x v="132"/>
    <x v="53"/>
    <x v="114"/>
    <x v="144"/>
    <x v="90"/>
    <x v="44"/>
    <x v="1"/>
  </r>
  <r>
    <x v="0"/>
    <x v="8"/>
    <x v="8"/>
    <x v="0"/>
    <x v="0"/>
    <x v="0"/>
    <x v="0"/>
    <x v="66"/>
    <x v="141"/>
    <x v="115"/>
    <x v="145"/>
    <x v="103"/>
    <x v="133"/>
    <x v="1"/>
  </r>
  <r>
    <x v="0"/>
    <x v="8"/>
    <x v="8"/>
    <x v="1"/>
    <x v="1"/>
    <x v="1"/>
    <x v="1"/>
    <x v="133"/>
    <x v="142"/>
    <x v="76"/>
    <x v="146"/>
    <x v="72"/>
    <x v="134"/>
    <x v="1"/>
  </r>
  <r>
    <x v="0"/>
    <x v="8"/>
    <x v="8"/>
    <x v="15"/>
    <x v="15"/>
    <x v="15"/>
    <x v="2"/>
    <x v="134"/>
    <x v="143"/>
    <x v="79"/>
    <x v="133"/>
    <x v="104"/>
    <x v="135"/>
    <x v="1"/>
  </r>
  <r>
    <x v="0"/>
    <x v="8"/>
    <x v="8"/>
    <x v="3"/>
    <x v="3"/>
    <x v="3"/>
    <x v="3"/>
    <x v="135"/>
    <x v="144"/>
    <x v="36"/>
    <x v="147"/>
    <x v="85"/>
    <x v="136"/>
    <x v="5"/>
  </r>
  <r>
    <x v="0"/>
    <x v="8"/>
    <x v="8"/>
    <x v="2"/>
    <x v="2"/>
    <x v="2"/>
    <x v="4"/>
    <x v="136"/>
    <x v="145"/>
    <x v="70"/>
    <x v="148"/>
    <x v="49"/>
    <x v="137"/>
    <x v="1"/>
  </r>
  <r>
    <x v="0"/>
    <x v="8"/>
    <x v="8"/>
    <x v="5"/>
    <x v="5"/>
    <x v="5"/>
    <x v="5"/>
    <x v="137"/>
    <x v="146"/>
    <x v="95"/>
    <x v="149"/>
    <x v="54"/>
    <x v="138"/>
    <x v="1"/>
  </r>
  <r>
    <x v="0"/>
    <x v="8"/>
    <x v="8"/>
    <x v="7"/>
    <x v="7"/>
    <x v="7"/>
    <x v="6"/>
    <x v="90"/>
    <x v="147"/>
    <x v="84"/>
    <x v="150"/>
    <x v="81"/>
    <x v="67"/>
    <x v="1"/>
  </r>
  <r>
    <x v="0"/>
    <x v="8"/>
    <x v="8"/>
    <x v="4"/>
    <x v="4"/>
    <x v="4"/>
    <x v="7"/>
    <x v="138"/>
    <x v="148"/>
    <x v="37"/>
    <x v="151"/>
    <x v="89"/>
    <x v="42"/>
    <x v="1"/>
  </r>
  <r>
    <x v="0"/>
    <x v="8"/>
    <x v="8"/>
    <x v="6"/>
    <x v="6"/>
    <x v="6"/>
    <x v="8"/>
    <x v="121"/>
    <x v="149"/>
    <x v="52"/>
    <x v="152"/>
    <x v="96"/>
    <x v="139"/>
    <x v="8"/>
  </r>
  <r>
    <x v="0"/>
    <x v="8"/>
    <x v="8"/>
    <x v="9"/>
    <x v="9"/>
    <x v="9"/>
    <x v="9"/>
    <x v="116"/>
    <x v="150"/>
    <x v="69"/>
    <x v="153"/>
    <x v="105"/>
    <x v="140"/>
    <x v="1"/>
  </r>
  <r>
    <x v="0"/>
    <x v="8"/>
    <x v="8"/>
    <x v="8"/>
    <x v="8"/>
    <x v="8"/>
    <x v="10"/>
    <x v="123"/>
    <x v="32"/>
    <x v="97"/>
    <x v="154"/>
    <x v="92"/>
    <x v="141"/>
    <x v="1"/>
  </r>
  <r>
    <x v="0"/>
    <x v="8"/>
    <x v="8"/>
    <x v="10"/>
    <x v="10"/>
    <x v="10"/>
    <x v="11"/>
    <x v="117"/>
    <x v="151"/>
    <x v="116"/>
    <x v="25"/>
    <x v="106"/>
    <x v="142"/>
    <x v="1"/>
  </r>
  <r>
    <x v="0"/>
    <x v="8"/>
    <x v="8"/>
    <x v="17"/>
    <x v="17"/>
    <x v="17"/>
    <x v="11"/>
    <x v="117"/>
    <x v="151"/>
    <x v="107"/>
    <x v="155"/>
    <x v="106"/>
    <x v="142"/>
    <x v="5"/>
  </r>
  <r>
    <x v="0"/>
    <x v="8"/>
    <x v="8"/>
    <x v="11"/>
    <x v="11"/>
    <x v="11"/>
    <x v="13"/>
    <x v="139"/>
    <x v="152"/>
    <x v="57"/>
    <x v="156"/>
    <x v="107"/>
    <x v="143"/>
    <x v="1"/>
  </r>
  <r>
    <x v="0"/>
    <x v="8"/>
    <x v="8"/>
    <x v="12"/>
    <x v="12"/>
    <x v="12"/>
    <x v="14"/>
    <x v="127"/>
    <x v="71"/>
    <x v="37"/>
    <x v="151"/>
    <x v="108"/>
    <x v="144"/>
    <x v="1"/>
  </r>
  <r>
    <x v="0"/>
    <x v="8"/>
    <x v="8"/>
    <x v="14"/>
    <x v="14"/>
    <x v="14"/>
    <x v="15"/>
    <x v="128"/>
    <x v="153"/>
    <x v="110"/>
    <x v="140"/>
    <x v="107"/>
    <x v="143"/>
    <x v="1"/>
  </r>
  <r>
    <x v="0"/>
    <x v="8"/>
    <x v="8"/>
    <x v="18"/>
    <x v="18"/>
    <x v="18"/>
    <x v="15"/>
    <x v="128"/>
    <x v="153"/>
    <x v="55"/>
    <x v="80"/>
    <x v="98"/>
    <x v="145"/>
    <x v="1"/>
  </r>
  <r>
    <x v="0"/>
    <x v="8"/>
    <x v="8"/>
    <x v="30"/>
    <x v="30"/>
    <x v="30"/>
    <x v="17"/>
    <x v="140"/>
    <x v="154"/>
    <x v="96"/>
    <x v="106"/>
    <x v="109"/>
    <x v="132"/>
    <x v="5"/>
  </r>
  <r>
    <x v="0"/>
    <x v="8"/>
    <x v="8"/>
    <x v="34"/>
    <x v="34"/>
    <x v="34"/>
    <x v="18"/>
    <x v="129"/>
    <x v="155"/>
    <x v="117"/>
    <x v="157"/>
    <x v="44"/>
    <x v="56"/>
    <x v="1"/>
  </r>
  <r>
    <x v="0"/>
    <x v="8"/>
    <x v="8"/>
    <x v="19"/>
    <x v="19"/>
    <x v="19"/>
    <x v="19"/>
    <x v="132"/>
    <x v="74"/>
    <x v="111"/>
    <x v="158"/>
    <x v="108"/>
    <x v="144"/>
    <x v="1"/>
  </r>
  <r>
    <x v="0"/>
    <x v="8"/>
    <x v="8"/>
    <x v="24"/>
    <x v="24"/>
    <x v="24"/>
    <x v="19"/>
    <x v="132"/>
    <x v="74"/>
    <x v="113"/>
    <x v="159"/>
    <x v="99"/>
    <x v="101"/>
    <x v="1"/>
  </r>
  <r>
    <x v="0"/>
    <x v="9"/>
    <x v="9"/>
    <x v="13"/>
    <x v="13"/>
    <x v="13"/>
    <x v="0"/>
    <x v="39"/>
    <x v="156"/>
    <x v="118"/>
    <x v="160"/>
    <x v="110"/>
    <x v="146"/>
    <x v="1"/>
  </r>
  <r>
    <x v="0"/>
    <x v="9"/>
    <x v="9"/>
    <x v="1"/>
    <x v="1"/>
    <x v="1"/>
    <x v="0"/>
    <x v="39"/>
    <x v="156"/>
    <x v="66"/>
    <x v="161"/>
    <x v="91"/>
    <x v="147"/>
    <x v="1"/>
  </r>
  <r>
    <x v="0"/>
    <x v="9"/>
    <x v="9"/>
    <x v="0"/>
    <x v="0"/>
    <x v="0"/>
    <x v="2"/>
    <x v="141"/>
    <x v="157"/>
    <x v="119"/>
    <x v="162"/>
    <x v="96"/>
    <x v="120"/>
    <x v="1"/>
  </r>
  <r>
    <x v="0"/>
    <x v="9"/>
    <x v="9"/>
    <x v="5"/>
    <x v="5"/>
    <x v="5"/>
    <x v="3"/>
    <x v="142"/>
    <x v="158"/>
    <x v="90"/>
    <x v="163"/>
    <x v="111"/>
    <x v="148"/>
    <x v="1"/>
  </r>
  <r>
    <x v="0"/>
    <x v="9"/>
    <x v="9"/>
    <x v="2"/>
    <x v="2"/>
    <x v="2"/>
    <x v="4"/>
    <x v="143"/>
    <x v="159"/>
    <x v="57"/>
    <x v="80"/>
    <x v="48"/>
    <x v="149"/>
    <x v="1"/>
  </r>
  <r>
    <x v="0"/>
    <x v="9"/>
    <x v="9"/>
    <x v="3"/>
    <x v="3"/>
    <x v="3"/>
    <x v="5"/>
    <x v="86"/>
    <x v="160"/>
    <x v="120"/>
    <x v="164"/>
    <x v="68"/>
    <x v="150"/>
    <x v="1"/>
  </r>
  <r>
    <x v="0"/>
    <x v="9"/>
    <x v="9"/>
    <x v="8"/>
    <x v="8"/>
    <x v="8"/>
    <x v="6"/>
    <x v="144"/>
    <x v="161"/>
    <x v="68"/>
    <x v="165"/>
    <x v="89"/>
    <x v="151"/>
    <x v="1"/>
  </r>
  <r>
    <x v="0"/>
    <x v="9"/>
    <x v="9"/>
    <x v="6"/>
    <x v="6"/>
    <x v="6"/>
    <x v="7"/>
    <x v="87"/>
    <x v="25"/>
    <x v="93"/>
    <x v="166"/>
    <x v="70"/>
    <x v="152"/>
    <x v="1"/>
  </r>
  <r>
    <x v="0"/>
    <x v="9"/>
    <x v="9"/>
    <x v="10"/>
    <x v="10"/>
    <x v="10"/>
    <x v="8"/>
    <x v="145"/>
    <x v="162"/>
    <x v="37"/>
    <x v="167"/>
    <x v="46"/>
    <x v="153"/>
    <x v="1"/>
  </r>
  <r>
    <x v="0"/>
    <x v="9"/>
    <x v="9"/>
    <x v="4"/>
    <x v="4"/>
    <x v="4"/>
    <x v="8"/>
    <x v="145"/>
    <x v="162"/>
    <x v="52"/>
    <x v="168"/>
    <x v="95"/>
    <x v="114"/>
    <x v="1"/>
  </r>
  <r>
    <x v="0"/>
    <x v="9"/>
    <x v="9"/>
    <x v="9"/>
    <x v="9"/>
    <x v="9"/>
    <x v="8"/>
    <x v="145"/>
    <x v="162"/>
    <x v="121"/>
    <x v="169"/>
    <x v="108"/>
    <x v="44"/>
    <x v="1"/>
  </r>
  <r>
    <x v="0"/>
    <x v="9"/>
    <x v="9"/>
    <x v="7"/>
    <x v="7"/>
    <x v="7"/>
    <x v="11"/>
    <x v="74"/>
    <x v="163"/>
    <x v="73"/>
    <x v="170"/>
    <x v="92"/>
    <x v="106"/>
    <x v="1"/>
  </r>
  <r>
    <x v="0"/>
    <x v="9"/>
    <x v="9"/>
    <x v="16"/>
    <x v="16"/>
    <x v="16"/>
    <x v="12"/>
    <x v="146"/>
    <x v="164"/>
    <x v="122"/>
    <x v="171"/>
    <x v="89"/>
    <x v="151"/>
    <x v="1"/>
  </r>
  <r>
    <x v="0"/>
    <x v="9"/>
    <x v="9"/>
    <x v="14"/>
    <x v="14"/>
    <x v="14"/>
    <x v="13"/>
    <x v="121"/>
    <x v="165"/>
    <x v="56"/>
    <x v="172"/>
    <x v="68"/>
    <x v="150"/>
    <x v="1"/>
  </r>
  <r>
    <x v="0"/>
    <x v="9"/>
    <x v="9"/>
    <x v="19"/>
    <x v="19"/>
    <x v="19"/>
    <x v="14"/>
    <x v="147"/>
    <x v="13"/>
    <x v="114"/>
    <x v="173"/>
    <x v="55"/>
    <x v="154"/>
    <x v="1"/>
  </r>
  <r>
    <x v="0"/>
    <x v="9"/>
    <x v="9"/>
    <x v="11"/>
    <x v="11"/>
    <x v="11"/>
    <x v="15"/>
    <x v="116"/>
    <x v="166"/>
    <x v="52"/>
    <x v="168"/>
    <x v="100"/>
    <x v="155"/>
    <x v="1"/>
  </r>
  <r>
    <x v="0"/>
    <x v="9"/>
    <x v="9"/>
    <x v="18"/>
    <x v="18"/>
    <x v="18"/>
    <x v="16"/>
    <x v="122"/>
    <x v="167"/>
    <x v="72"/>
    <x v="174"/>
    <x v="108"/>
    <x v="44"/>
    <x v="1"/>
  </r>
  <r>
    <x v="0"/>
    <x v="9"/>
    <x v="9"/>
    <x v="35"/>
    <x v="35"/>
    <x v="35"/>
    <x v="17"/>
    <x v="117"/>
    <x v="108"/>
    <x v="55"/>
    <x v="175"/>
    <x v="81"/>
    <x v="105"/>
    <x v="1"/>
  </r>
  <r>
    <x v="0"/>
    <x v="9"/>
    <x v="9"/>
    <x v="21"/>
    <x v="21"/>
    <x v="21"/>
    <x v="18"/>
    <x v="118"/>
    <x v="168"/>
    <x v="54"/>
    <x v="176"/>
    <x v="91"/>
    <x v="147"/>
    <x v="1"/>
  </r>
  <r>
    <x v="0"/>
    <x v="9"/>
    <x v="9"/>
    <x v="12"/>
    <x v="12"/>
    <x v="12"/>
    <x v="19"/>
    <x v="148"/>
    <x v="169"/>
    <x v="114"/>
    <x v="173"/>
    <x v="100"/>
    <x v="155"/>
    <x v="1"/>
  </r>
  <r>
    <x v="0"/>
    <x v="10"/>
    <x v="10"/>
    <x v="0"/>
    <x v="0"/>
    <x v="0"/>
    <x v="0"/>
    <x v="37"/>
    <x v="170"/>
    <x v="123"/>
    <x v="177"/>
    <x v="72"/>
    <x v="156"/>
    <x v="5"/>
  </r>
  <r>
    <x v="0"/>
    <x v="10"/>
    <x v="10"/>
    <x v="1"/>
    <x v="1"/>
    <x v="1"/>
    <x v="1"/>
    <x v="149"/>
    <x v="171"/>
    <x v="124"/>
    <x v="178"/>
    <x v="68"/>
    <x v="157"/>
    <x v="1"/>
  </r>
  <r>
    <x v="0"/>
    <x v="10"/>
    <x v="10"/>
    <x v="3"/>
    <x v="3"/>
    <x v="3"/>
    <x v="2"/>
    <x v="48"/>
    <x v="172"/>
    <x v="125"/>
    <x v="179"/>
    <x v="112"/>
    <x v="158"/>
    <x v="1"/>
  </r>
  <r>
    <x v="0"/>
    <x v="10"/>
    <x v="10"/>
    <x v="2"/>
    <x v="2"/>
    <x v="2"/>
    <x v="3"/>
    <x v="150"/>
    <x v="173"/>
    <x v="93"/>
    <x v="180"/>
    <x v="113"/>
    <x v="159"/>
    <x v="1"/>
  </r>
  <r>
    <x v="0"/>
    <x v="10"/>
    <x v="10"/>
    <x v="4"/>
    <x v="4"/>
    <x v="4"/>
    <x v="4"/>
    <x v="70"/>
    <x v="174"/>
    <x v="126"/>
    <x v="181"/>
    <x v="71"/>
    <x v="160"/>
    <x v="1"/>
  </r>
  <r>
    <x v="0"/>
    <x v="10"/>
    <x v="10"/>
    <x v="7"/>
    <x v="7"/>
    <x v="7"/>
    <x v="5"/>
    <x v="151"/>
    <x v="175"/>
    <x v="127"/>
    <x v="182"/>
    <x v="81"/>
    <x v="35"/>
    <x v="1"/>
  </r>
  <r>
    <x v="0"/>
    <x v="10"/>
    <x v="10"/>
    <x v="5"/>
    <x v="5"/>
    <x v="5"/>
    <x v="6"/>
    <x v="152"/>
    <x v="176"/>
    <x v="105"/>
    <x v="183"/>
    <x v="70"/>
    <x v="161"/>
    <x v="1"/>
  </r>
  <r>
    <x v="0"/>
    <x v="10"/>
    <x v="10"/>
    <x v="6"/>
    <x v="6"/>
    <x v="6"/>
    <x v="7"/>
    <x v="89"/>
    <x v="25"/>
    <x v="128"/>
    <x v="184"/>
    <x v="107"/>
    <x v="162"/>
    <x v="1"/>
  </r>
  <r>
    <x v="0"/>
    <x v="10"/>
    <x v="10"/>
    <x v="9"/>
    <x v="9"/>
    <x v="9"/>
    <x v="8"/>
    <x v="57"/>
    <x v="177"/>
    <x v="36"/>
    <x v="185"/>
    <x v="108"/>
    <x v="163"/>
    <x v="1"/>
  </r>
  <r>
    <x v="0"/>
    <x v="10"/>
    <x v="10"/>
    <x v="8"/>
    <x v="8"/>
    <x v="8"/>
    <x v="9"/>
    <x v="153"/>
    <x v="178"/>
    <x v="83"/>
    <x v="186"/>
    <x v="103"/>
    <x v="164"/>
    <x v="1"/>
  </r>
  <r>
    <x v="0"/>
    <x v="10"/>
    <x v="10"/>
    <x v="11"/>
    <x v="11"/>
    <x v="11"/>
    <x v="10"/>
    <x v="147"/>
    <x v="11"/>
    <x v="74"/>
    <x v="187"/>
    <x v="102"/>
    <x v="165"/>
    <x v="1"/>
  </r>
  <r>
    <x v="0"/>
    <x v="10"/>
    <x v="10"/>
    <x v="15"/>
    <x v="15"/>
    <x v="15"/>
    <x v="11"/>
    <x v="116"/>
    <x v="179"/>
    <x v="109"/>
    <x v="188"/>
    <x v="55"/>
    <x v="166"/>
    <x v="1"/>
  </r>
  <r>
    <x v="0"/>
    <x v="10"/>
    <x v="10"/>
    <x v="14"/>
    <x v="14"/>
    <x v="14"/>
    <x v="11"/>
    <x v="116"/>
    <x v="179"/>
    <x v="116"/>
    <x v="189"/>
    <x v="68"/>
    <x v="157"/>
    <x v="1"/>
  </r>
  <r>
    <x v="0"/>
    <x v="10"/>
    <x v="10"/>
    <x v="10"/>
    <x v="10"/>
    <x v="10"/>
    <x v="13"/>
    <x v="91"/>
    <x v="180"/>
    <x v="87"/>
    <x v="50"/>
    <x v="106"/>
    <x v="93"/>
    <x v="1"/>
  </r>
  <r>
    <x v="0"/>
    <x v="10"/>
    <x v="10"/>
    <x v="12"/>
    <x v="12"/>
    <x v="12"/>
    <x v="14"/>
    <x v="122"/>
    <x v="181"/>
    <x v="83"/>
    <x v="186"/>
    <x v="64"/>
    <x v="68"/>
    <x v="1"/>
  </r>
  <r>
    <x v="0"/>
    <x v="10"/>
    <x v="10"/>
    <x v="26"/>
    <x v="26"/>
    <x v="26"/>
    <x v="15"/>
    <x v="148"/>
    <x v="52"/>
    <x v="110"/>
    <x v="190"/>
    <x v="109"/>
    <x v="167"/>
    <x v="1"/>
  </r>
  <r>
    <x v="0"/>
    <x v="10"/>
    <x v="10"/>
    <x v="34"/>
    <x v="34"/>
    <x v="34"/>
    <x v="16"/>
    <x v="126"/>
    <x v="182"/>
    <x v="86"/>
    <x v="191"/>
    <x v="92"/>
    <x v="168"/>
    <x v="1"/>
  </r>
  <r>
    <x v="0"/>
    <x v="10"/>
    <x v="10"/>
    <x v="18"/>
    <x v="18"/>
    <x v="18"/>
    <x v="17"/>
    <x v="154"/>
    <x v="183"/>
    <x v="110"/>
    <x v="190"/>
    <x v="108"/>
    <x v="163"/>
    <x v="1"/>
  </r>
  <r>
    <x v="0"/>
    <x v="10"/>
    <x v="10"/>
    <x v="23"/>
    <x v="23"/>
    <x v="23"/>
    <x v="18"/>
    <x v="130"/>
    <x v="184"/>
    <x v="117"/>
    <x v="192"/>
    <x v="44"/>
    <x v="169"/>
    <x v="1"/>
  </r>
  <r>
    <x v="0"/>
    <x v="10"/>
    <x v="10"/>
    <x v="25"/>
    <x v="25"/>
    <x v="25"/>
    <x v="18"/>
    <x v="130"/>
    <x v="184"/>
    <x v="129"/>
    <x v="193"/>
    <x v="102"/>
    <x v="165"/>
    <x v="1"/>
  </r>
  <r>
    <x v="0"/>
    <x v="10"/>
    <x v="10"/>
    <x v="30"/>
    <x v="30"/>
    <x v="30"/>
    <x v="18"/>
    <x v="130"/>
    <x v="184"/>
    <x v="96"/>
    <x v="106"/>
    <x v="100"/>
    <x v="141"/>
    <x v="5"/>
  </r>
  <r>
    <x v="0"/>
    <x v="11"/>
    <x v="11"/>
    <x v="0"/>
    <x v="0"/>
    <x v="0"/>
    <x v="0"/>
    <x v="38"/>
    <x v="185"/>
    <x v="48"/>
    <x v="194"/>
    <x v="103"/>
    <x v="170"/>
    <x v="1"/>
  </r>
  <r>
    <x v="0"/>
    <x v="11"/>
    <x v="11"/>
    <x v="1"/>
    <x v="1"/>
    <x v="1"/>
    <x v="1"/>
    <x v="155"/>
    <x v="186"/>
    <x v="130"/>
    <x v="195"/>
    <x v="100"/>
    <x v="64"/>
    <x v="1"/>
  </r>
  <r>
    <x v="0"/>
    <x v="11"/>
    <x v="11"/>
    <x v="3"/>
    <x v="3"/>
    <x v="3"/>
    <x v="2"/>
    <x v="110"/>
    <x v="2"/>
    <x v="126"/>
    <x v="196"/>
    <x v="53"/>
    <x v="171"/>
    <x v="1"/>
  </r>
  <r>
    <x v="0"/>
    <x v="11"/>
    <x v="11"/>
    <x v="2"/>
    <x v="2"/>
    <x v="2"/>
    <x v="3"/>
    <x v="69"/>
    <x v="187"/>
    <x v="56"/>
    <x v="197"/>
    <x v="87"/>
    <x v="172"/>
    <x v="1"/>
  </r>
  <r>
    <x v="0"/>
    <x v="11"/>
    <x v="11"/>
    <x v="4"/>
    <x v="4"/>
    <x v="4"/>
    <x v="4"/>
    <x v="156"/>
    <x v="188"/>
    <x v="68"/>
    <x v="198"/>
    <x v="82"/>
    <x v="173"/>
    <x v="1"/>
  </r>
  <r>
    <x v="0"/>
    <x v="11"/>
    <x v="11"/>
    <x v="5"/>
    <x v="5"/>
    <x v="5"/>
    <x v="5"/>
    <x v="119"/>
    <x v="189"/>
    <x v="95"/>
    <x v="199"/>
    <x v="114"/>
    <x v="174"/>
    <x v="1"/>
  </r>
  <r>
    <x v="0"/>
    <x v="11"/>
    <x v="11"/>
    <x v="6"/>
    <x v="6"/>
    <x v="6"/>
    <x v="5"/>
    <x v="119"/>
    <x v="189"/>
    <x v="90"/>
    <x v="200"/>
    <x v="68"/>
    <x v="175"/>
    <x v="1"/>
  </r>
  <r>
    <x v="0"/>
    <x v="11"/>
    <x v="11"/>
    <x v="9"/>
    <x v="9"/>
    <x v="9"/>
    <x v="7"/>
    <x v="157"/>
    <x v="190"/>
    <x v="120"/>
    <x v="201"/>
    <x v="64"/>
    <x v="71"/>
    <x v="1"/>
  </r>
  <r>
    <x v="0"/>
    <x v="11"/>
    <x v="11"/>
    <x v="8"/>
    <x v="8"/>
    <x v="8"/>
    <x v="8"/>
    <x v="103"/>
    <x v="191"/>
    <x v="69"/>
    <x v="83"/>
    <x v="79"/>
    <x v="176"/>
    <x v="1"/>
  </r>
  <r>
    <x v="0"/>
    <x v="11"/>
    <x v="11"/>
    <x v="10"/>
    <x v="10"/>
    <x v="10"/>
    <x v="9"/>
    <x v="90"/>
    <x v="28"/>
    <x v="97"/>
    <x v="202"/>
    <x v="71"/>
    <x v="177"/>
    <x v="1"/>
  </r>
  <r>
    <x v="0"/>
    <x v="11"/>
    <x v="11"/>
    <x v="7"/>
    <x v="7"/>
    <x v="7"/>
    <x v="10"/>
    <x v="158"/>
    <x v="192"/>
    <x v="53"/>
    <x v="60"/>
    <x v="109"/>
    <x v="178"/>
    <x v="1"/>
  </r>
  <r>
    <x v="0"/>
    <x v="11"/>
    <x v="11"/>
    <x v="12"/>
    <x v="12"/>
    <x v="12"/>
    <x v="11"/>
    <x v="92"/>
    <x v="179"/>
    <x v="52"/>
    <x v="203"/>
    <x v="44"/>
    <x v="179"/>
    <x v="1"/>
  </r>
  <r>
    <x v="0"/>
    <x v="11"/>
    <x v="11"/>
    <x v="14"/>
    <x v="14"/>
    <x v="14"/>
    <x v="12"/>
    <x v="122"/>
    <x v="89"/>
    <x v="107"/>
    <x v="123"/>
    <x v="69"/>
    <x v="156"/>
    <x v="1"/>
  </r>
  <r>
    <x v="0"/>
    <x v="11"/>
    <x v="11"/>
    <x v="11"/>
    <x v="11"/>
    <x v="11"/>
    <x v="13"/>
    <x v="159"/>
    <x v="193"/>
    <x v="58"/>
    <x v="12"/>
    <x v="99"/>
    <x v="180"/>
    <x v="1"/>
  </r>
  <r>
    <x v="0"/>
    <x v="11"/>
    <x v="11"/>
    <x v="18"/>
    <x v="18"/>
    <x v="18"/>
    <x v="14"/>
    <x v="125"/>
    <x v="194"/>
    <x v="52"/>
    <x v="203"/>
    <x v="90"/>
    <x v="181"/>
    <x v="1"/>
  </r>
  <r>
    <x v="0"/>
    <x v="11"/>
    <x v="11"/>
    <x v="16"/>
    <x v="16"/>
    <x v="16"/>
    <x v="15"/>
    <x v="127"/>
    <x v="124"/>
    <x v="112"/>
    <x v="188"/>
    <x v="44"/>
    <x v="179"/>
    <x v="1"/>
  </r>
  <r>
    <x v="0"/>
    <x v="11"/>
    <x v="11"/>
    <x v="19"/>
    <x v="19"/>
    <x v="19"/>
    <x v="16"/>
    <x v="160"/>
    <x v="195"/>
    <x v="86"/>
    <x v="34"/>
    <x v="109"/>
    <x v="178"/>
    <x v="1"/>
  </r>
  <r>
    <x v="0"/>
    <x v="11"/>
    <x v="11"/>
    <x v="24"/>
    <x v="24"/>
    <x v="24"/>
    <x v="17"/>
    <x v="128"/>
    <x v="196"/>
    <x v="109"/>
    <x v="204"/>
    <x v="102"/>
    <x v="182"/>
    <x v="1"/>
  </r>
  <r>
    <x v="0"/>
    <x v="11"/>
    <x v="11"/>
    <x v="13"/>
    <x v="13"/>
    <x v="13"/>
    <x v="18"/>
    <x v="140"/>
    <x v="197"/>
    <x v="107"/>
    <x v="123"/>
    <x v="108"/>
    <x v="183"/>
    <x v="1"/>
  </r>
  <r>
    <x v="0"/>
    <x v="11"/>
    <x v="11"/>
    <x v="21"/>
    <x v="21"/>
    <x v="21"/>
    <x v="18"/>
    <x v="140"/>
    <x v="197"/>
    <x v="117"/>
    <x v="205"/>
    <x v="81"/>
    <x v="152"/>
    <x v="1"/>
  </r>
  <r>
    <x v="0"/>
    <x v="11"/>
    <x v="11"/>
    <x v="36"/>
    <x v="36"/>
    <x v="36"/>
    <x v="18"/>
    <x v="140"/>
    <x v="197"/>
    <x v="112"/>
    <x v="188"/>
    <x v="102"/>
    <x v="182"/>
    <x v="1"/>
  </r>
  <r>
    <x v="0"/>
    <x v="12"/>
    <x v="12"/>
    <x v="15"/>
    <x v="15"/>
    <x v="15"/>
    <x v="0"/>
    <x v="161"/>
    <x v="198"/>
    <x v="131"/>
    <x v="206"/>
    <x v="115"/>
    <x v="184"/>
    <x v="1"/>
  </r>
  <r>
    <x v="0"/>
    <x v="12"/>
    <x v="12"/>
    <x v="0"/>
    <x v="0"/>
    <x v="0"/>
    <x v="1"/>
    <x v="77"/>
    <x v="94"/>
    <x v="63"/>
    <x v="207"/>
    <x v="72"/>
    <x v="185"/>
    <x v="1"/>
  </r>
  <r>
    <x v="0"/>
    <x v="12"/>
    <x v="12"/>
    <x v="1"/>
    <x v="1"/>
    <x v="1"/>
    <x v="2"/>
    <x v="47"/>
    <x v="199"/>
    <x v="26"/>
    <x v="208"/>
    <x v="109"/>
    <x v="186"/>
    <x v="1"/>
  </r>
  <r>
    <x v="0"/>
    <x v="12"/>
    <x v="12"/>
    <x v="17"/>
    <x v="17"/>
    <x v="17"/>
    <x v="3"/>
    <x v="162"/>
    <x v="200"/>
    <x v="126"/>
    <x v="209"/>
    <x v="116"/>
    <x v="187"/>
    <x v="1"/>
  </r>
  <r>
    <x v="0"/>
    <x v="12"/>
    <x v="12"/>
    <x v="2"/>
    <x v="2"/>
    <x v="2"/>
    <x v="4"/>
    <x v="98"/>
    <x v="201"/>
    <x v="126"/>
    <x v="209"/>
    <x v="87"/>
    <x v="188"/>
    <x v="1"/>
  </r>
  <r>
    <x v="0"/>
    <x v="12"/>
    <x v="12"/>
    <x v="3"/>
    <x v="3"/>
    <x v="3"/>
    <x v="5"/>
    <x v="133"/>
    <x v="202"/>
    <x v="120"/>
    <x v="210"/>
    <x v="110"/>
    <x v="189"/>
    <x v="1"/>
  </r>
  <r>
    <x v="0"/>
    <x v="12"/>
    <x v="12"/>
    <x v="7"/>
    <x v="7"/>
    <x v="7"/>
    <x v="6"/>
    <x v="135"/>
    <x v="203"/>
    <x v="71"/>
    <x v="211"/>
    <x v="69"/>
    <x v="190"/>
    <x v="5"/>
  </r>
  <r>
    <x v="0"/>
    <x v="12"/>
    <x v="12"/>
    <x v="5"/>
    <x v="5"/>
    <x v="5"/>
    <x v="7"/>
    <x v="71"/>
    <x v="150"/>
    <x v="103"/>
    <x v="212"/>
    <x v="97"/>
    <x v="191"/>
    <x v="1"/>
  </r>
  <r>
    <x v="0"/>
    <x v="12"/>
    <x v="12"/>
    <x v="10"/>
    <x v="10"/>
    <x v="10"/>
    <x v="8"/>
    <x v="157"/>
    <x v="204"/>
    <x v="74"/>
    <x v="80"/>
    <x v="117"/>
    <x v="192"/>
    <x v="1"/>
  </r>
  <r>
    <x v="0"/>
    <x v="12"/>
    <x v="12"/>
    <x v="12"/>
    <x v="12"/>
    <x v="12"/>
    <x v="9"/>
    <x v="56"/>
    <x v="205"/>
    <x v="57"/>
    <x v="213"/>
    <x v="82"/>
    <x v="193"/>
    <x v="1"/>
  </r>
  <r>
    <x v="0"/>
    <x v="12"/>
    <x v="12"/>
    <x v="9"/>
    <x v="9"/>
    <x v="9"/>
    <x v="10"/>
    <x v="137"/>
    <x v="152"/>
    <x v="132"/>
    <x v="214"/>
    <x v="90"/>
    <x v="194"/>
    <x v="1"/>
  </r>
  <r>
    <x v="0"/>
    <x v="12"/>
    <x v="12"/>
    <x v="6"/>
    <x v="6"/>
    <x v="6"/>
    <x v="11"/>
    <x v="90"/>
    <x v="206"/>
    <x v="79"/>
    <x v="215"/>
    <x v="102"/>
    <x v="195"/>
    <x v="1"/>
  </r>
  <r>
    <x v="0"/>
    <x v="12"/>
    <x v="12"/>
    <x v="4"/>
    <x v="4"/>
    <x v="4"/>
    <x v="12"/>
    <x v="57"/>
    <x v="207"/>
    <x v="107"/>
    <x v="107"/>
    <x v="114"/>
    <x v="196"/>
    <x v="1"/>
  </r>
  <r>
    <x v="0"/>
    <x v="12"/>
    <x v="12"/>
    <x v="8"/>
    <x v="8"/>
    <x v="8"/>
    <x v="13"/>
    <x v="147"/>
    <x v="208"/>
    <x v="82"/>
    <x v="216"/>
    <x v="92"/>
    <x v="120"/>
    <x v="1"/>
  </r>
  <r>
    <x v="0"/>
    <x v="12"/>
    <x v="12"/>
    <x v="11"/>
    <x v="11"/>
    <x v="11"/>
    <x v="14"/>
    <x v="116"/>
    <x v="140"/>
    <x v="104"/>
    <x v="217"/>
    <x v="108"/>
    <x v="197"/>
    <x v="1"/>
  </r>
  <r>
    <x v="0"/>
    <x v="12"/>
    <x v="12"/>
    <x v="33"/>
    <x v="33"/>
    <x v="33"/>
    <x v="15"/>
    <x v="118"/>
    <x v="209"/>
    <x v="56"/>
    <x v="218"/>
    <x v="92"/>
    <x v="120"/>
    <x v="1"/>
  </r>
  <r>
    <x v="0"/>
    <x v="12"/>
    <x v="12"/>
    <x v="30"/>
    <x v="30"/>
    <x v="30"/>
    <x v="16"/>
    <x v="148"/>
    <x v="92"/>
    <x v="96"/>
    <x v="106"/>
    <x v="91"/>
    <x v="198"/>
    <x v="1"/>
  </r>
  <r>
    <x v="0"/>
    <x v="12"/>
    <x v="12"/>
    <x v="14"/>
    <x v="14"/>
    <x v="14"/>
    <x v="17"/>
    <x v="126"/>
    <x v="210"/>
    <x v="111"/>
    <x v="193"/>
    <x v="44"/>
    <x v="199"/>
    <x v="1"/>
  </r>
  <r>
    <x v="0"/>
    <x v="12"/>
    <x v="12"/>
    <x v="24"/>
    <x v="24"/>
    <x v="24"/>
    <x v="18"/>
    <x v="160"/>
    <x v="211"/>
    <x v="86"/>
    <x v="219"/>
    <x v="44"/>
    <x v="199"/>
    <x v="1"/>
  </r>
  <r>
    <x v="0"/>
    <x v="12"/>
    <x v="12"/>
    <x v="23"/>
    <x v="23"/>
    <x v="23"/>
    <x v="19"/>
    <x v="128"/>
    <x v="212"/>
    <x v="85"/>
    <x v="220"/>
    <x v="69"/>
    <x v="190"/>
    <x v="1"/>
  </r>
  <r>
    <x v="0"/>
    <x v="13"/>
    <x v="13"/>
    <x v="1"/>
    <x v="1"/>
    <x v="1"/>
    <x v="0"/>
    <x v="163"/>
    <x v="213"/>
    <x v="133"/>
    <x v="221"/>
    <x v="118"/>
    <x v="200"/>
    <x v="1"/>
  </r>
  <r>
    <x v="0"/>
    <x v="13"/>
    <x v="13"/>
    <x v="0"/>
    <x v="0"/>
    <x v="0"/>
    <x v="1"/>
    <x v="164"/>
    <x v="214"/>
    <x v="133"/>
    <x v="221"/>
    <x v="85"/>
    <x v="16"/>
    <x v="1"/>
  </r>
  <r>
    <x v="0"/>
    <x v="13"/>
    <x v="13"/>
    <x v="3"/>
    <x v="3"/>
    <x v="3"/>
    <x v="2"/>
    <x v="165"/>
    <x v="215"/>
    <x v="134"/>
    <x v="222"/>
    <x v="43"/>
    <x v="201"/>
    <x v="1"/>
  </r>
  <r>
    <x v="0"/>
    <x v="13"/>
    <x v="13"/>
    <x v="2"/>
    <x v="2"/>
    <x v="2"/>
    <x v="3"/>
    <x v="166"/>
    <x v="216"/>
    <x v="79"/>
    <x v="213"/>
    <x v="119"/>
    <x v="202"/>
    <x v="1"/>
  </r>
  <r>
    <x v="0"/>
    <x v="13"/>
    <x v="13"/>
    <x v="6"/>
    <x v="6"/>
    <x v="6"/>
    <x v="4"/>
    <x v="97"/>
    <x v="217"/>
    <x v="135"/>
    <x v="223"/>
    <x v="120"/>
    <x v="203"/>
    <x v="1"/>
  </r>
  <r>
    <x v="0"/>
    <x v="13"/>
    <x v="13"/>
    <x v="8"/>
    <x v="8"/>
    <x v="8"/>
    <x v="5"/>
    <x v="167"/>
    <x v="218"/>
    <x v="94"/>
    <x v="224"/>
    <x v="48"/>
    <x v="204"/>
    <x v="1"/>
  </r>
  <r>
    <x v="0"/>
    <x v="13"/>
    <x v="13"/>
    <x v="13"/>
    <x v="13"/>
    <x v="13"/>
    <x v="6"/>
    <x v="168"/>
    <x v="219"/>
    <x v="135"/>
    <x v="223"/>
    <x v="65"/>
    <x v="205"/>
    <x v="1"/>
  </r>
  <r>
    <x v="0"/>
    <x v="13"/>
    <x v="13"/>
    <x v="9"/>
    <x v="9"/>
    <x v="9"/>
    <x v="7"/>
    <x v="66"/>
    <x v="220"/>
    <x v="136"/>
    <x v="225"/>
    <x v="102"/>
    <x v="197"/>
    <x v="1"/>
  </r>
  <r>
    <x v="0"/>
    <x v="13"/>
    <x v="13"/>
    <x v="4"/>
    <x v="4"/>
    <x v="4"/>
    <x v="8"/>
    <x v="169"/>
    <x v="221"/>
    <x v="95"/>
    <x v="226"/>
    <x v="121"/>
    <x v="206"/>
    <x v="1"/>
  </r>
  <r>
    <x v="0"/>
    <x v="13"/>
    <x v="13"/>
    <x v="5"/>
    <x v="5"/>
    <x v="5"/>
    <x v="9"/>
    <x v="170"/>
    <x v="222"/>
    <x v="90"/>
    <x v="227"/>
    <x v="122"/>
    <x v="207"/>
    <x v="1"/>
  </r>
  <r>
    <x v="0"/>
    <x v="13"/>
    <x v="13"/>
    <x v="10"/>
    <x v="10"/>
    <x v="10"/>
    <x v="10"/>
    <x v="171"/>
    <x v="223"/>
    <x v="79"/>
    <x v="213"/>
    <x v="123"/>
    <x v="208"/>
    <x v="1"/>
  </r>
  <r>
    <x v="0"/>
    <x v="13"/>
    <x v="13"/>
    <x v="19"/>
    <x v="19"/>
    <x v="19"/>
    <x v="11"/>
    <x v="69"/>
    <x v="224"/>
    <x v="106"/>
    <x v="33"/>
    <x v="111"/>
    <x v="209"/>
    <x v="1"/>
  </r>
  <r>
    <x v="0"/>
    <x v="13"/>
    <x v="13"/>
    <x v="7"/>
    <x v="7"/>
    <x v="7"/>
    <x v="12"/>
    <x v="172"/>
    <x v="225"/>
    <x v="71"/>
    <x v="82"/>
    <x v="103"/>
    <x v="210"/>
    <x v="1"/>
  </r>
  <r>
    <x v="0"/>
    <x v="13"/>
    <x v="13"/>
    <x v="11"/>
    <x v="11"/>
    <x v="11"/>
    <x v="12"/>
    <x v="172"/>
    <x v="225"/>
    <x v="120"/>
    <x v="29"/>
    <x v="83"/>
    <x v="211"/>
    <x v="1"/>
  </r>
  <r>
    <x v="0"/>
    <x v="13"/>
    <x v="13"/>
    <x v="16"/>
    <x v="16"/>
    <x v="16"/>
    <x v="14"/>
    <x v="135"/>
    <x v="226"/>
    <x v="104"/>
    <x v="228"/>
    <x v="110"/>
    <x v="212"/>
    <x v="1"/>
  </r>
  <r>
    <x v="0"/>
    <x v="13"/>
    <x v="13"/>
    <x v="12"/>
    <x v="12"/>
    <x v="12"/>
    <x v="15"/>
    <x v="136"/>
    <x v="227"/>
    <x v="95"/>
    <x v="226"/>
    <x v="49"/>
    <x v="213"/>
    <x v="5"/>
  </r>
  <r>
    <x v="0"/>
    <x v="13"/>
    <x v="13"/>
    <x v="14"/>
    <x v="14"/>
    <x v="14"/>
    <x v="16"/>
    <x v="144"/>
    <x v="228"/>
    <x v="106"/>
    <x v="33"/>
    <x v="110"/>
    <x v="212"/>
    <x v="1"/>
  </r>
  <r>
    <x v="0"/>
    <x v="13"/>
    <x v="13"/>
    <x v="23"/>
    <x v="23"/>
    <x v="23"/>
    <x v="17"/>
    <x v="58"/>
    <x v="54"/>
    <x v="114"/>
    <x v="36"/>
    <x v="65"/>
    <x v="205"/>
    <x v="1"/>
  </r>
  <r>
    <x v="0"/>
    <x v="13"/>
    <x v="13"/>
    <x v="21"/>
    <x v="21"/>
    <x v="21"/>
    <x v="18"/>
    <x v="73"/>
    <x v="229"/>
    <x v="111"/>
    <x v="229"/>
    <x v="27"/>
    <x v="214"/>
    <x v="1"/>
  </r>
  <r>
    <x v="0"/>
    <x v="13"/>
    <x v="13"/>
    <x v="18"/>
    <x v="18"/>
    <x v="18"/>
    <x v="19"/>
    <x v="74"/>
    <x v="195"/>
    <x v="73"/>
    <x v="68"/>
    <x v="92"/>
    <x v="215"/>
    <x v="1"/>
  </r>
  <r>
    <x v="0"/>
    <x v="14"/>
    <x v="14"/>
    <x v="1"/>
    <x v="1"/>
    <x v="1"/>
    <x v="0"/>
    <x v="173"/>
    <x v="230"/>
    <x v="137"/>
    <x v="230"/>
    <x v="49"/>
    <x v="216"/>
    <x v="1"/>
  </r>
  <r>
    <x v="0"/>
    <x v="14"/>
    <x v="14"/>
    <x v="0"/>
    <x v="0"/>
    <x v="0"/>
    <x v="1"/>
    <x v="106"/>
    <x v="231"/>
    <x v="42"/>
    <x v="231"/>
    <x v="79"/>
    <x v="217"/>
    <x v="1"/>
  </r>
  <r>
    <x v="0"/>
    <x v="14"/>
    <x v="14"/>
    <x v="2"/>
    <x v="2"/>
    <x v="2"/>
    <x v="2"/>
    <x v="49"/>
    <x v="232"/>
    <x v="57"/>
    <x v="232"/>
    <x v="93"/>
    <x v="218"/>
    <x v="1"/>
  </r>
  <r>
    <x v="0"/>
    <x v="14"/>
    <x v="14"/>
    <x v="6"/>
    <x v="6"/>
    <x v="6"/>
    <x v="3"/>
    <x v="174"/>
    <x v="233"/>
    <x v="138"/>
    <x v="233"/>
    <x v="79"/>
    <x v="217"/>
    <x v="1"/>
  </r>
  <r>
    <x v="0"/>
    <x v="14"/>
    <x v="14"/>
    <x v="3"/>
    <x v="3"/>
    <x v="3"/>
    <x v="4"/>
    <x v="175"/>
    <x v="234"/>
    <x v="127"/>
    <x v="234"/>
    <x v="124"/>
    <x v="219"/>
    <x v="1"/>
  </r>
  <r>
    <x v="0"/>
    <x v="14"/>
    <x v="14"/>
    <x v="5"/>
    <x v="5"/>
    <x v="5"/>
    <x v="5"/>
    <x v="176"/>
    <x v="235"/>
    <x v="139"/>
    <x v="235"/>
    <x v="37"/>
    <x v="174"/>
    <x v="1"/>
  </r>
  <r>
    <x v="0"/>
    <x v="14"/>
    <x v="14"/>
    <x v="4"/>
    <x v="4"/>
    <x v="4"/>
    <x v="6"/>
    <x v="110"/>
    <x v="5"/>
    <x v="70"/>
    <x v="236"/>
    <x v="52"/>
    <x v="220"/>
    <x v="1"/>
  </r>
  <r>
    <x v="0"/>
    <x v="14"/>
    <x v="14"/>
    <x v="10"/>
    <x v="10"/>
    <x v="10"/>
    <x v="7"/>
    <x v="177"/>
    <x v="236"/>
    <x v="58"/>
    <x v="237"/>
    <x v="111"/>
    <x v="221"/>
    <x v="1"/>
  </r>
  <r>
    <x v="0"/>
    <x v="14"/>
    <x v="14"/>
    <x v="11"/>
    <x v="11"/>
    <x v="11"/>
    <x v="8"/>
    <x v="88"/>
    <x v="101"/>
    <x v="105"/>
    <x v="238"/>
    <x v="44"/>
    <x v="222"/>
    <x v="1"/>
  </r>
  <r>
    <x v="0"/>
    <x v="14"/>
    <x v="14"/>
    <x v="9"/>
    <x v="9"/>
    <x v="9"/>
    <x v="9"/>
    <x v="120"/>
    <x v="177"/>
    <x v="77"/>
    <x v="239"/>
    <x v="105"/>
    <x v="223"/>
    <x v="1"/>
  </r>
  <r>
    <x v="0"/>
    <x v="14"/>
    <x v="14"/>
    <x v="14"/>
    <x v="14"/>
    <x v="14"/>
    <x v="10"/>
    <x v="103"/>
    <x v="237"/>
    <x v="106"/>
    <x v="240"/>
    <x v="51"/>
    <x v="46"/>
    <x v="1"/>
  </r>
  <r>
    <x v="0"/>
    <x v="14"/>
    <x v="14"/>
    <x v="7"/>
    <x v="7"/>
    <x v="7"/>
    <x v="11"/>
    <x v="56"/>
    <x v="238"/>
    <x v="69"/>
    <x v="241"/>
    <x v="103"/>
    <x v="150"/>
    <x v="1"/>
  </r>
  <r>
    <x v="0"/>
    <x v="14"/>
    <x v="14"/>
    <x v="8"/>
    <x v="8"/>
    <x v="8"/>
    <x v="12"/>
    <x v="104"/>
    <x v="239"/>
    <x v="70"/>
    <x v="236"/>
    <x v="103"/>
    <x v="150"/>
    <x v="1"/>
  </r>
  <r>
    <x v="0"/>
    <x v="14"/>
    <x v="14"/>
    <x v="36"/>
    <x v="36"/>
    <x v="36"/>
    <x v="13"/>
    <x v="116"/>
    <x v="240"/>
    <x v="86"/>
    <x v="19"/>
    <x v="56"/>
    <x v="47"/>
    <x v="1"/>
  </r>
  <r>
    <x v="0"/>
    <x v="14"/>
    <x v="14"/>
    <x v="12"/>
    <x v="12"/>
    <x v="12"/>
    <x v="14"/>
    <x v="92"/>
    <x v="193"/>
    <x v="56"/>
    <x v="242"/>
    <x v="72"/>
    <x v="224"/>
    <x v="1"/>
  </r>
  <r>
    <x v="0"/>
    <x v="14"/>
    <x v="14"/>
    <x v="19"/>
    <x v="19"/>
    <x v="19"/>
    <x v="15"/>
    <x v="124"/>
    <x v="35"/>
    <x v="111"/>
    <x v="243"/>
    <x v="70"/>
    <x v="225"/>
    <x v="1"/>
  </r>
  <r>
    <x v="0"/>
    <x v="14"/>
    <x v="14"/>
    <x v="24"/>
    <x v="24"/>
    <x v="24"/>
    <x v="15"/>
    <x v="124"/>
    <x v="35"/>
    <x v="110"/>
    <x v="244"/>
    <x v="81"/>
    <x v="101"/>
    <x v="1"/>
  </r>
  <r>
    <x v="0"/>
    <x v="14"/>
    <x v="14"/>
    <x v="17"/>
    <x v="17"/>
    <x v="17"/>
    <x v="17"/>
    <x v="148"/>
    <x v="241"/>
    <x v="110"/>
    <x v="244"/>
    <x v="109"/>
    <x v="226"/>
    <x v="1"/>
  </r>
  <r>
    <x v="0"/>
    <x v="14"/>
    <x v="14"/>
    <x v="23"/>
    <x v="23"/>
    <x v="23"/>
    <x v="18"/>
    <x v="125"/>
    <x v="73"/>
    <x v="129"/>
    <x v="245"/>
    <x v="69"/>
    <x v="227"/>
    <x v="1"/>
  </r>
  <r>
    <x v="0"/>
    <x v="14"/>
    <x v="14"/>
    <x v="30"/>
    <x v="30"/>
    <x v="30"/>
    <x v="19"/>
    <x v="126"/>
    <x v="57"/>
    <x v="96"/>
    <x v="106"/>
    <x v="103"/>
    <x v="150"/>
    <x v="1"/>
  </r>
  <r>
    <x v="0"/>
    <x v="14"/>
    <x v="14"/>
    <x v="18"/>
    <x v="18"/>
    <x v="18"/>
    <x v="19"/>
    <x v="126"/>
    <x v="57"/>
    <x v="58"/>
    <x v="237"/>
    <x v="98"/>
    <x v="228"/>
    <x v="1"/>
  </r>
  <r>
    <x v="0"/>
    <x v="15"/>
    <x v="15"/>
    <x v="2"/>
    <x v="2"/>
    <x v="2"/>
    <x v="0"/>
    <x v="83"/>
    <x v="242"/>
    <x v="35"/>
    <x v="246"/>
    <x v="125"/>
    <x v="229"/>
    <x v="1"/>
  </r>
  <r>
    <x v="0"/>
    <x v="15"/>
    <x v="15"/>
    <x v="5"/>
    <x v="5"/>
    <x v="5"/>
    <x v="1"/>
    <x v="156"/>
    <x v="243"/>
    <x v="140"/>
    <x v="247"/>
    <x v="54"/>
    <x v="230"/>
    <x v="1"/>
  </r>
  <r>
    <x v="0"/>
    <x v="15"/>
    <x v="15"/>
    <x v="1"/>
    <x v="1"/>
    <x v="1"/>
    <x v="2"/>
    <x v="89"/>
    <x v="244"/>
    <x v="44"/>
    <x v="248"/>
    <x v="64"/>
    <x v="6"/>
    <x v="1"/>
  </r>
  <r>
    <x v="0"/>
    <x v="15"/>
    <x v="15"/>
    <x v="13"/>
    <x v="13"/>
    <x v="13"/>
    <x v="3"/>
    <x v="57"/>
    <x v="245"/>
    <x v="108"/>
    <x v="249"/>
    <x v="109"/>
    <x v="196"/>
    <x v="1"/>
  </r>
  <r>
    <x v="0"/>
    <x v="15"/>
    <x v="15"/>
    <x v="0"/>
    <x v="0"/>
    <x v="0"/>
    <x v="3"/>
    <x v="57"/>
    <x v="245"/>
    <x v="126"/>
    <x v="250"/>
    <x v="101"/>
    <x v="231"/>
    <x v="1"/>
  </r>
  <r>
    <x v="0"/>
    <x v="15"/>
    <x v="15"/>
    <x v="3"/>
    <x v="3"/>
    <x v="3"/>
    <x v="5"/>
    <x v="178"/>
    <x v="246"/>
    <x v="82"/>
    <x v="251"/>
    <x v="69"/>
    <x v="232"/>
    <x v="1"/>
  </r>
  <r>
    <x v="0"/>
    <x v="15"/>
    <x v="15"/>
    <x v="8"/>
    <x v="8"/>
    <x v="8"/>
    <x v="6"/>
    <x v="138"/>
    <x v="83"/>
    <x v="72"/>
    <x v="252"/>
    <x v="44"/>
    <x v="233"/>
    <x v="1"/>
  </r>
  <r>
    <x v="0"/>
    <x v="15"/>
    <x v="15"/>
    <x v="10"/>
    <x v="10"/>
    <x v="10"/>
    <x v="7"/>
    <x v="118"/>
    <x v="68"/>
    <x v="58"/>
    <x v="253"/>
    <x v="96"/>
    <x v="234"/>
    <x v="1"/>
  </r>
  <r>
    <x v="0"/>
    <x v="15"/>
    <x v="15"/>
    <x v="29"/>
    <x v="29"/>
    <x v="29"/>
    <x v="8"/>
    <x v="124"/>
    <x v="247"/>
    <x v="116"/>
    <x v="254"/>
    <x v="109"/>
    <x v="196"/>
    <x v="1"/>
  </r>
  <r>
    <x v="0"/>
    <x v="15"/>
    <x v="15"/>
    <x v="6"/>
    <x v="6"/>
    <x v="6"/>
    <x v="8"/>
    <x v="124"/>
    <x v="247"/>
    <x v="97"/>
    <x v="255"/>
    <x v="98"/>
    <x v="235"/>
    <x v="1"/>
  </r>
  <r>
    <x v="0"/>
    <x v="15"/>
    <x v="15"/>
    <x v="32"/>
    <x v="32"/>
    <x v="32"/>
    <x v="10"/>
    <x v="159"/>
    <x v="248"/>
    <x v="107"/>
    <x v="85"/>
    <x v="109"/>
    <x v="196"/>
    <x v="1"/>
  </r>
  <r>
    <x v="0"/>
    <x v="15"/>
    <x v="15"/>
    <x v="16"/>
    <x v="16"/>
    <x v="16"/>
    <x v="11"/>
    <x v="125"/>
    <x v="249"/>
    <x v="107"/>
    <x v="85"/>
    <x v="92"/>
    <x v="236"/>
    <x v="1"/>
  </r>
  <r>
    <x v="0"/>
    <x v="15"/>
    <x v="15"/>
    <x v="7"/>
    <x v="7"/>
    <x v="7"/>
    <x v="11"/>
    <x v="125"/>
    <x v="249"/>
    <x v="58"/>
    <x v="253"/>
    <x v="107"/>
    <x v="237"/>
    <x v="1"/>
  </r>
  <r>
    <x v="0"/>
    <x v="15"/>
    <x v="15"/>
    <x v="12"/>
    <x v="12"/>
    <x v="12"/>
    <x v="13"/>
    <x v="128"/>
    <x v="165"/>
    <x v="107"/>
    <x v="85"/>
    <x v="107"/>
    <x v="237"/>
    <x v="1"/>
  </r>
  <r>
    <x v="0"/>
    <x v="15"/>
    <x v="15"/>
    <x v="37"/>
    <x v="37"/>
    <x v="37"/>
    <x v="14"/>
    <x v="140"/>
    <x v="166"/>
    <x v="111"/>
    <x v="31"/>
    <x v="96"/>
    <x v="234"/>
    <x v="1"/>
  </r>
  <r>
    <x v="0"/>
    <x v="15"/>
    <x v="15"/>
    <x v="27"/>
    <x v="27"/>
    <x v="27"/>
    <x v="15"/>
    <x v="154"/>
    <x v="105"/>
    <x v="114"/>
    <x v="256"/>
    <x v="107"/>
    <x v="237"/>
    <x v="1"/>
  </r>
  <r>
    <x v="0"/>
    <x v="15"/>
    <x v="15"/>
    <x v="9"/>
    <x v="9"/>
    <x v="9"/>
    <x v="15"/>
    <x v="154"/>
    <x v="105"/>
    <x v="56"/>
    <x v="257"/>
    <x v="126"/>
    <x v="238"/>
    <x v="1"/>
  </r>
  <r>
    <x v="0"/>
    <x v="15"/>
    <x v="15"/>
    <x v="14"/>
    <x v="14"/>
    <x v="14"/>
    <x v="17"/>
    <x v="129"/>
    <x v="167"/>
    <x v="111"/>
    <x v="31"/>
    <x v="99"/>
    <x v="35"/>
    <x v="1"/>
  </r>
  <r>
    <x v="0"/>
    <x v="15"/>
    <x v="15"/>
    <x v="19"/>
    <x v="19"/>
    <x v="19"/>
    <x v="18"/>
    <x v="130"/>
    <x v="108"/>
    <x v="111"/>
    <x v="31"/>
    <x v="64"/>
    <x v="6"/>
    <x v="1"/>
  </r>
  <r>
    <x v="0"/>
    <x v="15"/>
    <x v="15"/>
    <x v="18"/>
    <x v="18"/>
    <x v="18"/>
    <x v="19"/>
    <x v="132"/>
    <x v="124"/>
    <x v="111"/>
    <x v="31"/>
    <x v="108"/>
    <x v="239"/>
    <x v="1"/>
  </r>
  <r>
    <x v="0"/>
    <x v="16"/>
    <x v="16"/>
    <x v="4"/>
    <x v="4"/>
    <x v="4"/>
    <x v="0"/>
    <x v="179"/>
    <x v="250"/>
    <x v="91"/>
    <x v="258"/>
    <x v="95"/>
    <x v="240"/>
    <x v="1"/>
  </r>
  <r>
    <x v="0"/>
    <x v="16"/>
    <x v="16"/>
    <x v="1"/>
    <x v="1"/>
    <x v="1"/>
    <x v="1"/>
    <x v="180"/>
    <x v="251"/>
    <x v="134"/>
    <x v="259"/>
    <x v="64"/>
    <x v="52"/>
    <x v="1"/>
  </r>
  <r>
    <x v="0"/>
    <x v="16"/>
    <x v="16"/>
    <x v="0"/>
    <x v="0"/>
    <x v="0"/>
    <x v="2"/>
    <x v="177"/>
    <x v="252"/>
    <x v="138"/>
    <x v="260"/>
    <x v="102"/>
    <x v="11"/>
    <x v="1"/>
  </r>
  <r>
    <x v="0"/>
    <x v="16"/>
    <x v="16"/>
    <x v="2"/>
    <x v="2"/>
    <x v="2"/>
    <x v="3"/>
    <x v="151"/>
    <x v="253"/>
    <x v="55"/>
    <x v="261"/>
    <x v="38"/>
    <x v="241"/>
    <x v="1"/>
  </r>
  <r>
    <x v="0"/>
    <x v="16"/>
    <x v="16"/>
    <x v="3"/>
    <x v="3"/>
    <x v="3"/>
    <x v="3"/>
    <x v="151"/>
    <x v="253"/>
    <x v="83"/>
    <x v="262"/>
    <x v="50"/>
    <x v="124"/>
    <x v="1"/>
  </r>
  <r>
    <x v="0"/>
    <x v="16"/>
    <x v="16"/>
    <x v="5"/>
    <x v="5"/>
    <x v="5"/>
    <x v="5"/>
    <x v="153"/>
    <x v="43"/>
    <x v="116"/>
    <x v="263"/>
    <x v="85"/>
    <x v="242"/>
    <x v="1"/>
  </r>
  <r>
    <x v="0"/>
    <x v="16"/>
    <x v="16"/>
    <x v="6"/>
    <x v="6"/>
    <x v="6"/>
    <x v="6"/>
    <x v="146"/>
    <x v="254"/>
    <x v="82"/>
    <x v="264"/>
    <x v="81"/>
    <x v="1"/>
    <x v="5"/>
  </r>
  <r>
    <x v="0"/>
    <x v="16"/>
    <x v="16"/>
    <x v="9"/>
    <x v="9"/>
    <x v="9"/>
    <x v="6"/>
    <x v="146"/>
    <x v="254"/>
    <x v="98"/>
    <x v="265"/>
    <x v="98"/>
    <x v="243"/>
    <x v="1"/>
  </r>
  <r>
    <x v="0"/>
    <x v="16"/>
    <x v="16"/>
    <x v="8"/>
    <x v="8"/>
    <x v="8"/>
    <x v="8"/>
    <x v="181"/>
    <x v="255"/>
    <x v="57"/>
    <x v="266"/>
    <x v="96"/>
    <x v="168"/>
    <x v="1"/>
  </r>
  <r>
    <x v="0"/>
    <x v="16"/>
    <x v="16"/>
    <x v="13"/>
    <x v="13"/>
    <x v="13"/>
    <x v="9"/>
    <x v="118"/>
    <x v="104"/>
    <x v="107"/>
    <x v="267"/>
    <x v="81"/>
    <x v="1"/>
    <x v="1"/>
  </r>
  <r>
    <x v="0"/>
    <x v="16"/>
    <x v="16"/>
    <x v="11"/>
    <x v="11"/>
    <x v="11"/>
    <x v="10"/>
    <x v="124"/>
    <x v="163"/>
    <x v="56"/>
    <x v="268"/>
    <x v="96"/>
    <x v="168"/>
    <x v="1"/>
  </r>
  <r>
    <x v="0"/>
    <x v="16"/>
    <x v="16"/>
    <x v="10"/>
    <x v="10"/>
    <x v="10"/>
    <x v="11"/>
    <x v="159"/>
    <x v="256"/>
    <x v="86"/>
    <x v="23"/>
    <x v="70"/>
    <x v="62"/>
    <x v="1"/>
  </r>
  <r>
    <x v="0"/>
    <x v="16"/>
    <x v="16"/>
    <x v="14"/>
    <x v="14"/>
    <x v="14"/>
    <x v="12"/>
    <x v="148"/>
    <x v="257"/>
    <x v="112"/>
    <x v="269"/>
    <x v="106"/>
    <x v="244"/>
    <x v="1"/>
  </r>
  <r>
    <x v="0"/>
    <x v="16"/>
    <x v="16"/>
    <x v="16"/>
    <x v="16"/>
    <x v="16"/>
    <x v="13"/>
    <x v="126"/>
    <x v="258"/>
    <x v="111"/>
    <x v="270"/>
    <x v="100"/>
    <x v="245"/>
    <x v="1"/>
  </r>
  <r>
    <x v="0"/>
    <x v="16"/>
    <x v="16"/>
    <x v="7"/>
    <x v="7"/>
    <x v="7"/>
    <x v="14"/>
    <x v="127"/>
    <x v="259"/>
    <x v="116"/>
    <x v="263"/>
    <x v="64"/>
    <x v="52"/>
    <x v="1"/>
  </r>
  <r>
    <x v="0"/>
    <x v="16"/>
    <x v="16"/>
    <x v="19"/>
    <x v="19"/>
    <x v="19"/>
    <x v="15"/>
    <x v="140"/>
    <x v="108"/>
    <x v="117"/>
    <x v="271"/>
    <x v="81"/>
    <x v="1"/>
    <x v="1"/>
  </r>
  <r>
    <x v="0"/>
    <x v="16"/>
    <x v="16"/>
    <x v="18"/>
    <x v="18"/>
    <x v="18"/>
    <x v="15"/>
    <x v="140"/>
    <x v="108"/>
    <x v="107"/>
    <x v="267"/>
    <x v="108"/>
    <x v="131"/>
    <x v="1"/>
  </r>
  <r>
    <x v="0"/>
    <x v="16"/>
    <x v="16"/>
    <x v="36"/>
    <x v="36"/>
    <x v="36"/>
    <x v="17"/>
    <x v="129"/>
    <x v="260"/>
    <x v="96"/>
    <x v="106"/>
    <x v="106"/>
    <x v="244"/>
    <x v="1"/>
  </r>
  <r>
    <x v="0"/>
    <x v="16"/>
    <x v="16"/>
    <x v="17"/>
    <x v="17"/>
    <x v="17"/>
    <x v="18"/>
    <x v="131"/>
    <x v="36"/>
    <x v="117"/>
    <x v="271"/>
    <x v="92"/>
    <x v="102"/>
    <x v="1"/>
  </r>
  <r>
    <x v="0"/>
    <x v="16"/>
    <x v="16"/>
    <x v="22"/>
    <x v="22"/>
    <x v="22"/>
    <x v="18"/>
    <x v="131"/>
    <x v="36"/>
    <x v="85"/>
    <x v="272"/>
    <x v="109"/>
    <x v="205"/>
    <x v="1"/>
  </r>
  <r>
    <x v="0"/>
    <x v="17"/>
    <x v="17"/>
    <x v="0"/>
    <x v="0"/>
    <x v="0"/>
    <x v="0"/>
    <x v="49"/>
    <x v="261"/>
    <x v="141"/>
    <x v="273"/>
    <x v="99"/>
    <x v="56"/>
    <x v="1"/>
  </r>
  <r>
    <x v="0"/>
    <x v="17"/>
    <x v="17"/>
    <x v="1"/>
    <x v="1"/>
    <x v="1"/>
    <x v="1"/>
    <x v="180"/>
    <x v="38"/>
    <x v="142"/>
    <x v="274"/>
    <x v="99"/>
    <x v="56"/>
    <x v="1"/>
  </r>
  <r>
    <x v="0"/>
    <x v="17"/>
    <x v="17"/>
    <x v="3"/>
    <x v="3"/>
    <x v="3"/>
    <x v="2"/>
    <x v="86"/>
    <x v="262"/>
    <x v="51"/>
    <x v="275"/>
    <x v="54"/>
    <x v="246"/>
    <x v="1"/>
  </r>
  <r>
    <x v="0"/>
    <x v="17"/>
    <x v="17"/>
    <x v="2"/>
    <x v="2"/>
    <x v="2"/>
    <x v="3"/>
    <x v="144"/>
    <x v="263"/>
    <x v="53"/>
    <x v="276"/>
    <x v="65"/>
    <x v="247"/>
    <x v="1"/>
  </r>
  <r>
    <x v="0"/>
    <x v="17"/>
    <x v="17"/>
    <x v="6"/>
    <x v="6"/>
    <x v="6"/>
    <x v="4"/>
    <x v="72"/>
    <x v="264"/>
    <x v="90"/>
    <x v="277"/>
    <x v="108"/>
    <x v="248"/>
    <x v="1"/>
  </r>
  <r>
    <x v="0"/>
    <x v="17"/>
    <x v="17"/>
    <x v="7"/>
    <x v="7"/>
    <x v="7"/>
    <x v="5"/>
    <x v="58"/>
    <x v="265"/>
    <x v="128"/>
    <x v="249"/>
    <x v="102"/>
    <x v="249"/>
    <x v="1"/>
  </r>
  <r>
    <x v="0"/>
    <x v="17"/>
    <x v="17"/>
    <x v="9"/>
    <x v="9"/>
    <x v="9"/>
    <x v="6"/>
    <x v="146"/>
    <x v="266"/>
    <x v="38"/>
    <x v="278"/>
    <x v="105"/>
    <x v="181"/>
    <x v="1"/>
  </r>
  <r>
    <x v="0"/>
    <x v="17"/>
    <x v="17"/>
    <x v="5"/>
    <x v="5"/>
    <x v="5"/>
    <x v="7"/>
    <x v="182"/>
    <x v="267"/>
    <x v="83"/>
    <x v="279"/>
    <x v="81"/>
    <x v="250"/>
    <x v="1"/>
  </r>
  <r>
    <x v="0"/>
    <x v="17"/>
    <x v="17"/>
    <x v="25"/>
    <x v="25"/>
    <x v="25"/>
    <x v="8"/>
    <x v="122"/>
    <x v="268"/>
    <x v="74"/>
    <x v="5"/>
    <x v="98"/>
    <x v="143"/>
    <x v="1"/>
  </r>
  <r>
    <x v="0"/>
    <x v="17"/>
    <x v="17"/>
    <x v="8"/>
    <x v="8"/>
    <x v="8"/>
    <x v="9"/>
    <x v="139"/>
    <x v="255"/>
    <x v="37"/>
    <x v="217"/>
    <x v="109"/>
    <x v="251"/>
    <x v="1"/>
  </r>
  <r>
    <x v="0"/>
    <x v="17"/>
    <x v="17"/>
    <x v="14"/>
    <x v="14"/>
    <x v="14"/>
    <x v="10"/>
    <x v="159"/>
    <x v="239"/>
    <x v="86"/>
    <x v="280"/>
    <x v="69"/>
    <x v="252"/>
    <x v="1"/>
  </r>
  <r>
    <x v="0"/>
    <x v="17"/>
    <x v="17"/>
    <x v="12"/>
    <x v="12"/>
    <x v="12"/>
    <x v="11"/>
    <x v="125"/>
    <x v="269"/>
    <x v="87"/>
    <x v="281"/>
    <x v="108"/>
    <x v="248"/>
    <x v="1"/>
  </r>
  <r>
    <x v="0"/>
    <x v="17"/>
    <x v="17"/>
    <x v="10"/>
    <x v="10"/>
    <x v="10"/>
    <x v="12"/>
    <x v="126"/>
    <x v="257"/>
    <x v="113"/>
    <x v="282"/>
    <x v="69"/>
    <x v="252"/>
    <x v="1"/>
  </r>
  <r>
    <x v="0"/>
    <x v="17"/>
    <x v="17"/>
    <x v="4"/>
    <x v="4"/>
    <x v="4"/>
    <x v="13"/>
    <x v="130"/>
    <x v="34"/>
    <x v="109"/>
    <x v="283"/>
    <x v="108"/>
    <x v="248"/>
    <x v="1"/>
  </r>
  <r>
    <x v="0"/>
    <x v="17"/>
    <x v="17"/>
    <x v="26"/>
    <x v="26"/>
    <x v="26"/>
    <x v="14"/>
    <x v="131"/>
    <x v="229"/>
    <x v="129"/>
    <x v="51"/>
    <x v="99"/>
    <x v="56"/>
    <x v="1"/>
  </r>
  <r>
    <x v="0"/>
    <x v="17"/>
    <x v="17"/>
    <x v="11"/>
    <x v="11"/>
    <x v="11"/>
    <x v="14"/>
    <x v="131"/>
    <x v="229"/>
    <x v="110"/>
    <x v="284"/>
    <x v="90"/>
    <x v="253"/>
    <x v="1"/>
  </r>
  <r>
    <x v="0"/>
    <x v="17"/>
    <x v="17"/>
    <x v="27"/>
    <x v="27"/>
    <x v="27"/>
    <x v="16"/>
    <x v="183"/>
    <x v="73"/>
    <x v="112"/>
    <x v="52"/>
    <x v="101"/>
    <x v="254"/>
    <x v="1"/>
  </r>
  <r>
    <x v="0"/>
    <x v="17"/>
    <x v="17"/>
    <x v="16"/>
    <x v="16"/>
    <x v="16"/>
    <x v="16"/>
    <x v="183"/>
    <x v="73"/>
    <x v="86"/>
    <x v="280"/>
    <x v="108"/>
    <x v="248"/>
    <x v="1"/>
  </r>
  <r>
    <x v="0"/>
    <x v="17"/>
    <x v="17"/>
    <x v="30"/>
    <x v="30"/>
    <x v="30"/>
    <x v="16"/>
    <x v="183"/>
    <x v="73"/>
    <x v="96"/>
    <x v="106"/>
    <x v="64"/>
    <x v="255"/>
    <x v="1"/>
  </r>
  <r>
    <x v="0"/>
    <x v="17"/>
    <x v="17"/>
    <x v="17"/>
    <x v="17"/>
    <x v="17"/>
    <x v="19"/>
    <x v="184"/>
    <x v="211"/>
    <x v="113"/>
    <x v="282"/>
    <x v="108"/>
    <x v="248"/>
    <x v="1"/>
  </r>
  <r>
    <x v="0"/>
    <x v="18"/>
    <x v="18"/>
    <x v="2"/>
    <x v="2"/>
    <x v="2"/>
    <x v="0"/>
    <x v="102"/>
    <x v="270"/>
    <x v="97"/>
    <x v="196"/>
    <x v="111"/>
    <x v="256"/>
    <x v="1"/>
  </r>
  <r>
    <x v="0"/>
    <x v="18"/>
    <x v="18"/>
    <x v="0"/>
    <x v="0"/>
    <x v="0"/>
    <x v="1"/>
    <x v="151"/>
    <x v="271"/>
    <x v="143"/>
    <x v="285"/>
    <x v="107"/>
    <x v="257"/>
    <x v="1"/>
  </r>
  <r>
    <x v="0"/>
    <x v="18"/>
    <x v="18"/>
    <x v="1"/>
    <x v="1"/>
    <x v="1"/>
    <x v="2"/>
    <x v="120"/>
    <x v="272"/>
    <x v="44"/>
    <x v="286"/>
    <x v="109"/>
    <x v="62"/>
    <x v="1"/>
  </r>
  <r>
    <x v="0"/>
    <x v="18"/>
    <x v="18"/>
    <x v="5"/>
    <x v="5"/>
    <x v="5"/>
    <x v="3"/>
    <x v="158"/>
    <x v="273"/>
    <x v="57"/>
    <x v="287"/>
    <x v="91"/>
    <x v="258"/>
    <x v="1"/>
  </r>
  <r>
    <x v="0"/>
    <x v="18"/>
    <x v="18"/>
    <x v="12"/>
    <x v="12"/>
    <x v="12"/>
    <x v="4"/>
    <x v="91"/>
    <x v="159"/>
    <x v="86"/>
    <x v="155"/>
    <x v="97"/>
    <x v="259"/>
    <x v="1"/>
  </r>
  <r>
    <x v="0"/>
    <x v="18"/>
    <x v="18"/>
    <x v="3"/>
    <x v="3"/>
    <x v="3"/>
    <x v="4"/>
    <x v="91"/>
    <x v="159"/>
    <x v="107"/>
    <x v="288"/>
    <x v="103"/>
    <x v="260"/>
    <x v="1"/>
  </r>
  <r>
    <x v="0"/>
    <x v="18"/>
    <x v="18"/>
    <x v="8"/>
    <x v="8"/>
    <x v="8"/>
    <x v="6"/>
    <x v="117"/>
    <x v="190"/>
    <x v="58"/>
    <x v="65"/>
    <x v="44"/>
    <x v="261"/>
    <x v="1"/>
  </r>
  <r>
    <x v="0"/>
    <x v="18"/>
    <x v="18"/>
    <x v="10"/>
    <x v="10"/>
    <x v="10"/>
    <x v="7"/>
    <x v="139"/>
    <x v="274"/>
    <x v="86"/>
    <x v="155"/>
    <x v="103"/>
    <x v="260"/>
    <x v="1"/>
  </r>
  <r>
    <x v="0"/>
    <x v="18"/>
    <x v="18"/>
    <x v="9"/>
    <x v="9"/>
    <x v="9"/>
    <x v="7"/>
    <x v="139"/>
    <x v="274"/>
    <x v="82"/>
    <x v="179"/>
    <x v="101"/>
    <x v="262"/>
    <x v="1"/>
  </r>
  <r>
    <x v="0"/>
    <x v="18"/>
    <x v="18"/>
    <x v="6"/>
    <x v="6"/>
    <x v="6"/>
    <x v="9"/>
    <x v="127"/>
    <x v="275"/>
    <x v="37"/>
    <x v="262"/>
    <x v="105"/>
    <x v="263"/>
    <x v="1"/>
  </r>
  <r>
    <x v="0"/>
    <x v="18"/>
    <x v="18"/>
    <x v="13"/>
    <x v="13"/>
    <x v="13"/>
    <x v="10"/>
    <x v="140"/>
    <x v="276"/>
    <x v="112"/>
    <x v="289"/>
    <x v="102"/>
    <x v="48"/>
    <x v="1"/>
  </r>
  <r>
    <x v="0"/>
    <x v="18"/>
    <x v="18"/>
    <x v="4"/>
    <x v="4"/>
    <x v="4"/>
    <x v="10"/>
    <x v="140"/>
    <x v="276"/>
    <x v="107"/>
    <x v="288"/>
    <x v="108"/>
    <x v="264"/>
    <x v="1"/>
  </r>
  <r>
    <x v="0"/>
    <x v="18"/>
    <x v="18"/>
    <x v="18"/>
    <x v="18"/>
    <x v="18"/>
    <x v="10"/>
    <x v="140"/>
    <x v="276"/>
    <x v="107"/>
    <x v="288"/>
    <x v="108"/>
    <x v="264"/>
    <x v="1"/>
  </r>
  <r>
    <x v="0"/>
    <x v="18"/>
    <x v="18"/>
    <x v="14"/>
    <x v="14"/>
    <x v="14"/>
    <x v="13"/>
    <x v="129"/>
    <x v="89"/>
    <x v="117"/>
    <x v="34"/>
    <x v="109"/>
    <x v="62"/>
    <x v="1"/>
  </r>
  <r>
    <x v="0"/>
    <x v="18"/>
    <x v="18"/>
    <x v="7"/>
    <x v="7"/>
    <x v="7"/>
    <x v="14"/>
    <x v="131"/>
    <x v="15"/>
    <x v="109"/>
    <x v="290"/>
    <x v="98"/>
    <x v="265"/>
    <x v="1"/>
  </r>
  <r>
    <x v="0"/>
    <x v="18"/>
    <x v="18"/>
    <x v="28"/>
    <x v="28"/>
    <x v="28"/>
    <x v="15"/>
    <x v="183"/>
    <x v="194"/>
    <x v="129"/>
    <x v="226"/>
    <x v="107"/>
    <x v="257"/>
    <x v="1"/>
  </r>
  <r>
    <x v="0"/>
    <x v="18"/>
    <x v="18"/>
    <x v="30"/>
    <x v="30"/>
    <x v="30"/>
    <x v="16"/>
    <x v="185"/>
    <x v="195"/>
    <x v="96"/>
    <x v="106"/>
    <x v="64"/>
    <x v="19"/>
    <x v="1"/>
  </r>
  <r>
    <x v="0"/>
    <x v="18"/>
    <x v="18"/>
    <x v="15"/>
    <x v="15"/>
    <x v="15"/>
    <x v="17"/>
    <x v="184"/>
    <x v="37"/>
    <x v="117"/>
    <x v="34"/>
    <x v="107"/>
    <x v="257"/>
    <x v="1"/>
  </r>
  <r>
    <x v="0"/>
    <x v="18"/>
    <x v="18"/>
    <x v="21"/>
    <x v="21"/>
    <x v="21"/>
    <x v="17"/>
    <x v="184"/>
    <x v="37"/>
    <x v="85"/>
    <x v="291"/>
    <x v="99"/>
    <x v="225"/>
    <x v="1"/>
  </r>
  <r>
    <x v="0"/>
    <x v="18"/>
    <x v="18"/>
    <x v="16"/>
    <x v="16"/>
    <x v="16"/>
    <x v="19"/>
    <x v="186"/>
    <x v="277"/>
    <x v="113"/>
    <x v="127"/>
    <x v="98"/>
    <x v="265"/>
    <x v="1"/>
  </r>
  <r>
    <x v="0"/>
    <x v="18"/>
    <x v="18"/>
    <x v="19"/>
    <x v="19"/>
    <x v="19"/>
    <x v="19"/>
    <x v="186"/>
    <x v="277"/>
    <x v="96"/>
    <x v="106"/>
    <x v="99"/>
    <x v="225"/>
    <x v="1"/>
  </r>
  <r>
    <x v="0"/>
    <x v="18"/>
    <x v="18"/>
    <x v="36"/>
    <x v="36"/>
    <x v="36"/>
    <x v="19"/>
    <x v="186"/>
    <x v="277"/>
    <x v="85"/>
    <x v="291"/>
    <x v="64"/>
    <x v="19"/>
    <x v="1"/>
  </r>
  <r>
    <x v="0"/>
    <x v="19"/>
    <x v="19"/>
    <x v="0"/>
    <x v="0"/>
    <x v="0"/>
    <x v="0"/>
    <x v="75"/>
    <x v="278"/>
    <x v="144"/>
    <x v="292"/>
    <x v="72"/>
    <x v="50"/>
    <x v="5"/>
  </r>
  <r>
    <x v="0"/>
    <x v="19"/>
    <x v="19"/>
    <x v="2"/>
    <x v="2"/>
    <x v="2"/>
    <x v="1"/>
    <x v="78"/>
    <x v="279"/>
    <x v="94"/>
    <x v="293"/>
    <x v="127"/>
    <x v="266"/>
    <x v="1"/>
  </r>
  <r>
    <x v="0"/>
    <x v="19"/>
    <x v="19"/>
    <x v="1"/>
    <x v="1"/>
    <x v="1"/>
    <x v="1"/>
    <x v="78"/>
    <x v="279"/>
    <x v="145"/>
    <x v="97"/>
    <x v="64"/>
    <x v="235"/>
    <x v="1"/>
  </r>
  <r>
    <x v="0"/>
    <x v="19"/>
    <x v="19"/>
    <x v="3"/>
    <x v="3"/>
    <x v="3"/>
    <x v="3"/>
    <x v="167"/>
    <x v="280"/>
    <x v="142"/>
    <x v="294"/>
    <x v="128"/>
    <x v="267"/>
    <x v="1"/>
  </r>
  <r>
    <x v="0"/>
    <x v="19"/>
    <x v="19"/>
    <x v="5"/>
    <x v="5"/>
    <x v="5"/>
    <x v="4"/>
    <x v="67"/>
    <x v="63"/>
    <x v="146"/>
    <x v="223"/>
    <x v="91"/>
    <x v="268"/>
    <x v="1"/>
  </r>
  <r>
    <x v="0"/>
    <x v="19"/>
    <x v="19"/>
    <x v="7"/>
    <x v="7"/>
    <x v="7"/>
    <x v="5"/>
    <x v="110"/>
    <x v="42"/>
    <x v="47"/>
    <x v="295"/>
    <x v="106"/>
    <x v="147"/>
    <x v="1"/>
  </r>
  <r>
    <x v="0"/>
    <x v="19"/>
    <x v="19"/>
    <x v="25"/>
    <x v="25"/>
    <x v="25"/>
    <x v="6"/>
    <x v="85"/>
    <x v="281"/>
    <x v="147"/>
    <x v="296"/>
    <x v="72"/>
    <x v="50"/>
    <x v="8"/>
  </r>
  <r>
    <x v="0"/>
    <x v="19"/>
    <x v="19"/>
    <x v="6"/>
    <x v="6"/>
    <x v="6"/>
    <x v="7"/>
    <x v="172"/>
    <x v="282"/>
    <x v="127"/>
    <x v="163"/>
    <x v="108"/>
    <x v="108"/>
    <x v="1"/>
  </r>
  <r>
    <x v="0"/>
    <x v="19"/>
    <x v="19"/>
    <x v="10"/>
    <x v="10"/>
    <x v="10"/>
    <x v="8"/>
    <x v="187"/>
    <x v="283"/>
    <x v="82"/>
    <x v="68"/>
    <x v="56"/>
    <x v="269"/>
    <x v="1"/>
  </r>
  <r>
    <x v="0"/>
    <x v="19"/>
    <x v="19"/>
    <x v="9"/>
    <x v="9"/>
    <x v="9"/>
    <x v="9"/>
    <x v="57"/>
    <x v="249"/>
    <x v="44"/>
    <x v="297"/>
    <x v="105"/>
    <x v="270"/>
    <x v="1"/>
  </r>
  <r>
    <x v="0"/>
    <x v="19"/>
    <x v="19"/>
    <x v="12"/>
    <x v="12"/>
    <x v="12"/>
    <x v="10"/>
    <x v="74"/>
    <x v="284"/>
    <x v="79"/>
    <x v="32"/>
    <x v="109"/>
    <x v="69"/>
    <x v="1"/>
  </r>
  <r>
    <x v="0"/>
    <x v="19"/>
    <x v="19"/>
    <x v="8"/>
    <x v="8"/>
    <x v="8"/>
    <x v="11"/>
    <x v="115"/>
    <x v="285"/>
    <x v="83"/>
    <x v="298"/>
    <x v="106"/>
    <x v="147"/>
    <x v="1"/>
  </r>
  <r>
    <x v="0"/>
    <x v="19"/>
    <x v="19"/>
    <x v="4"/>
    <x v="4"/>
    <x v="4"/>
    <x v="12"/>
    <x v="91"/>
    <x v="71"/>
    <x v="87"/>
    <x v="270"/>
    <x v="106"/>
    <x v="147"/>
    <x v="1"/>
  </r>
  <r>
    <x v="0"/>
    <x v="19"/>
    <x v="19"/>
    <x v="26"/>
    <x v="26"/>
    <x v="26"/>
    <x v="13"/>
    <x v="92"/>
    <x v="286"/>
    <x v="97"/>
    <x v="105"/>
    <x v="100"/>
    <x v="35"/>
    <x v="1"/>
  </r>
  <r>
    <x v="0"/>
    <x v="19"/>
    <x v="19"/>
    <x v="11"/>
    <x v="11"/>
    <x v="11"/>
    <x v="14"/>
    <x v="117"/>
    <x v="53"/>
    <x v="72"/>
    <x v="299"/>
    <x v="101"/>
    <x v="271"/>
    <x v="1"/>
  </r>
  <r>
    <x v="0"/>
    <x v="19"/>
    <x v="19"/>
    <x v="14"/>
    <x v="14"/>
    <x v="14"/>
    <x v="14"/>
    <x v="117"/>
    <x v="53"/>
    <x v="56"/>
    <x v="190"/>
    <x v="44"/>
    <x v="272"/>
    <x v="1"/>
  </r>
  <r>
    <x v="0"/>
    <x v="19"/>
    <x v="19"/>
    <x v="16"/>
    <x v="16"/>
    <x v="16"/>
    <x v="16"/>
    <x v="124"/>
    <x v="182"/>
    <x v="116"/>
    <x v="300"/>
    <x v="109"/>
    <x v="69"/>
    <x v="1"/>
  </r>
  <r>
    <x v="0"/>
    <x v="19"/>
    <x v="19"/>
    <x v="28"/>
    <x v="28"/>
    <x v="28"/>
    <x v="17"/>
    <x v="159"/>
    <x v="195"/>
    <x v="110"/>
    <x v="301"/>
    <x v="100"/>
    <x v="35"/>
    <x v="1"/>
  </r>
  <r>
    <x v="0"/>
    <x v="19"/>
    <x v="19"/>
    <x v="18"/>
    <x v="18"/>
    <x v="18"/>
    <x v="18"/>
    <x v="148"/>
    <x v="209"/>
    <x v="56"/>
    <x v="190"/>
    <x v="99"/>
    <x v="273"/>
    <x v="1"/>
  </r>
  <r>
    <x v="0"/>
    <x v="19"/>
    <x v="19"/>
    <x v="38"/>
    <x v="38"/>
    <x v="38"/>
    <x v="19"/>
    <x v="125"/>
    <x v="125"/>
    <x v="56"/>
    <x v="190"/>
    <x v="64"/>
    <x v="235"/>
    <x v="1"/>
  </r>
  <r>
    <x v="0"/>
    <x v="20"/>
    <x v="20"/>
    <x v="0"/>
    <x v="0"/>
    <x v="0"/>
    <x v="0"/>
    <x v="188"/>
    <x v="287"/>
    <x v="148"/>
    <x v="302"/>
    <x v="109"/>
    <x v="274"/>
    <x v="1"/>
  </r>
  <r>
    <x v="0"/>
    <x v="20"/>
    <x v="20"/>
    <x v="1"/>
    <x v="1"/>
    <x v="1"/>
    <x v="1"/>
    <x v="78"/>
    <x v="20"/>
    <x v="149"/>
    <x v="303"/>
    <x v="109"/>
    <x v="274"/>
    <x v="1"/>
  </r>
  <r>
    <x v="0"/>
    <x v="20"/>
    <x v="20"/>
    <x v="2"/>
    <x v="2"/>
    <x v="2"/>
    <x v="2"/>
    <x v="189"/>
    <x v="288"/>
    <x v="98"/>
    <x v="304"/>
    <x v="52"/>
    <x v="275"/>
    <x v="1"/>
  </r>
  <r>
    <x v="0"/>
    <x v="20"/>
    <x v="20"/>
    <x v="5"/>
    <x v="5"/>
    <x v="5"/>
    <x v="3"/>
    <x v="180"/>
    <x v="41"/>
    <x v="81"/>
    <x v="305"/>
    <x v="71"/>
    <x v="276"/>
    <x v="1"/>
  </r>
  <r>
    <x v="0"/>
    <x v="20"/>
    <x v="20"/>
    <x v="3"/>
    <x v="3"/>
    <x v="3"/>
    <x v="4"/>
    <x v="151"/>
    <x v="289"/>
    <x v="70"/>
    <x v="306"/>
    <x v="53"/>
    <x v="277"/>
    <x v="1"/>
  </r>
  <r>
    <x v="0"/>
    <x v="20"/>
    <x v="20"/>
    <x v="7"/>
    <x v="7"/>
    <x v="7"/>
    <x v="5"/>
    <x v="53"/>
    <x v="290"/>
    <x v="90"/>
    <x v="307"/>
    <x v="54"/>
    <x v="278"/>
    <x v="1"/>
  </r>
  <r>
    <x v="0"/>
    <x v="20"/>
    <x v="20"/>
    <x v="4"/>
    <x v="4"/>
    <x v="4"/>
    <x v="6"/>
    <x v="157"/>
    <x v="291"/>
    <x v="51"/>
    <x v="62"/>
    <x v="44"/>
    <x v="152"/>
    <x v="1"/>
  </r>
  <r>
    <x v="0"/>
    <x v="20"/>
    <x v="20"/>
    <x v="8"/>
    <x v="8"/>
    <x v="8"/>
    <x v="7"/>
    <x v="89"/>
    <x v="292"/>
    <x v="79"/>
    <x v="308"/>
    <x v="79"/>
    <x v="279"/>
    <x v="1"/>
  </r>
  <r>
    <x v="0"/>
    <x v="20"/>
    <x v="20"/>
    <x v="6"/>
    <x v="6"/>
    <x v="6"/>
    <x v="8"/>
    <x v="57"/>
    <x v="27"/>
    <x v="38"/>
    <x v="309"/>
    <x v="108"/>
    <x v="280"/>
    <x v="1"/>
  </r>
  <r>
    <x v="0"/>
    <x v="20"/>
    <x v="20"/>
    <x v="9"/>
    <x v="9"/>
    <x v="9"/>
    <x v="9"/>
    <x v="74"/>
    <x v="192"/>
    <x v="128"/>
    <x v="310"/>
    <x v="108"/>
    <x v="280"/>
    <x v="1"/>
  </r>
  <r>
    <x v="0"/>
    <x v="20"/>
    <x v="20"/>
    <x v="12"/>
    <x v="12"/>
    <x v="12"/>
    <x v="10"/>
    <x v="178"/>
    <x v="68"/>
    <x v="79"/>
    <x v="308"/>
    <x v="44"/>
    <x v="152"/>
    <x v="1"/>
  </r>
  <r>
    <x v="0"/>
    <x v="20"/>
    <x v="20"/>
    <x v="10"/>
    <x v="10"/>
    <x v="10"/>
    <x v="11"/>
    <x v="121"/>
    <x v="293"/>
    <x v="116"/>
    <x v="189"/>
    <x v="79"/>
    <x v="279"/>
    <x v="1"/>
  </r>
  <r>
    <x v="0"/>
    <x v="20"/>
    <x v="20"/>
    <x v="25"/>
    <x v="25"/>
    <x v="25"/>
    <x v="12"/>
    <x v="91"/>
    <x v="294"/>
    <x v="106"/>
    <x v="215"/>
    <x v="92"/>
    <x v="51"/>
    <x v="1"/>
  </r>
  <r>
    <x v="0"/>
    <x v="20"/>
    <x v="20"/>
    <x v="26"/>
    <x v="26"/>
    <x v="26"/>
    <x v="13"/>
    <x v="122"/>
    <x v="295"/>
    <x v="55"/>
    <x v="269"/>
    <x v="106"/>
    <x v="281"/>
    <x v="5"/>
  </r>
  <r>
    <x v="0"/>
    <x v="20"/>
    <x v="20"/>
    <x v="14"/>
    <x v="14"/>
    <x v="14"/>
    <x v="14"/>
    <x v="139"/>
    <x v="258"/>
    <x v="112"/>
    <x v="311"/>
    <x v="70"/>
    <x v="282"/>
    <x v="1"/>
  </r>
  <r>
    <x v="0"/>
    <x v="20"/>
    <x v="20"/>
    <x v="27"/>
    <x v="27"/>
    <x v="27"/>
    <x v="15"/>
    <x v="125"/>
    <x v="107"/>
    <x v="58"/>
    <x v="73"/>
    <x v="107"/>
    <x v="283"/>
    <x v="1"/>
  </r>
  <r>
    <x v="0"/>
    <x v="20"/>
    <x v="20"/>
    <x v="11"/>
    <x v="11"/>
    <x v="11"/>
    <x v="15"/>
    <x v="125"/>
    <x v="107"/>
    <x v="58"/>
    <x v="73"/>
    <x v="107"/>
    <x v="283"/>
    <x v="1"/>
  </r>
  <r>
    <x v="0"/>
    <x v="20"/>
    <x v="20"/>
    <x v="30"/>
    <x v="30"/>
    <x v="30"/>
    <x v="15"/>
    <x v="125"/>
    <x v="107"/>
    <x v="85"/>
    <x v="312"/>
    <x v="89"/>
    <x v="284"/>
    <x v="1"/>
  </r>
  <r>
    <x v="0"/>
    <x v="20"/>
    <x v="20"/>
    <x v="39"/>
    <x v="39"/>
    <x v="39"/>
    <x v="18"/>
    <x v="129"/>
    <x v="296"/>
    <x v="113"/>
    <x v="313"/>
    <x v="44"/>
    <x v="152"/>
    <x v="1"/>
  </r>
  <r>
    <x v="0"/>
    <x v="20"/>
    <x v="20"/>
    <x v="17"/>
    <x v="17"/>
    <x v="17"/>
    <x v="19"/>
    <x v="130"/>
    <x v="297"/>
    <x v="129"/>
    <x v="193"/>
    <x v="102"/>
    <x v="285"/>
    <x v="1"/>
  </r>
  <r>
    <x v="0"/>
    <x v="21"/>
    <x v="21"/>
    <x v="1"/>
    <x v="1"/>
    <x v="1"/>
    <x v="0"/>
    <x v="156"/>
    <x v="298"/>
    <x v="150"/>
    <x v="314"/>
    <x v="64"/>
    <x v="286"/>
    <x v="1"/>
  </r>
  <r>
    <x v="0"/>
    <x v="21"/>
    <x v="21"/>
    <x v="7"/>
    <x v="7"/>
    <x v="7"/>
    <x v="1"/>
    <x v="70"/>
    <x v="299"/>
    <x v="127"/>
    <x v="315"/>
    <x v="89"/>
    <x v="287"/>
    <x v="1"/>
  </r>
  <r>
    <x v="0"/>
    <x v="21"/>
    <x v="21"/>
    <x v="3"/>
    <x v="3"/>
    <x v="3"/>
    <x v="2"/>
    <x v="151"/>
    <x v="300"/>
    <x v="50"/>
    <x v="316"/>
    <x v="83"/>
    <x v="288"/>
    <x v="1"/>
  </r>
  <r>
    <x v="0"/>
    <x v="21"/>
    <x v="21"/>
    <x v="0"/>
    <x v="0"/>
    <x v="0"/>
    <x v="3"/>
    <x v="54"/>
    <x v="301"/>
    <x v="77"/>
    <x v="317"/>
    <x v="64"/>
    <x v="286"/>
    <x v="1"/>
  </r>
  <r>
    <x v="0"/>
    <x v="21"/>
    <x v="21"/>
    <x v="2"/>
    <x v="2"/>
    <x v="2"/>
    <x v="4"/>
    <x v="89"/>
    <x v="302"/>
    <x v="97"/>
    <x v="318"/>
    <x v="114"/>
    <x v="289"/>
    <x v="1"/>
  </r>
  <r>
    <x v="0"/>
    <x v="21"/>
    <x v="21"/>
    <x v="8"/>
    <x v="8"/>
    <x v="8"/>
    <x v="5"/>
    <x v="104"/>
    <x v="114"/>
    <x v="36"/>
    <x v="319"/>
    <x v="102"/>
    <x v="290"/>
    <x v="1"/>
  </r>
  <r>
    <x v="0"/>
    <x v="21"/>
    <x v="21"/>
    <x v="5"/>
    <x v="5"/>
    <x v="5"/>
    <x v="6"/>
    <x v="74"/>
    <x v="82"/>
    <x v="57"/>
    <x v="24"/>
    <x v="103"/>
    <x v="291"/>
    <x v="1"/>
  </r>
  <r>
    <x v="0"/>
    <x v="21"/>
    <x v="21"/>
    <x v="16"/>
    <x v="16"/>
    <x v="16"/>
    <x v="7"/>
    <x v="124"/>
    <x v="48"/>
    <x v="109"/>
    <x v="320"/>
    <x v="72"/>
    <x v="292"/>
    <x v="1"/>
  </r>
  <r>
    <x v="0"/>
    <x v="21"/>
    <x v="21"/>
    <x v="9"/>
    <x v="9"/>
    <x v="9"/>
    <x v="7"/>
    <x v="124"/>
    <x v="48"/>
    <x v="82"/>
    <x v="321"/>
    <x v="105"/>
    <x v="293"/>
    <x v="1"/>
  </r>
  <r>
    <x v="0"/>
    <x v="21"/>
    <x v="21"/>
    <x v="13"/>
    <x v="13"/>
    <x v="13"/>
    <x v="9"/>
    <x v="190"/>
    <x v="303"/>
    <x v="37"/>
    <x v="67"/>
    <x v="64"/>
    <x v="286"/>
    <x v="1"/>
  </r>
  <r>
    <x v="0"/>
    <x v="21"/>
    <x v="21"/>
    <x v="12"/>
    <x v="12"/>
    <x v="12"/>
    <x v="9"/>
    <x v="190"/>
    <x v="303"/>
    <x v="55"/>
    <x v="322"/>
    <x v="99"/>
    <x v="255"/>
    <x v="1"/>
  </r>
  <r>
    <x v="0"/>
    <x v="21"/>
    <x v="21"/>
    <x v="6"/>
    <x v="6"/>
    <x v="6"/>
    <x v="9"/>
    <x v="190"/>
    <x v="303"/>
    <x v="116"/>
    <x v="289"/>
    <x v="107"/>
    <x v="294"/>
    <x v="1"/>
  </r>
  <r>
    <x v="0"/>
    <x v="21"/>
    <x v="21"/>
    <x v="10"/>
    <x v="10"/>
    <x v="10"/>
    <x v="12"/>
    <x v="160"/>
    <x v="285"/>
    <x v="114"/>
    <x v="110"/>
    <x v="102"/>
    <x v="290"/>
    <x v="1"/>
  </r>
  <r>
    <x v="0"/>
    <x v="21"/>
    <x v="21"/>
    <x v="4"/>
    <x v="4"/>
    <x v="4"/>
    <x v="13"/>
    <x v="140"/>
    <x v="138"/>
    <x v="114"/>
    <x v="110"/>
    <x v="64"/>
    <x v="286"/>
    <x v="1"/>
  </r>
  <r>
    <x v="0"/>
    <x v="21"/>
    <x v="21"/>
    <x v="14"/>
    <x v="14"/>
    <x v="14"/>
    <x v="13"/>
    <x v="140"/>
    <x v="138"/>
    <x v="111"/>
    <x v="270"/>
    <x v="64"/>
    <x v="286"/>
    <x v="1"/>
  </r>
  <r>
    <x v="0"/>
    <x v="21"/>
    <x v="21"/>
    <x v="32"/>
    <x v="32"/>
    <x v="32"/>
    <x v="15"/>
    <x v="154"/>
    <x v="71"/>
    <x v="111"/>
    <x v="270"/>
    <x v="102"/>
    <x v="290"/>
    <x v="1"/>
  </r>
  <r>
    <x v="0"/>
    <x v="21"/>
    <x v="21"/>
    <x v="30"/>
    <x v="30"/>
    <x v="30"/>
    <x v="15"/>
    <x v="154"/>
    <x v="71"/>
    <x v="85"/>
    <x v="272"/>
    <x v="64"/>
    <x v="286"/>
    <x v="1"/>
  </r>
  <r>
    <x v="0"/>
    <x v="21"/>
    <x v="21"/>
    <x v="27"/>
    <x v="27"/>
    <x v="27"/>
    <x v="17"/>
    <x v="132"/>
    <x v="155"/>
    <x v="111"/>
    <x v="270"/>
    <x v="108"/>
    <x v="295"/>
    <x v="1"/>
  </r>
  <r>
    <x v="0"/>
    <x v="21"/>
    <x v="21"/>
    <x v="11"/>
    <x v="11"/>
    <x v="11"/>
    <x v="17"/>
    <x v="132"/>
    <x v="155"/>
    <x v="112"/>
    <x v="269"/>
    <x v="98"/>
    <x v="296"/>
    <x v="1"/>
  </r>
  <r>
    <x v="0"/>
    <x v="21"/>
    <x v="21"/>
    <x v="35"/>
    <x v="35"/>
    <x v="35"/>
    <x v="19"/>
    <x v="183"/>
    <x v="196"/>
    <x v="54"/>
    <x v="323"/>
    <x v="64"/>
    <x v="286"/>
    <x v="1"/>
  </r>
  <r>
    <x v="0"/>
    <x v="22"/>
    <x v="22"/>
    <x v="4"/>
    <x v="4"/>
    <x v="4"/>
    <x v="0"/>
    <x v="169"/>
    <x v="304"/>
    <x v="134"/>
    <x v="324"/>
    <x v="71"/>
    <x v="297"/>
    <x v="1"/>
  </r>
  <r>
    <x v="0"/>
    <x v="22"/>
    <x v="22"/>
    <x v="1"/>
    <x v="1"/>
    <x v="1"/>
    <x v="1"/>
    <x v="113"/>
    <x v="305"/>
    <x v="90"/>
    <x v="325"/>
    <x v="100"/>
    <x v="67"/>
    <x v="1"/>
  </r>
  <r>
    <x v="0"/>
    <x v="22"/>
    <x v="22"/>
    <x v="13"/>
    <x v="13"/>
    <x v="13"/>
    <x v="2"/>
    <x v="72"/>
    <x v="306"/>
    <x v="72"/>
    <x v="326"/>
    <x v="55"/>
    <x v="298"/>
    <x v="1"/>
  </r>
  <r>
    <x v="0"/>
    <x v="22"/>
    <x v="22"/>
    <x v="0"/>
    <x v="0"/>
    <x v="0"/>
    <x v="3"/>
    <x v="90"/>
    <x v="307"/>
    <x v="50"/>
    <x v="327"/>
    <x v="107"/>
    <x v="106"/>
    <x v="1"/>
  </r>
  <r>
    <x v="0"/>
    <x v="22"/>
    <x v="22"/>
    <x v="5"/>
    <x v="5"/>
    <x v="5"/>
    <x v="4"/>
    <x v="57"/>
    <x v="308"/>
    <x v="58"/>
    <x v="328"/>
    <x v="117"/>
    <x v="299"/>
    <x v="1"/>
  </r>
  <r>
    <x v="0"/>
    <x v="22"/>
    <x v="22"/>
    <x v="8"/>
    <x v="8"/>
    <x v="8"/>
    <x v="5"/>
    <x v="58"/>
    <x v="309"/>
    <x v="72"/>
    <x v="326"/>
    <x v="103"/>
    <x v="5"/>
    <x v="1"/>
  </r>
  <r>
    <x v="0"/>
    <x v="22"/>
    <x v="22"/>
    <x v="2"/>
    <x v="2"/>
    <x v="2"/>
    <x v="6"/>
    <x v="116"/>
    <x v="310"/>
    <x v="112"/>
    <x v="329"/>
    <x v="83"/>
    <x v="291"/>
    <x v="1"/>
  </r>
  <r>
    <x v="0"/>
    <x v="22"/>
    <x v="22"/>
    <x v="9"/>
    <x v="9"/>
    <x v="9"/>
    <x v="7"/>
    <x v="124"/>
    <x v="29"/>
    <x v="82"/>
    <x v="330"/>
    <x v="105"/>
    <x v="194"/>
    <x v="1"/>
  </r>
  <r>
    <x v="0"/>
    <x v="22"/>
    <x v="22"/>
    <x v="10"/>
    <x v="10"/>
    <x v="10"/>
    <x v="8"/>
    <x v="159"/>
    <x v="311"/>
    <x v="113"/>
    <x v="331"/>
    <x v="103"/>
    <x v="5"/>
    <x v="1"/>
  </r>
  <r>
    <x v="0"/>
    <x v="22"/>
    <x v="22"/>
    <x v="16"/>
    <x v="16"/>
    <x v="16"/>
    <x v="9"/>
    <x v="148"/>
    <x v="312"/>
    <x v="109"/>
    <x v="332"/>
    <x v="81"/>
    <x v="300"/>
    <x v="1"/>
  </r>
  <r>
    <x v="0"/>
    <x v="22"/>
    <x v="22"/>
    <x v="19"/>
    <x v="19"/>
    <x v="19"/>
    <x v="9"/>
    <x v="148"/>
    <x v="312"/>
    <x v="54"/>
    <x v="173"/>
    <x v="68"/>
    <x v="301"/>
    <x v="1"/>
  </r>
  <r>
    <x v="0"/>
    <x v="22"/>
    <x v="22"/>
    <x v="3"/>
    <x v="3"/>
    <x v="3"/>
    <x v="11"/>
    <x v="125"/>
    <x v="313"/>
    <x v="114"/>
    <x v="333"/>
    <x v="109"/>
    <x v="302"/>
    <x v="1"/>
  </r>
  <r>
    <x v="0"/>
    <x v="22"/>
    <x v="22"/>
    <x v="11"/>
    <x v="11"/>
    <x v="11"/>
    <x v="12"/>
    <x v="127"/>
    <x v="226"/>
    <x v="116"/>
    <x v="253"/>
    <x v="64"/>
    <x v="248"/>
    <x v="1"/>
  </r>
  <r>
    <x v="0"/>
    <x v="22"/>
    <x v="22"/>
    <x v="6"/>
    <x v="6"/>
    <x v="6"/>
    <x v="13"/>
    <x v="128"/>
    <x v="314"/>
    <x v="55"/>
    <x v="334"/>
    <x v="98"/>
    <x v="303"/>
    <x v="1"/>
  </r>
  <r>
    <x v="0"/>
    <x v="22"/>
    <x v="22"/>
    <x v="21"/>
    <x v="21"/>
    <x v="21"/>
    <x v="14"/>
    <x v="140"/>
    <x v="315"/>
    <x v="113"/>
    <x v="331"/>
    <x v="100"/>
    <x v="67"/>
    <x v="1"/>
  </r>
  <r>
    <x v="0"/>
    <x v="22"/>
    <x v="22"/>
    <x v="18"/>
    <x v="18"/>
    <x v="18"/>
    <x v="15"/>
    <x v="154"/>
    <x v="120"/>
    <x v="110"/>
    <x v="335"/>
    <x v="108"/>
    <x v="118"/>
    <x v="1"/>
  </r>
  <r>
    <x v="0"/>
    <x v="22"/>
    <x v="22"/>
    <x v="7"/>
    <x v="7"/>
    <x v="7"/>
    <x v="16"/>
    <x v="131"/>
    <x v="109"/>
    <x v="86"/>
    <x v="105"/>
    <x v="64"/>
    <x v="248"/>
    <x v="1"/>
  </r>
  <r>
    <x v="0"/>
    <x v="22"/>
    <x v="22"/>
    <x v="28"/>
    <x v="28"/>
    <x v="28"/>
    <x v="17"/>
    <x v="183"/>
    <x v="316"/>
    <x v="86"/>
    <x v="105"/>
    <x v="108"/>
    <x v="118"/>
    <x v="1"/>
  </r>
  <r>
    <x v="0"/>
    <x v="22"/>
    <x v="22"/>
    <x v="17"/>
    <x v="17"/>
    <x v="17"/>
    <x v="17"/>
    <x v="183"/>
    <x v="316"/>
    <x v="117"/>
    <x v="336"/>
    <x v="102"/>
    <x v="178"/>
    <x v="1"/>
  </r>
  <r>
    <x v="0"/>
    <x v="22"/>
    <x v="22"/>
    <x v="36"/>
    <x v="36"/>
    <x v="36"/>
    <x v="19"/>
    <x v="191"/>
    <x v="37"/>
    <x v="151"/>
    <x v="313"/>
    <x v="102"/>
    <x v="178"/>
    <x v="1"/>
  </r>
  <r>
    <x v="0"/>
    <x v="22"/>
    <x v="22"/>
    <x v="14"/>
    <x v="14"/>
    <x v="14"/>
    <x v="19"/>
    <x v="191"/>
    <x v="37"/>
    <x v="129"/>
    <x v="337"/>
    <x v="108"/>
    <x v="118"/>
    <x v="1"/>
  </r>
  <r>
    <x v="0"/>
    <x v="23"/>
    <x v="23"/>
    <x v="1"/>
    <x v="1"/>
    <x v="1"/>
    <x v="0"/>
    <x v="104"/>
    <x v="317"/>
    <x v="93"/>
    <x v="338"/>
    <x v="107"/>
    <x v="304"/>
    <x v="1"/>
  </r>
  <r>
    <x v="0"/>
    <x v="23"/>
    <x v="23"/>
    <x v="3"/>
    <x v="3"/>
    <x v="3"/>
    <x v="1"/>
    <x v="146"/>
    <x v="318"/>
    <x v="57"/>
    <x v="339"/>
    <x v="70"/>
    <x v="305"/>
    <x v="1"/>
  </r>
  <r>
    <x v="0"/>
    <x v="23"/>
    <x v="23"/>
    <x v="13"/>
    <x v="13"/>
    <x v="13"/>
    <x v="2"/>
    <x v="147"/>
    <x v="319"/>
    <x v="97"/>
    <x v="340"/>
    <x v="72"/>
    <x v="306"/>
    <x v="1"/>
  </r>
  <r>
    <x v="0"/>
    <x v="23"/>
    <x v="23"/>
    <x v="7"/>
    <x v="7"/>
    <x v="7"/>
    <x v="3"/>
    <x v="181"/>
    <x v="320"/>
    <x v="72"/>
    <x v="341"/>
    <x v="107"/>
    <x v="304"/>
    <x v="1"/>
  </r>
  <r>
    <x v="0"/>
    <x v="23"/>
    <x v="23"/>
    <x v="0"/>
    <x v="0"/>
    <x v="0"/>
    <x v="4"/>
    <x v="123"/>
    <x v="321"/>
    <x v="72"/>
    <x v="341"/>
    <x v="98"/>
    <x v="307"/>
    <x v="1"/>
  </r>
  <r>
    <x v="0"/>
    <x v="23"/>
    <x v="23"/>
    <x v="4"/>
    <x v="4"/>
    <x v="4"/>
    <x v="5"/>
    <x v="124"/>
    <x v="322"/>
    <x v="117"/>
    <x v="342"/>
    <x v="79"/>
    <x v="308"/>
    <x v="1"/>
  </r>
  <r>
    <x v="0"/>
    <x v="23"/>
    <x v="23"/>
    <x v="8"/>
    <x v="8"/>
    <x v="8"/>
    <x v="6"/>
    <x v="125"/>
    <x v="323"/>
    <x v="116"/>
    <x v="211"/>
    <x v="96"/>
    <x v="309"/>
    <x v="1"/>
  </r>
  <r>
    <x v="0"/>
    <x v="23"/>
    <x v="23"/>
    <x v="2"/>
    <x v="2"/>
    <x v="2"/>
    <x v="7"/>
    <x v="160"/>
    <x v="324"/>
    <x v="129"/>
    <x v="343"/>
    <x v="100"/>
    <x v="310"/>
    <x v="1"/>
  </r>
  <r>
    <x v="0"/>
    <x v="23"/>
    <x v="23"/>
    <x v="6"/>
    <x v="6"/>
    <x v="6"/>
    <x v="7"/>
    <x v="160"/>
    <x v="324"/>
    <x v="107"/>
    <x v="344"/>
    <x v="108"/>
    <x v="311"/>
    <x v="1"/>
  </r>
  <r>
    <x v="0"/>
    <x v="23"/>
    <x v="23"/>
    <x v="9"/>
    <x v="9"/>
    <x v="9"/>
    <x v="9"/>
    <x v="128"/>
    <x v="8"/>
    <x v="58"/>
    <x v="345"/>
    <x v="105"/>
    <x v="312"/>
    <x v="1"/>
  </r>
  <r>
    <x v="0"/>
    <x v="23"/>
    <x v="23"/>
    <x v="5"/>
    <x v="5"/>
    <x v="5"/>
    <x v="10"/>
    <x v="129"/>
    <x v="49"/>
    <x v="86"/>
    <x v="267"/>
    <x v="102"/>
    <x v="142"/>
    <x v="1"/>
  </r>
  <r>
    <x v="0"/>
    <x v="23"/>
    <x v="23"/>
    <x v="18"/>
    <x v="18"/>
    <x v="18"/>
    <x v="10"/>
    <x v="129"/>
    <x v="49"/>
    <x v="110"/>
    <x v="346"/>
    <x v="98"/>
    <x v="307"/>
    <x v="1"/>
  </r>
  <r>
    <x v="0"/>
    <x v="23"/>
    <x v="23"/>
    <x v="12"/>
    <x v="12"/>
    <x v="12"/>
    <x v="12"/>
    <x v="132"/>
    <x v="137"/>
    <x v="109"/>
    <x v="170"/>
    <x v="101"/>
    <x v="118"/>
    <x v="1"/>
  </r>
  <r>
    <x v="0"/>
    <x v="23"/>
    <x v="23"/>
    <x v="10"/>
    <x v="10"/>
    <x v="10"/>
    <x v="13"/>
    <x v="183"/>
    <x v="325"/>
    <x v="151"/>
    <x v="347"/>
    <x v="96"/>
    <x v="309"/>
    <x v="1"/>
  </r>
  <r>
    <x v="0"/>
    <x v="23"/>
    <x v="23"/>
    <x v="16"/>
    <x v="16"/>
    <x v="16"/>
    <x v="13"/>
    <x v="183"/>
    <x v="325"/>
    <x v="54"/>
    <x v="172"/>
    <x v="64"/>
    <x v="313"/>
    <x v="1"/>
  </r>
  <r>
    <x v="0"/>
    <x v="23"/>
    <x v="23"/>
    <x v="11"/>
    <x v="11"/>
    <x v="11"/>
    <x v="15"/>
    <x v="191"/>
    <x v="14"/>
    <x v="129"/>
    <x v="343"/>
    <x v="108"/>
    <x v="311"/>
    <x v="1"/>
  </r>
  <r>
    <x v="0"/>
    <x v="23"/>
    <x v="23"/>
    <x v="19"/>
    <x v="19"/>
    <x v="19"/>
    <x v="16"/>
    <x v="184"/>
    <x v="72"/>
    <x v="85"/>
    <x v="348"/>
    <x v="99"/>
    <x v="50"/>
    <x v="1"/>
  </r>
  <r>
    <x v="0"/>
    <x v="23"/>
    <x v="23"/>
    <x v="20"/>
    <x v="20"/>
    <x v="20"/>
    <x v="17"/>
    <x v="186"/>
    <x v="182"/>
    <x v="85"/>
    <x v="348"/>
    <x v="64"/>
    <x v="313"/>
    <x v="1"/>
  </r>
  <r>
    <x v="0"/>
    <x v="23"/>
    <x v="23"/>
    <x v="17"/>
    <x v="17"/>
    <x v="17"/>
    <x v="17"/>
    <x v="186"/>
    <x v="182"/>
    <x v="117"/>
    <x v="342"/>
    <x v="108"/>
    <x v="311"/>
    <x v="1"/>
  </r>
  <r>
    <x v="0"/>
    <x v="23"/>
    <x v="23"/>
    <x v="27"/>
    <x v="27"/>
    <x v="27"/>
    <x v="19"/>
    <x v="192"/>
    <x v="18"/>
    <x v="151"/>
    <x v="347"/>
    <x v="108"/>
    <x v="311"/>
    <x v="1"/>
  </r>
  <r>
    <x v="0"/>
    <x v="23"/>
    <x v="23"/>
    <x v="39"/>
    <x v="39"/>
    <x v="39"/>
    <x v="19"/>
    <x v="192"/>
    <x v="18"/>
    <x v="117"/>
    <x v="342"/>
    <x v="98"/>
    <x v="307"/>
    <x v="1"/>
  </r>
  <r>
    <x v="0"/>
    <x v="23"/>
    <x v="23"/>
    <x v="21"/>
    <x v="21"/>
    <x v="21"/>
    <x v="19"/>
    <x v="192"/>
    <x v="18"/>
    <x v="96"/>
    <x v="106"/>
    <x v="64"/>
    <x v="313"/>
    <x v="1"/>
  </r>
  <r>
    <x v="0"/>
    <x v="23"/>
    <x v="23"/>
    <x v="14"/>
    <x v="14"/>
    <x v="14"/>
    <x v="19"/>
    <x v="192"/>
    <x v="18"/>
    <x v="117"/>
    <x v="342"/>
    <x v="98"/>
    <x v="307"/>
    <x v="1"/>
  </r>
  <r>
    <x v="0"/>
    <x v="24"/>
    <x v="24"/>
    <x v="1"/>
    <x v="1"/>
    <x v="1"/>
    <x v="0"/>
    <x v="56"/>
    <x v="326"/>
    <x v="51"/>
    <x v="349"/>
    <x v="102"/>
    <x v="314"/>
    <x v="1"/>
  </r>
  <r>
    <x v="0"/>
    <x v="24"/>
    <x v="24"/>
    <x v="2"/>
    <x v="2"/>
    <x v="2"/>
    <x v="1"/>
    <x v="137"/>
    <x v="172"/>
    <x v="58"/>
    <x v="350"/>
    <x v="114"/>
    <x v="315"/>
    <x v="1"/>
  </r>
  <r>
    <x v="0"/>
    <x v="24"/>
    <x v="24"/>
    <x v="3"/>
    <x v="3"/>
    <x v="3"/>
    <x v="2"/>
    <x v="90"/>
    <x v="327"/>
    <x v="98"/>
    <x v="351"/>
    <x v="109"/>
    <x v="316"/>
    <x v="1"/>
  </r>
  <r>
    <x v="0"/>
    <x v="24"/>
    <x v="24"/>
    <x v="7"/>
    <x v="7"/>
    <x v="7"/>
    <x v="3"/>
    <x v="158"/>
    <x v="328"/>
    <x v="103"/>
    <x v="352"/>
    <x v="64"/>
    <x v="0"/>
    <x v="1"/>
  </r>
  <r>
    <x v="0"/>
    <x v="24"/>
    <x v="24"/>
    <x v="0"/>
    <x v="0"/>
    <x v="0"/>
    <x v="4"/>
    <x v="115"/>
    <x v="329"/>
    <x v="98"/>
    <x v="351"/>
    <x v="101"/>
    <x v="317"/>
    <x v="1"/>
  </r>
  <r>
    <x v="0"/>
    <x v="24"/>
    <x v="24"/>
    <x v="5"/>
    <x v="5"/>
    <x v="5"/>
    <x v="5"/>
    <x v="182"/>
    <x v="330"/>
    <x v="52"/>
    <x v="353"/>
    <x v="69"/>
    <x v="318"/>
    <x v="1"/>
  </r>
  <r>
    <x v="0"/>
    <x v="24"/>
    <x v="24"/>
    <x v="10"/>
    <x v="10"/>
    <x v="10"/>
    <x v="6"/>
    <x v="118"/>
    <x v="176"/>
    <x v="114"/>
    <x v="212"/>
    <x v="72"/>
    <x v="319"/>
    <x v="1"/>
  </r>
  <r>
    <x v="0"/>
    <x v="24"/>
    <x v="24"/>
    <x v="8"/>
    <x v="8"/>
    <x v="8"/>
    <x v="7"/>
    <x v="159"/>
    <x v="44"/>
    <x v="37"/>
    <x v="354"/>
    <x v="96"/>
    <x v="209"/>
    <x v="1"/>
  </r>
  <r>
    <x v="0"/>
    <x v="24"/>
    <x v="24"/>
    <x v="6"/>
    <x v="6"/>
    <x v="6"/>
    <x v="8"/>
    <x v="126"/>
    <x v="324"/>
    <x v="86"/>
    <x v="343"/>
    <x v="107"/>
    <x v="320"/>
    <x v="1"/>
  </r>
  <r>
    <x v="0"/>
    <x v="24"/>
    <x v="24"/>
    <x v="16"/>
    <x v="16"/>
    <x v="16"/>
    <x v="9"/>
    <x v="154"/>
    <x v="50"/>
    <x v="54"/>
    <x v="355"/>
    <x v="44"/>
    <x v="321"/>
    <x v="1"/>
  </r>
  <r>
    <x v="0"/>
    <x v="24"/>
    <x v="24"/>
    <x v="9"/>
    <x v="9"/>
    <x v="9"/>
    <x v="10"/>
    <x v="130"/>
    <x v="225"/>
    <x v="116"/>
    <x v="356"/>
    <x v="105"/>
    <x v="322"/>
    <x v="1"/>
  </r>
  <r>
    <x v="0"/>
    <x v="24"/>
    <x v="24"/>
    <x v="12"/>
    <x v="12"/>
    <x v="12"/>
    <x v="11"/>
    <x v="131"/>
    <x v="180"/>
    <x v="109"/>
    <x v="357"/>
    <x v="98"/>
    <x v="323"/>
    <x v="1"/>
  </r>
  <r>
    <x v="0"/>
    <x v="24"/>
    <x v="24"/>
    <x v="19"/>
    <x v="19"/>
    <x v="19"/>
    <x v="12"/>
    <x v="132"/>
    <x v="331"/>
    <x v="117"/>
    <x v="358"/>
    <x v="96"/>
    <x v="209"/>
    <x v="1"/>
  </r>
  <r>
    <x v="0"/>
    <x v="24"/>
    <x v="24"/>
    <x v="13"/>
    <x v="13"/>
    <x v="13"/>
    <x v="13"/>
    <x v="183"/>
    <x v="90"/>
    <x v="129"/>
    <x v="359"/>
    <x v="107"/>
    <x v="320"/>
    <x v="1"/>
  </r>
  <r>
    <x v="0"/>
    <x v="24"/>
    <x v="24"/>
    <x v="4"/>
    <x v="4"/>
    <x v="4"/>
    <x v="14"/>
    <x v="191"/>
    <x v="193"/>
    <x v="96"/>
    <x v="106"/>
    <x v="92"/>
    <x v="324"/>
    <x v="1"/>
  </r>
  <r>
    <x v="0"/>
    <x v="24"/>
    <x v="24"/>
    <x v="18"/>
    <x v="18"/>
    <x v="18"/>
    <x v="15"/>
    <x v="185"/>
    <x v="52"/>
    <x v="112"/>
    <x v="360"/>
    <x v="105"/>
    <x v="322"/>
    <x v="1"/>
  </r>
  <r>
    <x v="0"/>
    <x v="24"/>
    <x v="24"/>
    <x v="34"/>
    <x v="34"/>
    <x v="34"/>
    <x v="16"/>
    <x v="184"/>
    <x v="332"/>
    <x v="113"/>
    <x v="361"/>
    <x v="108"/>
    <x v="45"/>
    <x v="1"/>
  </r>
  <r>
    <x v="0"/>
    <x v="24"/>
    <x v="24"/>
    <x v="23"/>
    <x v="23"/>
    <x v="23"/>
    <x v="17"/>
    <x v="186"/>
    <x v="333"/>
    <x v="85"/>
    <x v="362"/>
    <x v="64"/>
    <x v="0"/>
    <x v="1"/>
  </r>
  <r>
    <x v="0"/>
    <x v="24"/>
    <x v="24"/>
    <x v="21"/>
    <x v="21"/>
    <x v="21"/>
    <x v="17"/>
    <x v="186"/>
    <x v="333"/>
    <x v="85"/>
    <x v="362"/>
    <x v="64"/>
    <x v="0"/>
    <x v="1"/>
  </r>
  <r>
    <x v="0"/>
    <x v="24"/>
    <x v="24"/>
    <x v="24"/>
    <x v="24"/>
    <x v="24"/>
    <x v="17"/>
    <x v="186"/>
    <x v="333"/>
    <x v="117"/>
    <x v="358"/>
    <x v="98"/>
    <x v="323"/>
    <x v="1"/>
  </r>
  <r>
    <x v="0"/>
    <x v="25"/>
    <x v="25"/>
    <x v="1"/>
    <x v="1"/>
    <x v="1"/>
    <x v="0"/>
    <x v="55"/>
    <x v="334"/>
    <x v="152"/>
    <x v="363"/>
    <x v="98"/>
    <x v="325"/>
    <x v="1"/>
  </r>
  <r>
    <x v="0"/>
    <x v="25"/>
    <x v="25"/>
    <x v="2"/>
    <x v="2"/>
    <x v="2"/>
    <x v="1"/>
    <x v="104"/>
    <x v="335"/>
    <x v="109"/>
    <x v="47"/>
    <x v="53"/>
    <x v="326"/>
    <x v="1"/>
  </r>
  <r>
    <x v="0"/>
    <x v="25"/>
    <x v="25"/>
    <x v="0"/>
    <x v="0"/>
    <x v="0"/>
    <x v="2"/>
    <x v="138"/>
    <x v="336"/>
    <x v="84"/>
    <x v="364"/>
    <x v="101"/>
    <x v="327"/>
    <x v="1"/>
  </r>
  <r>
    <x v="0"/>
    <x v="25"/>
    <x v="25"/>
    <x v="3"/>
    <x v="3"/>
    <x v="3"/>
    <x v="3"/>
    <x v="117"/>
    <x v="337"/>
    <x v="110"/>
    <x v="365"/>
    <x v="69"/>
    <x v="328"/>
    <x v="1"/>
  </r>
  <r>
    <x v="0"/>
    <x v="25"/>
    <x v="25"/>
    <x v="6"/>
    <x v="6"/>
    <x v="6"/>
    <x v="4"/>
    <x v="124"/>
    <x v="289"/>
    <x v="110"/>
    <x v="365"/>
    <x v="107"/>
    <x v="329"/>
    <x v="1"/>
  </r>
  <r>
    <x v="0"/>
    <x v="25"/>
    <x v="25"/>
    <x v="7"/>
    <x v="7"/>
    <x v="7"/>
    <x v="5"/>
    <x v="190"/>
    <x v="83"/>
    <x v="56"/>
    <x v="366"/>
    <x v="108"/>
    <x v="6"/>
    <x v="5"/>
  </r>
  <r>
    <x v="0"/>
    <x v="25"/>
    <x v="25"/>
    <x v="5"/>
    <x v="5"/>
    <x v="5"/>
    <x v="6"/>
    <x v="160"/>
    <x v="338"/>
    <x v="55"/>
    <x v="367"/>
    <x v="108"/>
    <x v="6"/>
    <x v="1"/>
  </r>
  <r>
    <x v="0"/>
    <x v="25"/>
    <x v="25"/>
    <x v="8"/>
    <x v="8"/>
    <x v="8"/>
    <x v="7"/>
    <x v="140"/>
    <x v="100"/>
    <x v="112"/>
    <x v="368"/>
    <x v="102"/>
    <x v="330"/>
    <x v="1"/>
  </r>
  <r>
    <x v="0"/>
    <x v="25"/>
    <x v="25"/>
    <x v="9"/>
    <x v="9"/>
    <x v="9"/>
    <x v="7"/>
    <x v="140"/>
    <x v="100"/>
    <x v="56"/>
    <x v="366"/>
    <x v="105"/>
    <x v="331"/>
    <x v="1"/>
  </r>
  <r>
    <x v="0"/>
    <x v="25"/>
    <x v="25"/>
    <x v="10"/>
    <x v="10"/>
    <x v="10"/>
    <x v="9"/>
    <x v="154"/>
    <x v="102"/>
    <x v="111"/>
    <x v="369"/>
    <x v="102"/>
    <x v="330"/>
    <x v="1"/>
  </r>
  <r>
    <x v="0"/>
    <x v="25"/>
    <x v="25"/>
    <x v="11"/>
    <x v="11"/>
    <x v="11"/>
    <x v="9"/>
    <x v="154"/>
    <x v="102"/>
    <x v="116"/>
    <x v="370"/>
    <x v="101"/>
    <x v="327"/>
    <x v="1"/>
  </r>
  <r>
    <x v="0"/>
    <x v="25"/>
    <x v="25"/>
    <x v="16"/>
    <x v="16"/>
    <x v="16"/>
    <x v="11"/>
    <x v="129"/>
    <x v="238"/>
    <x v="117"/>
    <x v="371"/>
    <x v="109"/>
    <x v="332"/>
    <x v="1"/>
  </r>
  <r>
    <x v="0"/>
    <x v="25"/>
    <x v="25"/>
    <x v="27"/>
    <x v="27"/>
    <x v="27"/>
    <x v="12"/>
    <x v="132"/>
    <x v="339"/>
    <x v="86"/>
    <x v="333"/>
    <x v="107"/>
    <x v="329"/>
    <x v="1"/>
  </r>
  <r>
    <x v="0"/>
    <x v="25"/>
    <x v="25"/>
    <x v="13"/>
    <x v="13"/>
    <x v="13"/>
    <x v="13"/>
    <x v="183"/>
    <x v="340"/>
    <x v="85"/>
    <x v="348"/>
    <x v="92"/>
    <x v="333"/>
    <x v="1"/>
  </r>
  <r>
    <x v="0"/>
    <x v="25"/>
    <x v="25"/>
    <x v="12"/>
    <x v="12"/>
    <x v="12"/>
    <x v="14"/>
    <x v="191"/>
    <x v="341"/>
    <x v="54"/>
    <x v="372"/>
    <x v="107"/>
    <x v="329"/>
    <x v="1"/>
  </r>
  <r>
    <x v="0"/>
    <x v="25"/>
    <x v="25"/>
    <x v="24"/>
    <x v="24"/>
    <x v="24"/>
    <x v="15"/>
    <x v="185"/>
    <x v="342"/>
    <x v="54"/>
    <x v="372"/>
    <x v="98"/>
    <x v="325"/>
    <x v="1"/>
  </r>
  <r>
    <x v="0"/>
    <x v="25"/>
    <x v="25"/>
    <x v="14"/>
    <x v="14"/>
    <x v="14"/>
    <x v="16"/>
    <x v="184"/>
    <x v="107"/>
    <x v="117"/>
    <x v="371"/>
    <x v="107"/>
    <x v="329"/>
    <x v="1"/>
  </r>
  <r>
    <x v="0"/>
    <x v="25"/>
    <x v="25"/>
    <x v="19"/>
    <x v="19"/>
    <x v="19"/>
    <x v="17"/>
    <x v="186"/>
    <x v="54"/>
    <x v="117"/>
    <x v="371"/>
    <x v="108"/>
    <x v="6"/>
    <x v="1"/>
  </r>
  <r>
    <x v="0"/>
    <x v="25"/>
    <x v="25"/>
    <x v="17"/>
    <x v="17"/>
    <x v="17"/>
    <x v="18"/>
    <x v="192"/>
    <x v="241"/>
    <x v="117"/>
    <x v="371"/>
    <x v="101"/>
    <x v="327"/>
    <x v="5"/>
  </r>
  <r>
    <x v="0"/>
    <x v="25"/>
    <x v="25"/>
    <x v="34"/>
    <x v="34"/>
    <x v="34"/>
    <x v="19"/>
    <x v="193"/>
    <x v="296"/>
    <x v="117"/>
    <x v="371"/>
    <x v="101"/>
    <x v="327"/>
    <x v="1"/>
  </r>
  <r>
    <x v="0"/>
    <x v="25"/>
    <x v="25"/>
    <x v="30"/>
    <x v="30"/>
    <x v="30"/>
    <x v="19"/>
    <x v="193"/>
    <x v="296"/>
    <x v="96"/>
    <x v="106"/>
    <x v="101"/>
    <x v="327"/>
    <x v="1"/>
  </r>
  <r>
    <x v="0"/>
    <x v="25"/>
    <x v="25"/>
    <x v="18"/>
    <x v="18"/>
    <x v="18"/>
    <x v="19"/>
    <x v="193"/>
    <x v="296"/>
    <x v="54"/>
    <x v="372"/>
    <x v="105"/>
    <x v="331"/>
    <x v="1"/>
  </r>
  <r>
    <x v="0"/>
    <x v="26"/>
    <x v="26"/>
    <x v="2"/>
    <x v="2"/>
    <x v="2"/>
    <x v="0"/>
    <x v="154"/>
    <x v="343"/>
    <x v="111"/>
    <x v="373"/>
    <x v="102"/>
    <x v="334"/>
    <x v="1"/>
  </r>
  <r>
    <x v="0"/>
    <x v="26"/>
    <x v="26"/>
    <x v="3"/>
    <x v="3"/>
    <x v="3"/>
    <x v="1"/>
    <x v="129"/>
    <x v="344"/>
    <x v="111"/>
    <x v="373"/>
    <x v="99"/>
    <x v="335"/>
    <x v="1"/>
  </r>
  <r>
    <x v="0"/>
    <x v="26"/>
    <x v="26"/>
    <x v="1"/>
    <x v="1"/>
    <x v="1"/>
    <x v="2"/>
    <x v="131"/>
    <x v="345"/>
    <x v="116"/>
    <x v="374"/>
    <x v="126"/>
    <x v="238"/>
    <x v="1"/>
  </r>
  <r>
    <x v="0"/>
    <x v="26"/>
    <x v="26"/>
    <x v="7"/>
    <x v="7"/>
    <x v="7"/>
    <x v="3"/>
    <x v="191"/>
    <x v="158"/>
    <x v="114"/>
    <x v="375"/>
    <x v="126"/>
    <x v="238"/>
    <x v="1"/>
  </r>
  <r>
    <x v="0"/>
    <x v="26"/>
    <x v="26"/>
    <x v="0"/>
    <x v="0"/>
    <x v="0"/>
    <x v="3"/>
    <x v="191"/>
    <x v="158"/>
    <x v="112"/>
    <x v="376"/>
    <x v="90"/>
    <x v="336"/>
    <x v="1"/>
  </r>
  <r>
    <x v="0"/>
    <x v="26"/>
    <x v="26"/>
    <x v="5"/>
    <x v="5"/>
    <x v="5"/>
    <x v="5"/>
    <x v="185"/>
    <x v="346"/>
    <x v="86"/>
    <x v="377"/>
    <x v="101"/>
    <x v="42"/>
    <x v="1"/>
  </r>
  <r>
    <x v="0"/>
    <x v="26"/>
    <x v="26"/>
    <x v="6"/>
    <x v="6"/>
    <x v="6"/>
    <x v="5"/>
    <x v="185"/>
    <x v="346"/>
    <x v="54"/>
    <x v="378"/>
    <x v="126"/>
    <x v="238"/>
    <x v="5"/>
  </r>
  <r>
    <x v="0"/>
    <x v="26"/>
    <x v="26"/>
    <x v="8"/>
    <x v="8"/>
    <x v="8"/>
    <x v="7"/>
    <x v="186"/>
    <x v="291"/>
    <x v="86"/>
    <x v="377"/>
    <x v="105"/>
    <x v="54"/>
    <x v="1"/>
  </r>
  <r>
    <x v="0"/>
    <x v="26"/>
    <x v="26"/>
    <x v="16"/>
    <x v="16"/>
    <x v="16"/>
    <x v="8"/>
    <x v="192"/>
    <x v="347"/>
    <x v="151"/>
    <x v="226"/>
    <x v="108"/>
    <x v="337"/>
    <x v="1"/>
  </r>
  <r>
    <x v="0"/>
    <x v="26"/>
    <x v="26"/>
    <x v="4"/>
    <x v="4"/>
    <x v="4"/>
    <x v="8"/>
    <x v="192"/>
    <x v="347"/>
    <x v="113"/>
    <x v="82"/>
    <x v="101"/>
    <x v="42"/>
    <x v="1"/>
  </r>
  <r>
    <x v="0"/>
    <x v="26"/>
    <x v="26"/>
    <x v="9"/>
    <x v="9"/>
    <x v="9"/>
    <x v="10"/>
    <x v="193"/>
    <x v="192"/>
    <x v="129"/>
    <x v="65"/>
    <x v="126"/>
    <x v="238"/>
    <x v="1"/>
  </r>
  <r>
    <x v="0"/>
    <x v="26"/>
    <x v="26"/>
    <x v="10"/>
    <x v="10"/>
    <x v="10"/>
    <x v="11"/>
    <x v="194"/>
    <x v="348"/>
    <x v="85"/>
    <x v="34"/>
    <x v="98"/>
    <x v="338"/>
    <x v="1"/>
  </r>
  <r>
    <x v="0"/>
    <x v="26"/>
    <x v="26"/>
    <x v="13"/>
    <x v="13"/>
    <x v="13"/>
    <x v="11"/>
    <x v="194"/>
    <x v="348"/>
    <x v="151"/>
    <x v="226"/>
    <x v="101"/>
    <x v="42"/>
    <x v="1"/>
  </r>
  <r>
    <x v="0"/>
    <x v="26"/>
    <x v="26"/>
    <x v="29"/>
    <x v="29"/>
    <x v="29"/>
    <x v="11"/>
    <x v="194"/>
    <x v="348"/>
    <x v="54"/>
    <x v="378"/>
    <x v="126"/>
    <x v="238"/>
    <x v="1"/>
  </r>
  <r>
    <x v="0"/>
    <x v="26"/>
    <x v="26"/>
    <x v="23"/>
    <x v="23"/>
    <x v="23"/>
    <x v="14"/>
    <x v="195"/>
    <x v="331"/>
    <x v="117"/>
    <x v="289"/>
    <x v="105"/>
    <x v="54"/>
    <x v="1"/>
  </r>
  <r>
    <x v="0"/>
    <x v="26"/>
    <x v="26"/>
    <x v="12"/>
    <x v="12"/>
    <x v="12"/>
    <x v="14"/>
    <x v="195"/>
    <x v="331"/>
    <x v="117"/>
    <x v="289"/>
    <x v="105"/>
    <x v="54"/>
    <x v="1"/>
  </r>
  <r>
    <x v="0"/>
    <x v="26"/>
    <x v="26"/>
    <x v="26"/>
    <x v="26"/>
    <x v="26"/>
    <x v="16"/>
    <x v="196"/>
    <x v="154"/>
    <x v="96"/>
    <x v="106"/>
    <x v="101"/>
    <x v="42"/>
    <x v="1"/>
  </r>
  <r>
    <x v="0"/>
    <x v="26"/>
    <x v="26"/>
    <x v="38"/>
    <x v="38"/>
    <x v="38"/>
    <x v="16"/>
    <x v="196"/>
    <x v="154"/>
    <x v="151"/>
    <x v="226"/>
    <x v="105"/>
    <x v="54"/>
    <x v="1"/>
  </r>
  <r>
    <x v="0"/>
    <x v="26"/>
    <x v="26"/>
    <x v="30"/>
    <x v="30"/>
    <x v="30"/>
    <x v="16"/>
    <x v="196"/>
    <x v="154"/>
    <x v="96"/>
    <x v="106"/>
    <x v="90"/>
    <x v="336"/>
    <x v="1"/>
  </r>
  <r>
    <x v="0"/>
    <x v="26"/>
    <x v="26"/>
    <x v="27"/>
    <x v="27"/>
    <x v="27"/>
    <x v="19"/>
    <x v="197"/>
    <x v="297"/>
    <x v="96"/>
    <x v="106"/>
    <x v="90"/>
    <x v="336"/>
    <x v="1"/>
  </r>
  <r>
    <x v="0"/>
    <x v="26"/>
    <x v="26"/>
    <x v="32"/>
    <x v="32"/>
    <x v="32"/>
    <x v="19"/>
    <x v="197"/>
    <x v="297"/>
    <x v="96"/>
    <x v="106"/>
    <x v="90"/>
    <x v="336"/>
    <x v="1"/>
  </r>
  <r>
    <x v="0"/>
    <x v="26"/>
    <x v="26"/>
    <x v="19"/>
    <x v="19"/>
    <x v="19"/>
    <x v="19"/>
    <x v="197"/>
    <x v="297"/>
    <x v="151"/>
    <x v="226"/>
    <x v="126"/>
    <x v="238"/>
    <x v="1"/>
  </r>
  <r>
    <x v="0"/>
    <x v="26"/>
    <x v="26"/>
    <x v="28"/>
    <x v="28"/>
    <x v="28"/>
    <x v="19"/>
    <x v="197"/>
    <x v="297"/>
    <x v="85"/>
    <x v="34"/>
    <x v="105"/>
    <x v="54"/>
    <x v="1"/>
  </r>
  <r>
    <x v="0"/>
    <x v="26"/>
    <x v="26"/>
    <x v="11"/>
    <x v="11"/>
    <x v="11"/>
    <x v="19"/>
    <x v="197"/>
    <x v="297"/>
    <x v="85"/>
    <x v="34"/>
    <x v="105"/>
    <x v="54"/>
    <x v="1"/>
  </r>
  <r>
    <x v="0"/>
    <x v="26"/>
    <x v="26"/>
    <x v="25"/>
    <x v="25"/>
    <x v="25"/>
    <x v="19"/>
    <x v="197"/>
    <x v="297"/>
    <x v="151"/>
    <x v="226"/>
    <x v="126"/>
    <x v="238"/>
    <x v="1"/>
  </r>
  <r>
    <x v="0"/>
    <x v="26"/>
    <x v="26"/>
    <x v="18"/>
    <x v="18"/>
    <x v="18"/>
    <x v="19"/>
    <x v="197"/>
    <x v="297"/>
    <x v="151"/>
    <x v="226"/>
    <x v="126"/>
    <x v="238"/>
    <x v="1"/>
  </r>
  <r>
    <x v="0"/>
    <x v="27"/>
    <x v="27"/>
    <x v="1"/>
    <x v="1"/>
    <x v="1"/>
    <x v="0"/>
    <x v="153"/>
    <x v="349"/>
    <x v="36"/>
    <x v="379"/>
    <x v="98"/>
    <x v="6"/>
    <x v="1"/>
  </r>
  <r>
    <x v="0"/>
    <x v="27"/>
    <x v="27"/>
    <x v="0"/>
    <x v="0"/>
    <x v="0"/>
    <x v="1"/>
    <x v="114"/>
    <x v="350"/>
    <x v="103"/>
    <x v="380"/>
    <x v="98"/>
    <x v="6"/>
    <x v="1"/>
  </r>
  <r>
    <x v="0"/>
    <x v="27"/>
    <x v="27"/>
    <x v="5"/>
    <x v="5"/>
    <x v="5"/>
    <x v="2"/>
    <x v="117"/>
    <x v="351"/>
    <x v="56"/>
    <x v="381"/>
    <x v="109"/>
    <x v="339"/>
    <x v="1"/>
  </r>
  <r>
    <x v="0"/>
    <x v="27"/>
    <x v="27"/>
    <x v="2"/>
    <x v="2"/>
    <x v="2"/>
    <x v="3"/>
    <x v="190"/>
    <x v="352"/>
    <x v="129"/>
    <x v="25"/>
    <x v="72"/>
    <x v="340"/>
    <x v="1"/>
  </r>
  <r>
    <x v="0"/>
    <x v="27"/>
    <x v="27"/>
    <x v="9"/>
    <x v="9"/>
    <x v="9"/>
    <x v="4"/>
    <x v="127"/>
    <x v="176"/>
    <x v="122"/>
    <x v="382"/>
    <x v="126"/>
    <x v="238"/>
    <x v="1"/>
  </r>
  <r>
    <x v="0"/>
    <x v="27"/>
    <x v="27"/>
    <x v="8"/>
    <x v="8"/>
    <x v="8"/>
    <x v="5"/>
    <x v="160"/>
    <x v="43"/>
    <x v="56"/>
    <x v="381"/>
    <x v="101"/>
    <x v="341"/>
    <x v="1"/>
  </r>
  <r>
    <x v="0"/>
    <x v="27"/>
    <x v="27"/>
    <x v="3"/>
    <x v="3"/>
    <x v="3"/>
    <x v="5"/>
    <x v="160"/>
    <x v="43"/>
    <x v="116"/>
    <x v="180"/>
    <x v="107"/>
    <x v="342"/>
    <x v="1"/>
  </r>
  <r>
    <x v="0"/>
    <x v="27"/>
    <x v="27"/>
    <x v="13"/>
    <x v="13"/>
    <x v="13"/>
    <x v="7"/>
    <x v="128"/>
    <x v="190"/>
    <x v="111"/>
    <x v="383"/>
    <x v="92"/>
    <x v="343"/>
    <x v="1"/>
  </r>
  <r>
    <x v="0"/>
    <x v="27"/>
    <x v="27"/>
    <x v="6"/>
    <x v="6"/>
    <x v="6"/>
    <x v="8"/>
    <x v="129"/>
    <x v="46"/>
    <x v="110"/>
    <x v="384"/>
    <x v="98"/>
    <x v="6"/>
    <x v="1"/>
  </r>
  <r>
    <x v="0"/>
    <x v="27"/>
    <x v="27"/>
    <x v="16"/>
    <x v="16"/>
    <x v="16"/>
    <x v="9"/>
    <x v="130"/>
    <x v="177"/>
    <x v="86"/>
    <x v="385"/>
    <x v="99"/>
    <x v="10"/>
    <x v="1"/>
  </r>
  <r>
    <x v="0"/>
    <x v="27"/>
    <x v="27"/>
    <x v="18"/>
    <x v="18"/>
    <x v="18"/>
    <x v="9"/>
    <x v="130"/>
    <x v="177"/>
    <x v="116"/>
    <x v="180"/>
    <x v="105"/>
    <x v="344"/>
    <x v="1"/>
  </r>
  <r>
    <x v="0"/>
    <x v="27"/>
    <x v="27"/>
    <x v="10"/>
    <x v="10"/>
    <x v="10"/>
    <x v="11"/>
    <x v="183"/>
    <x v="353"/>
    <x v="85"/>
    <x v="205"/>
    <x v="92"/>
    <x v="343"/>
    <x v="1"/>
  </r>
  <r>
    <x v="0"/>
    <x v="27"/>
    <x v="27"/>
    <x v="7"/>
    <x v="7"/>
    <x v="7"/>
    <x v="12"/>
    <x v="191"/>
    <x v="284"/>
    <x v="112"/>
    <x v="386"/>
    <x v="90"/>
    <x v="345"/>
    <x v="1"/>
  </r>
  <r>
    <x v="0"/>
    <x v="27"/>
    <x v="27"/>
    <x v="11"/>
    <x v="11"/>
    <x v="11"/>
    <x v="13"/>
    <x v="185"/>
    <x v="228"/>
    <x v="112"/>
    <x v="386"/>
    <x v="105"/>
    <x v="344"/>
    <x v="1"/>
  </r>
  <r>
    <x v="0"/>
    <x v="27"/>
    <x v="27"/>
    <x v="14"/>
    <x v="14"/>
    <x v="14"/>
    <x v="13"/>
    <x v="185"/>
    <x v="228"/>
    <x v="111"/>
    <x v="383"/>
    <x v="90"/>
    <x v="345"/>
    <x v="1"/>
  </r>
  <r>
    <x v="0"/>
    <x v="27"/>
    <x v="27"/>
    <x v="19"/>
    <x v="19"/>
    <x v="19"/>
    <x v="15"/>
    <x v="186"/>
    <x v="122"/>
    <x v="117"/>
    <x v="300"/>
    <x v="108"/>
    <x v="34"/>
    <x v="1"/>
  </r>
  <r>
    <x v="0"/>
    <x v="27"/>
    <x v="27"/>
    <x v="15"/>
    <x v="15"/>
    <x v="15"/>
    <x v="16"/>
    <x v="192"/>
    <x v="354"/>
    <x v="85"/>
    <x v="205"/>
    <x v="107"/>
    <x v="342"/>
    <x v="1"/>
  </r>
  <r>
    <x v="0"/>
    <x v="27"/>
    <x v="27"/>
    <x v="23"/>
    <x v="23"/>
    <x v="23"/>
    <x v="16"/>
    <x v="192"/>
    <x v="354"/>
    <x v="85"/>
    <x v="205"/>
    <x v="107"/>
    <x v="342"/>
    <x v="1"/>
  </r>
  <r>
    <x v="0"/>
    <x v="27"/>
    <x v="27"/>
    <x v="21"/>
    <x v="21"/>
    <x v="21"/>
    <x v="16"/>
    <x v="192"/>
    <x v="354"/>
    <x v="85"/>
    <x v="205"/>
    <x v="107"/>
    <x v="342"/>
    <x v="1"/>
  </r>
  <r>
    <x v="0"/>
    <x v="27"/>
    <x v="27"/>
    <x v="37"/>
    <x v="37"/>
    <x v="37"/>
    <x v="19"/>
    <x v="193"/>
    <x v="333"/>
    <x v="151"/>
    <x v="387"/>
    <x v="98"/>
    <x v="6"/>
    <x v="1"/>
  </r>
  <r>
    <x v="0"/>
    <x v="27"/>
    <x v="27"/>
    <x v="12"/>
    <x v="12"/>
    <x v="12"/>
    <x v="19"/>
    <x v="193"/>
    <x v="333"/>
    <x v="151"/>
    <x v="387"/>
    <x v="98"/>
    <x v="6"/>
    <x v="1"/>
  </r>
  <r>
    <x v="0"/>
    <x v="27"/>
    <x v="27"/>
    <x v="4"/>
    <x v="4"/>
    <x v="4"/>
    <x v="19"/>
    <x v="193"/>
    <x v="333"/>
    <x v="151"/>
    <x v="387"/>
    <x v="98"/>
    <x v="6"/>
    <x v="1"/>
  </r>
  <r>
    <x v="0"/>
    <x v="28"/>
    <x v="28"/>
    <x v="2"/>
    <x v="2"/>
    <x v="2"/>
    <x v="0"/>
    <x v="160"/>
    <x v="355"/>
    <x v="109"/>
    <x v="388"/>
    <x v="96"/>
    <x v="346"/>
    <x v="1"/>
  </r>
  <r>
    <x v="0"/>
    <x v="28"/>
    <x v="28"/>
    <x v="5"/>
    <x v="5"/>
    <x v="5"/>
    <x v="1"/>
    <x v="154"/>
    <x v="356"/>
    <x v="109"/>
    <x v="388"/>
    <x v="64"/>
    <x v="347"/>
    <x v="1"/>
  </r>
  <r>
    <x v="0"/>
    <x v="28"/>
    <x v="28"/>
    <x v="13"/>
    <x v="13"/>
    <x v="13"/>
    <x v="2"/>
    <x v="130"/>
    <x v="357"/>
    <x v="112"/>
    <x v="389"/>
    <x v="107"/>
    <x v="348"/>
    <x v="1"/>
  </r>
  <r>
    <x v="0"/>
    <x v="28"/>
    <x v="28"/>
    <x v="7"/>
    <x v="7"/>
    <x v="7"/>
    <x v="3"/>
    <x v="131"/>
    <x v="358"/>
    <x v="110"/>
    <x v="390"/>
    <x v="90"/>
    <x v="38"/>
    <x v="1"/>
  </r>
  <r>
    <x v="0"/>
    <x v="28"/>
    <x v="28"/>
    <x v="1"/>
    <x v="1"/>
    <x v="1"/>
    <x v="3"/>
    <x v="131"/>
    <x v="358"/>
    <x v="110"/>
    <x v="390"/>
    <x v="90"/>
    <x v="38"/>
    <x v="1"/>
  </r>
  <r>
    <x v="0"/>
    <x v="28"/>
    <x v="28"/>
    <x v="8"/>
    <x v="8"/>
    <x v="8"/>
    <x v="5"/>
    <x v="132"/>
    <x v="359"/>
    <x v="109"/>
    <x v="388"/>
    <x v="101"/>
    <x v="349"/>
    <x v="1"/>
  </r>
  <r>
    <x v="0"/>
    <x v="28"/>
    <x v="28"/>
    <x v="0"/>
    <x v="0"/>
    <x v="0"/>
    <x v="6"/>
    <x v="183"/>
    <x v="114"/>
    <x v="110"/>
    <x v="390"/>
    <x v="126"/>
    <x v="238"/>
    <x v="1"/>
  </r>
  <r>
    <x v="0"/>
    <x v="28"/>
    <x v="28"/>
    <x v="3"/>
    <x v="3"/>
    <x v="3"/>
    <x v="7"/>
    <x v="184"/>
    <x v="360"/>
    <x v="129"/>
    <x v="391"/>
    <x v="101"/>
    <x v="349"/>
    <x v="1"/>
  </r>
  <r>
    <x v="0"/>
    <x v="28"/>
    <x v="28"/>
    <x v="16"/>
    <x v="16"/>
    <x v="16"/>
    <x v="8"/>
    <x v="192"/>
    <x v="101"/>
    <x v="151"/>
    <x v="167"/>
    <x v="108"/>
    <x v="350"/>
    <x v="1"/>
  </r>
  <r>
    <x v="0"/>
    <x v="28"/>
    <x v="28"/>
    <x v="9"/>
    <x v="9"/>
    <x v="9"/>
    <x v="8"/>
    <x v="192"/>
    <x v="101"/>
    <x v="129"/>
    <x v="391"/>
    <x v="105"/>
    <x v="120"/>
    <x v="1"/>
  </r>
  <r>
    <x v="0"/>
    <x v="28"/>
    <x v="28"/>
    <x v="32"/>
    <x v="32"/>
    <x v="32"/>
    <x v="10"/>
    <x v="193"/>
    <x v="361"/>
    <x v="85"/>
    <x v="392"/>
    <x v="108"/>
    <x v="350"/>
    <x v="1"/>
  </r>
  <r>
    <x v="0"/>
    <x v="28"/>
    <x v="28"/>
    <x v="6"/>
    <x v="6"/>
    <x v="6"/>
    <x v="10"/>
    <x v="193"/>
    <x v="361"/>
    <x v="54"/>
    <x v="393"/>
    <x v="126"/>
    <x v="238"/>
    <x v="1"/>
  </r>
  <r>
    <x v="0"/>
    <x v="28"/>
    <x v="28"/>
    <x v="35"/>
    <x v="35"/>
    <x v="35"/>
    <x v="12"/>
    <x v="194"/>
    <x v="362"/>
    <x v="117"/>
    <x v="394"/>
    <x v="90"/>
    <x v="38"/>
    <x v="1"/>
  </r>
  <r>
    <x v="0"/>
    <x v="28"/>
    <x v="28"/>
    <x v="10"/>
    <x v="10"/>
    <x v="10"/>
    <x v="13"/>
    <x v="195"/>
    <x v="240"/>
    <x v="85"/>
    <x v="392"/>
    <x v="101"/>
    <x v="349"/>
    <x v="1"/>
  </r>
  <r>
    <x v="0"/>
    <x v="28"/>
    <x v="28"/>
    <x v="4"/>
    <x v="4"/>
    <x v="4"/>
    <x v="13"/>
    <x v="195"/>
    <x v="240"/>
    <x v="85"/>
    <x v="392"/>
    <x v="101"/>
    <x v="349"/>
    <x v="1"/>
  </r>
  <r>
    <x v="0"/>
    <x v="28"/>
    <x v="28"/>
    <x v="30"/>
    <x v="30"/>
    <x v="30"/>
    <x v="13"/>
    <x v="195"/>
    <x v="240"/>
    <x v="96"/>
    <x v="106"/>
    <x v="105"/>
    <x v="120"/>
    <x v="1"/>
  </r>
  <r>
    <x v="0"/>
    <x v="28"/>
    <x v="28"/>
    <x v="18"/>
    <x v="18"/>
    <x v="18"/>
    <x v="13"/>
    <x v="195"/>
    <x v="240"/>
    <x v="113"/>
    <x v="212"/>
    <x v="126"/>
    <x v="238"/>
    <x v="1"/>
  </r>
  <r>
    <x v="0"/>
    <x v="28"/>
    <x v="28"/>
    <x v="23"/>
    <x v="23"/>
    <x v="23"/>
    <x v="17"/>
    <x v="196"/>
    <x v="35"/>
    <x v="96"/>
    <x v="106"/>
    <x v="101"/>
    <x v="349"/>
    <x v="1"/>
  </r>
  <r>
    <x v="0"/>
    <x v="28"/>
    <x v="28"/>
    <x v="17"/>
    <x v="17"/>
    <x v="17"/>
    <x v="17"/>
    <x v="196"/>
    <x v="35"/>
    <x v="85"/>
    <x v="392"/>
    <x v="126"/>
    <x v="238"/>
    <x v="8"/>
  </r>
  <r>
    <x v="0"/>
    <x v="28"/>
    <x v="28"/>
    <x v="14"/>
    <x v="14"/>
    <x v="14"/>
    <x v="17"/>
    <x v="196"/>
    <x v="35"/>
    <x v="151"/>
    <x v="167"/>
    <x v="105"/>
    <x v="120"/>
    <x v="1"/>
  </r>
  <r>
    <x v="0"/>
    <x v="28"/>
    <x v="28"/>
    <x v="34"/>
    <x v="34"/>
    <x v="34"/>
    <x v="17"/>
    <x v="196"/>
    <x v="35"/>
    <x v="151"/>
    <x v="167"/>
    <x v="126"/>
    <x v="238"/>
    <x v="1"/>
  </r>
  <r>
    <x v="0"/>
    <x v="29"/>
    <x v="29"/>
    <x v="1"/>
    <x v="1"/>
    <x v="1"/>
    <x v="0"/>
    <x v="118"/>
    <x v="363"/>
    <x v="82"/>
    <x v="395"/>
    <x v="90"/>
    <x v="323"/>
    <x v="1"/>
  </r>
  <r>
    <x v="0"/>
    <x v="29"/>
    <x v="29"/>
    <x v="5"/>
    <x v="5"/>
    <x v="5"/>
    <x v="1"/>
    <x v="159"/>
    <x v="364"/>
    <x v="55"/>
    <x v="396"/>
    <x v="92"/>
    <x v="351"/>
    <x v="1"/>
  </r>
  <r>
    <x v="0"/>
    <x v="29"/>
    <x v="29"/>
    <x v="2"/>
    <x v="2"/>
    <x v="2"/>
    <x v="2"/>
    <x v="148"/>
    <x v="365"/>
    <x v="111"/>
    <x v="397"/>
    <x v="72"/>
    <x v="352"/>
    <x v="1"/>
  </r>
  <r>
    <x v="0"/>
    <x v="29"/>
    <x v="29"/>
    <x v="13"/>
    <x v="13"/>
    <x v="13"/>
    <x v="2"/>
    <x v="148"/>
    <x v="365"/>
    <x v="52"/>
    <x v="129"/>
    <x v="101"/>
    <x v="320"/>
    <x v="1"/>
  </r>
  <r>
    <x v="0"/>
    <x v="29"/>
    <x v="29"/>
    <x v="0"/>
    <x v="0"/>
    <x v="0"/>
    <x v="4"/>
    <x v="126"/>
    <x v="366"/>
    <x v="52"/>
    <x v="129"/>
    <x v="126"/>
    <x v="238"/>
    <x v="1"/>
  </r>
  <r>
    <x v="0"/>
    <x v="29"/>
    <x v="29"/>
    <x v="10"/>
    <x v="10"/>
    <x v="10"/>
    <x v="5"/>
    <x v="131"/>
    <x v="367"/>
    <x v="86"/>
    <x v="398"/>
    <x v="64"/>
    <x v="353"/>
    <x v="1"/>
  </r>
  <r>
    <x v="0"/>
    <x v="29"/>
    <x v="29"/>
    <x v="8"/>
    <x v="8"/>
    <x v="8"/>
    <x v="6"/>
    <x v="183"/>
    <x v="134"/>
    <x v="111"/>
    <x v="397"/>
    <x v="98"/>
    <x v="22"/>
    <x v="1"/>
  </r>
  <r>
    <x v="0"/>
    <x v="29"/>
    <x v="29"/>
    <x v="9"/>
    <x v="9"/>
    <x v="9"/>
    <x v="7"/>
    <x v="191"/>
    <x v="46"/>
    <x v="109"/>
    <x v="399"/>
    <x v="105"/>
    <x v="354"/>
    <x v="1"/>
  </r>
  <r>
    <x v="0"/>
    <x v="29"/>
    <x v="29"/>
    <x v="16"/>
    <x v="16"/>
    <x v="16"/>
    <x v="8"/>
    <x v="185"/>
    <x v="192"/>
    <x v="113"/>
    <x v="400"/>
    <x v="107"/>
    <x v="321"/>
    <x v="1"/>
  </r>
  <r>
    <x v="0"/>
    <x v="29"/>
    <x v="29"/>
    <x v="3"/>
    <x v="3"/>
    <x v="3"/>
    <x v="9"/>
    <x v="184"/>
    <x v="204"/>
    <x v="54"/>
    <x v="174"/>
    <x v="98"/>
    <x v="22"/>
    <x v="1"/>
  </r>
  <r>
    <x v="0"/>
    <x v="29"/>
    <x v="29"/>
    <x v="32"/>
    <x v="32"/>
    <x v="32"/>
    <x v="10"/>
    <x v="192"/>
    <x v="69"/>
    <x v="85"/>
    <x v="401"/>
    <x v="107"/>
    <x v="321"/>
    <x v="1"/>
  </r>
  <r>
    <x v="0"/>
    <x v="29"/>
    <x v="29"/>
    <x v="19"/>
    <x v="19"/>
    <x v="19"/>
    <x v="10"/>
    <x v="192"/>
    <x v="69"/>
    <x v="113"/>
    <x v="400"/>
    <x v="101"/>
    <x v="320"/>
    <x v="1"/>
  </r>
  <r>
    <x v="0"/>
    <x v="29"/>
    <x v="29"/>
    <x v="7"/>
    <x v="7"/>
    <x v="7"/>
    <x v="12"/>
    <x v="193"/>
    <x v="120"/>
    <x v="54"/>
    <x v="174"/>
    <x v="105"/>
    <x v="354"/>
    <x v="1"/>
  </r>
  <r>
    <x v="0"/>
    <x v="29"/>
    <x v="29"/>
    <x v="37"/>
    <x v="37"/>
    <x v="37"/>
    <x v="13"/>
    <x v="194"/>
    <x v="154"/>
    <x v="151"/>
    <x v="72"/>
    <x v="101"/>
    <x v="320"/>
    <x v="1"/>
  </r>
  <r>
    <x v="0"/>
    <x v="29"/>
    <x v="29"/>
    <x v="21"/>
    <x v="21"/>
    <x v="21"/>
    <x v="13"/>
    <x v="194"/>
    <x v="154"/>
    <x v="85"/>
    <x v="401"/>
    <x v="98"/>
    <x v="22"/>
    <x v="1"/>
  </r>
  <r>
    <x v="0"/>
    <x v="29"/>
    <x v="29"/>
    <x v="17"/>
    <x v="17"/>
    <x v="17"/>
    <x v="13"/>
    <x v="194"/>
    <x v="154"/>
    <x v="117"/>
    <x v="402"/>
    <x v="90"/>
    <x v="323"/>
    <x v="1"/>
  </r>
  <r>
    <x v="0"/>
    <x v="29"/>
    <x v="29"/>
    <x v="4"/>
    <x v="4"/>
    <x v="4"/>
    <x v="13"/>
    <x v="194"/>
    <x v="154"/>
    <x v="151"/>
    <x v="72"/>
    <x v="101"/>
    <x v="320"/>
    <x v="1"/>
  </r>
  <r>
    <x v="0"/>
    <x v="29"/>
    <x v="29"/>
    <x v="18"/>
    <x v="18"/>
    <x v="18"/>
    <x v="13"/>
    <x v="194"/>
    <x v="154"/>
    <x v="117"/>
    <x v="402"/>
    <x v="90"/>
    <x v="323"/>
    <x v="1"/>
  </r>
  <r>
    <x v="0"/>
    <x v="29"/>
    <x v="29"/>
    <x v="22"/>
    <x v="22"/>
    <x v="22"/>
    <x v="13"/>
    <x v="194"/>
    <x v="154"/>
    <x v="117"/>
    <x v="402"/>
    <x v="90"/>
    <x v="323"/>
    <x v="1"/>
  </r>
  <r>
    <x v="0"/>
    <x v="29"/>
    <x v="29"/>
    <x v="29"/>
    <x v="29"/>
    <x v="29"/>
    <x v="19"/>
    <x v="195"/>
    <x v="73"/>
    <x v="85"/>
    <x v="401"/>
    <x v="101"/>
    <x v="320"/>
    <x v="1"/>
  </r>
  <r>
    <x v="0"/>
    <x v="29"/>
    <x v="29"/>
    <x v="15"/>
    <x v="15"/>
    <x v="15"/>
    <x v="19"/>
    <x v="195"/>
    <x v="73"/>
    <x v="96"/>
    <x v="106"/>
    <x v="98"/>
    <x v="22"/>
    <x v="1"/>
  </r>
  <r>
    <x v="0"/>
    <x v="29"/>
    <x v="29"/>
    <x v="35"/>
    <x v="35"/>
    <x v="35"/>
    <x v="19"/>
    <x v="195"/>
    <x v="73"/>
    <x v="151"/>
    <x v="72"/>
    <x v="90"/>
    <x v="323"/>
    <x v="1"/>
  </r>
  <r>
    <x v="0"/>
    <x v="29"/>
    <x v="29"/>
    <x v="23"/>
    <x v="23"/>
    <x v="23"/>
    <x v="19"/>
    <x v="195"/>
    <x v="73"/>
    <x v="151"/>
    <x v="72"/>
    <x v="90"/>
    <x v="323"/>
    <x v="1"/>
  </r>
  <r>
    <x v="0"/>
    <x v="29"/>
    <x v="29"/>
    <x v="12"/>
    <x v="12"/>
    <x v="12"/>
    <x v="19"/>
    <x v="195"/>
    <x v="73"/>
    <x v="113"/>
    <x v="400"/>
    <x v="126"/>
    <x v="238"/>
    <x v="1"/>
  </r>
  <r>
    <x v="0"/>
    <x v="29"/>
    <x v="29"/>
    <x v="36"/>
    <x v="36"/>
    <x v="36"/>
    <x v="19"/>
    <x v="195"/>
    <x v="73"/>
    <x v="85"/>
    <x v="401"/>
    <x v="101"/>
    <x v="320"/>
    <x v="1"/>
  </r>
  <r>
    <x v="0"/>
    <x v="29"/>
    <x v="29"/>
    <x v="40"/>
    <x v="40"/>
    <x v="40"/>
    <x v="19"/>
    <x v="195"/>
    <x v="73"/>
    <x v="85"/>
    <x v="401"/>
    <x v="101"/>
    <x v="320"/>
    <x v="1"/>
  </r>
  <r>
    <x v="0"/>
    <x v="30"/>
    <x v="30"/>
    <x v="2"/>
    <x v="2"/>
    <x v="2"/>
    <x v="0"/>
    <x v="156"/>
    <x v="368"/>
    <x v="72"/>
    <x v="403"/>
    <x v="38"/>
    <x v="355"/>
    <x v="1"/>
  </r>
  <r>
    <x v="0"/>
    <x v="30"/>
    <x v="30"/>
    <x v="1"/>
    <x v="1"/>
    <x v="1"/>
    <x v="1"/>
    <x v="113"/>
    <x v="171"/>
    <x v="105"/>
    <x v="404"/>
    <x v="64"/>
    <x v="356"/>
    <x v="1"/>
  </r>
  <r>
    <x v="0"/>
    <x v="30"/>
    <x v="30"/>
    <x v="5"/>
    <x v="5"/>
    <x v="5"/>
    <x v="2"/>
    <x v="57"/>
    <x v="369"/>
    <x v="95"/>
    <x v="405"/>
    <x v="89"/>
    <x v="357"/>
    <x v="1"/>
  </r>
  <r>
    <x v="0"/>
    <x v="30"/>
    <x v="30"/>
    <x v="0"/>
    <x v="0"/>
    <x v="0"/>
    <x v="3"/>
    <x v="73"/>
    <x v="40"/>
    <x v="84"/>
    <x v="247"/>
    <x v="44"/>
    <x v="358"/>
    <x v="1"/>
  </r>
  <r>
    <x v="0"/>
    <x v="30"/>
    <x v="30"/>
    <x v="3"/>
    <x v="3"/>
    <x v="3"/>
    <x v="4"/>
    <x v="138"/>
    <x v="370"/>
    <x v="74"/>
    <x v="406"/>
    <x v="92"/>
    <x v="333"/>
    <x v="1"/>
  </r>
  <r>
    <x v="0"/>
    <x v="30"/>
    <x v="30"/>
    <x v="6"/>
    <x v="6"/>
    <x v="6"/>
    <x v="5"/>
    <x v="91"/>
    <x v="371"/>
    <x v="116"/>
    <x v="103"/>
    <x v="98"/>
    <x v="325"/>
    <x v="1"/>
  </r>
  <r>
    <x v="0"/>
    <x v="30"/>
    <x v="30"/>
    <x v="7"/>
    <x v="7"/>
    <x v="7"/>
    <x v="6"/>
    <x v="92"/>
    <x v="80"/>
    <x v="104"/>
    <x v="407"/>
    <x v="101"/>
    <x v="327"/>
    <x v="1"/>
  </r>
  <r>
    <x v="0"/>
    <x v="30"/>
    <x v="30"/>
    <x v="10"/>
    <x v="10"/>
    <x v="10"/>
    <x v="7"/>
    <x v="190"/>
    <x v="134"/>
    <x v="110"/>
    <x v="152"/>
    <x v="92"/>
    <x v="333"/>
    <x v="1"/>
  </r>
  <r>
    <x v="0"/>
    <x v="30"/>
    <x v="30"/>
    <x v="8"/>
    <x v="8"/>
    <x v="8"/>
    <x v="7"/>
    <x v="190"/>
    <x v="134"/>
    <x v="56"/>
    <x v="408"/>
    <x v="107"/>
    <x v="329"/>
    <x v="1"/>
  </r>
  <r>
    <x v="0"/>
    <x v="30"/>
    <x v="30"/>
    <x v="9"/>
    <x v="9"/>
    <x v="9"/>
    <x v="9"/>
    <x v="154"/>
    <x v="372"/>
    <x v="56"/>
    <x v="408"/>
    <x v="126"/>
    <x v="238"/>
    <x v="1"/>
  </r>
  <r>
    <x v="0"/>
    <x v="30"/>
    <x v="30"/>
    <x v="12"/>
    <x v="12"/>
    <x v="12"/>
    <x v="10"/>
    <x v="132"/>
    <x v="325"/>
    <x v="109"/>
    <x v="409"/>
    <x v="101"/>
    <x v="327"/>
    <x v="1"/>
  </r>
  <r>
    <x v="0"/>
    <x v="30"/>
    <x v="30"/>
    <x v="14"/>
    <x v="14"/>
    <x v="14"/>
    <x v="11"/>
    <x v="183"/>
    <x v="373"/>
    <x v="129"/>
    <x v="410"/>
    <x v="108"/>
    <x v="6"/>
    <x v="1"/>
  </r>
  <r>
    <x v="0"/>
    <x v="30"/>
    <x v="30"/>
    <x v="4"/>
    <x v="4"/>
    <x v="4"/>
    <x v="12"/>
    <x v="184"/>
    <x v="260"/>
    <x v="117"/>
    <x v="411"/>
    <x v="107"/>
    <x v="329"/>
    <x v="1"/>
  </r>
  <r>
    <x v="0"/>
    <x v="30"/>
    <x v="30"/>
    <x v="11"/>
    <x v="11"/>
    <x v="11"/>
    <x v="12"/>
    <x v="184"/>
    <x v="260"/>
    <x v="129"/>
    <x v="410"/>
    <x v="101"/>
    <x v="327"/>
    <x v="1"/>
  </r>
  <r>
    <x v="0"/>
    <x v="30"/>
    <x v="30"/>
    <x v="13"/>
    <x v="13"/>
    <x v="13"/>
    <x v="14"/>
    <x v="192"/>
    <x v="57"/>
    <x v="113"/>
    <x v="75"/>
    <x v="101"/>
    <x v="327"/>
    <x v="1"/>
  </r>
  <r>
    <x v="0"/>
    <x v="30"/>
    <x v="30"/>
    <x v="15"/>
    <x v="15"/>
    <x v="15"/>
    <x v="14"/>
    <x v="192"/>
    <x v="57"/>
    <x v="96"/>
    <x v="106"/>
    <x v="64"/>
    <x v="356"/>
    <x v="1"/>
  </r>
  <r>
    <x v="0"/>
    <x v="30"/>
    <x v="30"/>
    <x v="18"/>
    <x v="18"/>
    <x v="18"/>
    <x v="14"/>
    <x v="192"/>
    <x v="57"/>
    <x v="54"/>
    <x v="69"/>
    <x v="90"/>
    <x v="359"/>
    <x v="1"/>
  </r>
  <r>
    <x v="0"/>
    <x v="30"/>
    <x v="30"/>
    <x v="41"/>
    <x v="41"/>
    <x v="41"/>
    <x v="17"/>
    <x v="193"/>
    <x v="374"/>
    <x v="151"/>
    <x v="412"/>
    <x v="101"/>
    <x v="327"/>
    <x v="5"/>
  </r>
  <r>
    <x v="0"/>
    <x v="30"/>
    <x v="30"/>
    <x v="24"/>
    <x v="24"/>
    <x v="24"/>
    <x v="17"/>
    <x v="193"/>
    <x v="374"/>
    <x v="117"/>
    <x v="411"/>
    <x v="101"/>
    <x v="327"/>
    <x v="1"/>
  </r>
  <r>
    <x v="0"/>
    <x v="30"/>
    <x v="30"/>
    <x v="29"/>
    <x v="29"/>
    <x v="29"/>
    <x v="19"/>
    <x v="194"/>
    <x v="375"/>
    <x v="151"/>
    <x v="412"/>
    <x v="101"/>
    <x v="327"/>
    <x v="1"/>
  </r>
  <r>
    <x v="0"/>
    <x v="30"/>
    <x v="30"/>
    <x v="27"/>
    <x v="27"/>
    <x v="27"/>
    <x v="19"/>
    <x v="194"/>
    <x v="375"/>
    <x v="54"/>
    <x v="69"/>
    <x v="126"/>
    <x v="238"/>
    <x v="1"/>
  </r>
  <r>
    <x v="0"/>
    <x v="30"/>
    <x v="30"/>
    <x v="37"/>
    <x v="37"/>
    <x v="37"/>
    <x v="19"/>
    <x v="194"/>
    <x v="375"/>
    <x v="113"/>
    <x v="75"/>
    <x v="105"/>
    <x v="331"/>
    <x v="1"/>
  </r>
  <r>
    <x v="0"/>
    <x v="30"/>
    <x v="30"/>
    <x v="40"/>
    <x v="40"/>
    <x v="40"/>
    <x v="19"/>
    <x v="194"/>
    <x v="375"/>
    <x v="117"/>
    <x v="411"/>
    <x v="90"/>
    <x v="359"/>
    <x v="1"/>
  </r>
  <r>
    <x v="0"/>
    <x v="30"/>
    <x v="30"/>
    <x v="22"/>
    <x v="22"/>
    <x v="22"/>
    <x v="19"/>
    <x v="194"/>
    <x v="375"/>
    <x v="96"/>
    <x v="106"/>
    <x v="98"/>
    <x v="325"/>
    <x v="1"/>
  </r>
  <r>
    <x v="0"/>
    <x v="31"/>
    <x v="31"/>
    <x v="5"/>
    <x v="5"/>
    <x v="5"/>
    <x v="0"/>
    <x v="114"/>
    <x v="376"/>
    <x v="57"/>
    <x v="413"/>
    <x v="68"/>
    <x v="360"/>
    <x v="1"/>
  </r>
  <r>
    <x v="0"/>
    <x v="31"/>
    <x v="31"/>
    <x v="1"/>
    <x v="1"/>
    <x v="1"/>
    <x v="1"/>
    <x v="146"/>
    <x v="377"/>
    <x v="84"/>
    <x v="414"/>
    <x v="107"/>
    <x v="50"/>
    <x v="1"/>
  </r>
  <r>
    <x v="0"/>
    <x v="31"/>
    <x v="31"/>
    <x v="2"/>
    <x v="2"/>
    <x v="2"/>
    <x v="2"/>
    <x v="147"/>
    <x v="378"/>
    <x v="112"/>
    <x v="47"/>
    <x v="97"/>
    <x v="361"/>
    <x v="1"/>
  </r>
  <r>
    <x v="0"/>
    <x v="31"/>
    <x v="31"/>
    <x v="6"/>
    <x v="6"/>
    <x v="6"/>
    <x v="3"/>
    <x v="91"/>
    <x v="379"/>
    <x v="74"/>
    <x v="415"/>
    <x v="101"/>
    <x v="307"/>
    <x v="1"/>
  </r>
  <r>
    <x v="0"/>
    <x v="31"/>
    <x v="31"/>
    <x v="8"/>
    <x v="8"/>
    <x v="8"/>
    <x v="4"/>
    <x v="122"/>
    <x v="380"/>
    <x v="106"/>
    <x v="416"/>
    <x v="99"/>
    <x v="362"/>
    <x v="1"/>
  </r>
  <r>
    <x v="0"/>
    <x v="31"/>
    <x v="31"/>
    <x v="0"/>
    <x v="0"/>
    <x v="0"/>
    <x v="5"/>
    <x v="123"/>
    <x v="381"/>
    <x v="72"/>
    <x v="417"/>
    <x v="98"/>
    <x v="102"/>
    <x v="1"/>
  </r>
  <r>
    <x v="0"/>
    <x v="31"/>
    <x v="31"/>
    <x v="3"/>
    <x v="3"/>
    <x v="3"/>
    <x v="6"/>
    <x v="117"/>
    <x v="382"/>
    <x v="37"/>
    <x v="418"/>
    <x v="100"/>
    <x v="363"/>
    <x v="1"/>
  </r>
  <r>
    <x v="0"/>
    <x v="31"/>
    <x v="31"/>
    <x v="10"/>
    <x v="10"/>
    <x v="10"/>
    <x v="7"/>
    <x v="140"/>
    <x v="45"/>
    <x v="109"/>
    <x v="419"/>
    <x v="99"/>
    <x v="362"/>
    <x v="1"/>
  </r>
  <r>
    <x v="0"/>
    <x v="31"/>
    <x v="31"/>
    <x v="9"/>
    <x v="9"/>
    <x v="9"/>
    <x v="8"/>
    <x v="129"/>
    <x v="8"/>
    <x v="116"/>
    <x v="420"/>
    <x v="90"/>
    <x v="195"/>
    <x v="1"/>
  </r>
  <r>
    <x v="0"/>
    <x v="31"/>
    <x v="31"/>
    <x v="12"/>
    <x v="12"/>
    <x v="12"/>
    <x v="9"/>
    <x v="183"/>
    <x v="383"/>
    <x v="86"/>
    <x v="421"/>
    <x v="108"/>
    <x v="364"/>
    <x v="1"/>
  </r>
  <r>
    <x v="0"/>
    <x v="31"/>
    <x v="31"/>
    <x v="13"/>
    <x v="13"/>
    <x v="13"/>
    <x v="10"/>
    <x v="191"/>
    <x v="179"/>
    <x v="54"/>
    <x v="298"/>
    <x v="107"/>
    <x v="50"/>
    <x v="1"/>
  </r>
  <r>
    <x v="0"/>
    <x v="31"/>
    <x v="31"/>
    <x v="7"/>
    <x v="7"/>
    <x v="7"/>
    <x v="11"/>
    <x v="184"/>
    <x v="384"/>
    <x v="54"/>
    <x v="298"/>
    <x v="98"/>
    <x v="102"/>
    <x v="1"/>
  </r>
  <r>
    <x v="0"/>
    <x v="31"/>
    <x v="31"/>
    <x v="27"/>
    <x v="27"/>
    <x v="27"/>
    <x v="12"/>
    <x v="186"/>
    <x v="385"/>
    <x v="85"/>
    <x v="422"/>
    <x v="64"/>
    <x v="365"/>
    <x v="1"/>
  </r>
  <r>
    <x v="0"/>
    <x v="31"/>
    <x v="31"/>
    <x v="18"/>
    <x v="18"/>
    <x v="18"/>
    <x v="12"/>
    <x v="186"/>
    <x v="385"/>
    <x v="86"/>
    <x v="421"/>
    <x v="105"/>
    <x v="366"/>
    <x v="1"/>
  </r>
  <r>
    <x v="0"/>
    <x v="31"/>
    <x v="31"/>
    <x v="17"/>
    <x v="17"/>
    <x v="17"/>
    <x v="14"/>
    <x v="192"/>
    <x v="386"/>
    <x v="113"/>
    <x v="105"/>
    <x v="105"/>
    <x v="366"/>
    <x v="8"/>
  </r>
  <r>
    <x v="0"/>
    <x v="31"/>
    <x v="31"/>
    <x v="4"/>
    <x v="4"/>
    <x v="4"/>
    <x v="14"/>
    <x v="192"/>
    <x v="386"/>
    <x v="113"/>
    <x v="105"/>
    <x v="101"/>
    <x v="307"/>
    <x v="1"/>
  </r>
  <r>
    <x v="0"/>
    <x v="31"/>
    <x v="31"/>
    <x v="11"/>
    <x v="11"/>
    <x v="11"/>
    <x v="14"/>
    <x v="192"/>
    <x v="386"/>
    <x v="54"/>
    <x v="298"/>
    <x v="90"/>
    <x v="195"/>
    <x v="1"/>
  </r>
  <r>
    <x v="0"/>
    <x v="31"/>
    <x v="31"/>
    <x v="31"/>
    <x v="31"/>
    <x v="31"/>
    <x v="17"/>
    <x v="193"/>
    <x v="387"/>
    <x v="151"/>
    <x v="423"/>
    <x v="98"/>
    <x v="102"/>
    <x v="1"/>
  </r>
  <r>
    <x v="0"/>
    <x v="31"/>
    <x v="31"/>
    <x v="14"/>
    <x v="14"/>
    <x v="14"/>
    <x v="17"/>
    <x v="193"/>
    <x v="387"/>
    <x v="151"/>
    <x v="423"/>
    <x v="98"/>
    <x v="102"/>
    <x v="1"/>
  </r>
  <r>
    <x v="0"/>
    <x v="31"/>
    <x v="31"/>
    <x v="24"/>
    <x v="24"/>
    <x v="24"/>
    <x v="17"/>
    <x v="193"/>
    <x v="387"/>
    <x v="151"/>
    <x v="423"/>
    <x v="101"/>
    <x v="307"/>
    <x v="1"/>
  </r>
  <r>
    <x v="0"/>
    <x v="32"/>
    <x v="32"/>
    <x v="1"/>
    <x v="1"/>
    <x v="1"/>
    <x v="0"/>
    <x v="72"/>
    <x v="77"/>
    <x v="44"/>
    <x v="424"/>
    <x v="98"/>
    <x v="294"/>
    <x v="1"/>
  </r>
  <r>
    <x v="0"/>
    <x v="32"/>
    <x v="32"/>
    <x v="2"/>
    <x v="2"/>
    <x v="2"/>
    <x v="1"/>
    <x v="57"/>
    <x v="388"/>
    <x v="56"/>
    <x v="99"/>
    <x v="85"/>
    <x v="367"/>
    <x v="1"/>
  </r>
  <r>
    <x v="0"/>
    <x v="32"/>
    <x v="32"/>
    <x v="5"/>
    <x v="5"/>
    <x v="5"/>
    <x v="2"/>
    <x v="178"/>
    <x v="389"/>
    <x v="72"/>
    <x v="425"/>
    <x v="72"/>
    <x v="368"/>
    <x v="1"/>
  </r>
  <r>
    <x v="0"/>
    <x v="32"/>
    <x v="32"/>
    <x v="6"/>
    <x v="6"/>
    <x v="6"/>
    <x v="3"/>
    <x v="114"/>
    <x v="390"/>
    <x v="82"/>
    <x v="426"/>
    <x v="92"/>
    <x v="369"/>
    <x v="1"/>
  </r>
  <r>
    <x v="0"/>
    <x v="32"/>
    <x v="32"/>
    <x v="0"/>
    <x v="0"/>
    <x v="0"/>
    <x v="4"/>
    <x v="182"/>
    <x v="391"/>
    <x v="73"/>
    <x v="427"/>
    <x v="107"/>
    <x v="290"/>
    <x v="1"/>
  </r>
  <r>
    <x v="0"/>
    <x v="32"/>
    <x v="32"/>
    <x v="3"/>
    <x v="3"/>
    <x v="3"/>
    <x v="5"/>
    <x v="147"/>
    <x v="244"/>
    <x v="74"/>
    <x v="428"/>
    <x v="102"/>
    <x v="176"/>
    <x v="1"/>
  </r>
  <r>
    <x v="0"/>
    <x v="32"/>
    <x v="32"/>
    <x v="8"/>
    <x v="8"/>
    <x v="8"/>
    <x v="6"/>
    <x v="139"/>
    <x v="392"/>
    <x v="97"/>
    <x v="429"/>
    <x v="102"/>
    <x v="176"/>
    <x v="1"/>
  </r>
  <r>
    <x v="0"/>
    <x v="32"/>
    <x v="32"/>
    <x v="10"/>
    <x v="10"/>
    <x v="10"/>
    <x v="7"/>
    <x v="128"/>
    <x v="150"/>
    <x v="86"/>
    <x v="343"/>
    <x v="44"/>
    <x v="370"/>
    <x v="1"/>
  </r>
  <r>
    <x v="0"/>
    <x v="32"/>
    <x v="32"/>
    <x v="16"/>
    <x v="16"/>
    <x v="16"/>
    <x v="8"/>
    <x v="154"/>
    <x v="204"/>
    <x v="113"/>
    <x v="361"/>
    <x v="109"/>
    <x v="371"/>
    <x v="1"/>
  </r>
  <r>
    <x v="0"/>
    <x v="32"/>
    <x v="32"/>
    <x v="7"/>
    <x v="7"/>
    <x v="7"/>
    <x v="9"/>
    <x v="129"/>
    <x v="313"/>
    <x v="107"/>
    <x v="398"/>
    <x v="101"/>
    <x v="180"/>
    <x v="1"/>
  </r>
  <r>
    <x v="0"/>
    <x v="32"/>
    <x v="32"/>
    <x v="4"/>
    <x v="4"/>
    <x v="4"/>
    <x v="10"/>
    <x v="130"/>
    <x v="303"/>
    <x v="112"/>
    <x v="360"/>
    <x v="107"/>
    <x v="290"/>
    <x v="1"/>
  </r>
  <r>
    <x v="0"/>
    <x v="32"/>
    <x v="32"/>
    <x v="14"/>
    <x v="14"/>
    <x v="14"/>
    <x v="10"/>
    <x v="130"/>
    <x v="303"/>
    <x v="114"/>
    <x v="212"/>
    <x v="98"/>
    <x v="294"/>
    <x v="1"/>
  </r>
  <r>
    <x v="0"/>
    <x v="32"/>
    <x v="32"/>
    <x v="9"/>
    <x v="9"/>
    <x v="9"/>
    <x v="10"/>
    <x v="130"/>
    <x v="303"/>
    <x v="116"/>
    <x v="356"/>
    <x v="105"/>
    <x v="372"/>
    <x v="1"/>
  </r>
  <r>
    <x v="0"/>
    <x v="32"/>
    <x v="32"/>
    <x v="11"/>
    <x v="11"/>
    <x v="11"/>
    <x v="13"/>
    <x v="183"/>
    <x v="315"/>
    <x v="112"/>
    <x v="360"/>
    <x v="101"/>
    <x v="180"/>
    <x v="1"/>
  </r>
  <r>
    <x v="0"/>
    <x v="32"/>
    <x v="32"/>
    <x v="30"/>
    <x v="30"/>
    <x v="30"/>
    <x v="13"/>
    <x v="183"/>
    <x v="315"/>
    <x v="96"/>
    <x v="106"/>
    <x v="98"/>
    <x v="294"/>
    <x v="1"/>
  </r>
  <r>
    <x v="0"/>
    <x v="32"/>
    <x v="32"/>
    <x v="24"/>
    <x v="24"/>
    <x v="24"/>
    <x v="15"/>
    <x v="185"/>
    <x v="393"/>
    <x v="113"/>
    <x v="361"/>
    <x v="107"/>
    <x v="290"/>
    <x v="1"/>
  </r>
  <r>
    <x v="0"/>
    <x v="32"/>
    <x v="32"/>
    <x v="13"/>
    <x v="13"/>
    <x v="13"/>
    <x v="16"/>
    <x v="184"/>
    <x v="394"/>
    <x v="129"/>
    <x v="359"/>
    <x v="101"/>
    <x v="180"/>
    <x v="1"/>
  </r>
  <r>
    <x v="0"/>
    <x v="32"/>
    <x v="32"/>
    <x v="19"/>
    <x v="19"/>
    <x v="19"/>
    <x v="16"/>
    <x v="184"/>
    <x v="394"/>
    <x v="117"/>
    <x v="358"/>
    <x v="107"/>
    <x v="290"/>
    <x v="1"/>
  </r>
  <r>
    <x v="0"/>
    <x v="32"/>
    <x v="32"/>
    <x v="12"/>
    <x v="12"/>
    <x v="12"/>
    <x v="16"/>
    <x v="184"/>
    <x v="394"/>
    <x v="129"/>
    <x v="359"/>
    <x v="101"/>
    <x v="180"/>
    <x v="1"/>
  </r>
  <r>
    <x v="0"/>
    <x v="32"/>
    <x v="32"/>
    <x v="18"/>
    <x v="18"/>
    <x v="18"/>
    <x v="16"/>
    <x v="184"/>
    <x v="394"/>
    <x v="86"/>
    <x v="343"/>
    <x v="90"/>
    <x v="163"/>
    <x v="1"/>
  </r>
  <r>
    <x v="0"/>
    <x v="33"/>
    <x v="33"/>
    <x v="0"/>
    <x v="0"/>
    <x v="0"/>
    <x v="0"/>
    <x v="88"/>
    <x v="395"/>
    <x v="120"/>
    <x v="430"/>
    <x v="96"/>
    <x v="310"/>
    <x v="1"/>
  </r>
  <r>
    <x v="0"/>
    <x v="33"/>
    <x v="33"/>
    <x v="1"/>
    <x v="1"/>
    <x v="1"/>
    <x v="0"/>
    <x v="88"/>
    <x v="395"/>
    <x v="132"/>
    <x v="431"/>
    <x v="92"/>
    <x v="373"/>
    <x v="1"/>
  </r>
  <r>
    <x v="0"/>
    <x v="33"/>
    <x v="33"/>
    <x v="3"/>
    <x v="3"/>
    <x v="3"/>
    <x v="2"/>
    <x v="121"/>
    <x v="396"/>
    <x v="55"/>
    <x v="353"/>
    <x v="91"/>
    <x v="374"/>
    <x v="1"/>
  </r>
  <r>
    <x v="0"/>
    <x v="33"/>
    <x v="33"/>
    <x v="4"/>
    <x v="4"/>
    <x v="4"/>
    <x v="3"/>
    <x v="148"/>
    <x v="320"/>
    <x v="56"/>
    <x v="432"/>
    <x v="99"/>
    <x v="375"/>
    <x v="1"/>
  </r>
  <r>
    <x v="0"/>
    <x v="33"/>
    <x v="33"/>
    <x v="6"/>
    <x v="6"/>
    <x v="6"/>
    <x v="4"/>
    <x v="127"/>
    <x v="397"/>
    <x v="114"/>
    <x v="433"/>
    <x v="99"/>
    <x v="375"/>
    <x v="1"/>
  </r>
  <r>
    <x v="0"/>
    <x v="33"/>
    <x v="33"/>
    <x v="9"/>
    <x v="9"/>
    <x v="9"/>
    <x v="5"/>
    <x v="140"/>
    <x v="360"/>
    <x v="55"/>
    <x v="353"/>
    <x v="101"/>
    <x v="376"/>
    <x v="1"/>
  </r>
  <r>
    <x v="0"/>
    <x v="33"/>
    <x v="33"/>
    <x v="2"/>
    <x v="2"/>
    <x v="2"/>
    <x v="6"/>
    <x v="154"/>
    <x v="398"/>
    <x v="151"/>
    <x v="34"/>
    <x v="81"/>
    <x v="149"/>
    <x v="1"/>
  </r>
  <r>
    <x v="0"/>
    <x v="33"/>
    <x v="33"/>
    <x v="12"/>
    <x v="12"/>
    <x v="12"/>
    <x v="7"/>
    <x v="130"/>
    <x v="399"/>
    <x v="86"/>
    <x v="434"/>
    <x v="99"/>
    <x v="375"/>
    <x v="1"/>
  </r>
  <r>
    <x v="0"/>
    <x v="33"/>
    <x v="33"/>
    <x v="8"/>
    <x v="8"/>
    <x v="8"/>
    <x v="7"/>
    <x v="130"/>
    <x v="399"/>
    <x v="111"/>
    <x v="435"/>
    <x v="64"/>
    <x v="349"/>
    <x v="1"/>
  </r>
  <r>
    <x v="0"/>
    <x v="33"/>
    <x v="33"/>
    <x v="5"/>
    <x v="5"/>
    <x v="5"/>
    <x v="9"/>
    <x v="183"/>
    <x v="361"/>
    <x v="113"/>
    <x v="172"/>
    <x v="99"/>
    <x v="375"/>
    <x v="1"/>
  </r>
  <r>
    <x v="0"/>
    <x v="33"/>
    <x v="33"/>
    <x v="11"/>
    <x v="11"/>
    <x v="11"/>
    <x v="9"/>
    <x v="183"/>
    <x v="361"/>
    <x v="109"/>
    <x v="83"/>
    <x v="90"/>
    <x v="144"/>
    <x v="1"/>
  </r>
  <r>
    <x v="0"/>
    <x v="33"/>
    <x v="33"/>
    <x v="13"/>
    <x v="13"/>
    <x v="13"/>
    <x v="11"/>
    <x v="191"/>
    <x v="224"/>
    <x v="117"/>
    <x v="436"/>
    <x v="99"/>
    <x v="375"/>
    <x v="1"/>
  </r>
  <r>
    <x v="0"/>
    <x v="33"/>
    <x v="33"/>
    <x v="10"/>
    <x v="10"/>
    <x v="10"/>
    <x v="12"/>
    <x v="185"/>
    <x v="362"/>
    <x v="113"/>
    <x v="172"/>
    <x v="107"/>
    <x v="377"/>
    <x v="1"/>
  </r>
  <r>
    <x v="0"/>
    <x v="33"/>
    <x v="33"/>
    <x v="36"/>
    <x v="36"/>
    <x v="36"/>
    <x v="12"/>
    <x v="185"/>
    <x v="362"/>
    <x v="85"/>
    <x v="437"/>
    <x v="102"/>
    <x v="378"/>
    <x v="1"/>
  </r>
  <r>
    <x v="0"/>
    <x v="33"/>
    <x v="33"/>
    <x v="7"/>
    <x v="7"/>
    <x v="7"/>
    <x v="14"/>
    <x v="184"/>
    <x v="314"/>
    <x v="113"/>
    <x v="172"/>
    <x v="108"/>
    <x v="313"/>
    <x v="1"/>
  </r>
  <r>
    <x v="0"/>
    <x v="33"/>
    <x v="33"/>
    <x v="14"/>
    <x v="14"/>
    <x v="14"/>
    <x v="15"/>
    <x v="192"/>
    <x v="194"/>
    <x v="117"/>
    <x v="436"/>
    <x v="98"/>
    <x v="82"/>
    <x v="1"/>
  </r>
  <r>
    <x v="0"/>
    <x v="33"/>
    <x v="33"/>
    <x v="24"/>
    <x v="24"/>
    <x v="24"/>
    <x v="16"/>
    <x v="193"/>
    <x v="35"/>
    <x v="151"/>
    <x v="34"/>
    <x v="98"/>
    <x v="82"/>
    <x v="1"/>
  </r>
  <r>
    <x v="0"/>
    <x v="33"/>
    <x v="33"/>
    <x v="42"/>
    <x v="42"/>
    <x v="42"/>
    <x v="17"/>
    <x v="195"/>
    <x v="211"/>
    <x v="85"/>
    <x v="437"/>
    <x v="101"/>
    <x v="376"/>
    <x v="1"/>
  </r>
  <r>
    <x v="0"/>
    <x v="33"/>
    <x v="33"/>
    <x v="43"/>
    <x v="43"/>
    <x v="43"/>
    <x v="17"/>
    <x v="195"/>
    <x v="211"/>
    <x v="85"/>
    <x v="437"/>
    <x v="101"/>
    <x v="376"/>
    <x v="1"/>
  </r>
  <r>
    <x v="0"/>
    <x v="33"/>
    <x v="33"/>
    <x v="22"/>
    <x v="22"/>
    <x v="22"/>
    <x v="17"/>
    <x v="195"/>
    <x v="211"/>
    <x v="96"/>
    <x v="106"/>
    <x v="98"/>
    <x v="82"/>
    <x v="1"/>
  </r>
  <r>
    <x v="0"/>
    <x v="34"/>
    <x v="34"/>
    <x v="0"/>
    <x v="0"/>
    <x v="0"/>
    <x v="0"/>
    <x v="132"/>
    <x v="400"/>
    <x v="110"/>
    <x v="438"/>
    <x v="105"/>
    <x v="185"/>
    <x v="1"/>
  </r>
  <r>
    <x v="0"/>
    <x v="34"/>
    <x v="34"/>
    <x v="1"/>
    <x v="1"/>
    <x v="1"/>
    <x v="1"/>
    <x v="183"/>
    <x v="401"/>
    <x v="114"/>
    <x v="439"/>
    <x v="105"/>
    <x v="185"/>
    <x v="1"/>
  </r>
  <r>
    <x v="0"/>
    <x v="34"/>
    <x v="34"/>
    <x v="8"/>
    <x v="8"/>
    <x v="8"/>
    <x v="2"/>
    <x v="186"/>
    <x v="402"/>
    <x v="86"/>
    <x v="440"/>
    <x v="105"/>
    <x v="185"/>
    <x v="1"/>
  </r>
  <r>
    <x v="0"/>
    <x v="34"/>
    <x v="34"/>
    <x v="2"/>
    <x v="2"/>
    <x v="2"/>
    <x v="3"/>
    <x v="192"/>
    <x v="309"/>
    <x v="151"/>
    <x v="441"/>
    <x v="108"/>
    <x v="379"/>
    <x v="1"/>
  </r>
  <r>
    <x v="0"/>
    <x v="34"/>
    <x v="34"/>
    <x v="5"/>
    <x v="5"/>
    <x v="5"/>
    <x v="4"/>
    <x v="193"/>
    <x v="202"/>
    <x v="54"/>
    <x v="294"/>
    <x v="105"/>
    <x v="185"/>
    <x v="1"/>
  </r>
  <r>
    <x v="0"/>
    <x v="34"/>
    <x v="34"/>
    <x v="10"/>
    <x v="10"/>
    <x v="10"/>
    <x v="4"/>
    <x v="193"/>
    <x v="202"/>
    <x v="85"/>
    <x v="442"/>
    <x v="108"/>
    <x v="379"/>
    <x v="1"/>
  </r>
  <r>
    <x v="0"/>
    <x v="34"/>
    <x v="34"/>
    <x v="16"/>
    <x v="16"/>
    <x v="16"/>
    <x v="4"/>
    <x v="193"/>
    <x v="202"/>
    <x v="117"/>
    <x v="443"/>
    <x v="101"/>
    <x v="252"/>
    <x v="1"/>
  </r>
  <r>
    <x v="0"/>
    <x v="34"/>
    <x v="34"/>
    <x v="6"/>
    <x v="6"/>
    <x v="6"/>
    <x v="4"/>
    <x v="193"/>
    <x v="202"/>
    <x v="129"/>
    <x v="444"/>
    <x v="126"/>
    <x v="238"/>
    <x v="1"/>
  </r>
  <r>
    <x v="0"/>
    <x v="34"/>
    <x v="34"/>
    <x v="21"/>
    <x v="21"/>
    <x v="21"/>
    <x v="8"/>
    <x v="194"/>
    <x v="133"/>
    <x v="85"/>
    <x v="442"/>
    <x v="98"/>
    <x v="188"/>
    <x v="1"/>
  </r>
  <r>
    <x v="0"/>
    <x v="34"/>
    <x v="34"/>
    <x v="4"/>
    <x v="4"/>
    <x v="4"/>
    <x v="8"/>
    <x v="194"/>
    <x v="133"/>
    <x v="85"/>
    <x v="442"/>
    <x v="98"/>
    <x v="188"/>
    <x v="1"/>
  </r>
  <r>
    <x v="0"/>
    <x v="34"/>
    <x v="34"/>
    <x v="3"/>
    <x v="3"/>
    <x v="3"/>
    <x v="10"/>
    <x v="195"/>
    <x v="403"/>
    <x v="151"/>
    <x v="441"/>
    <x v="90"/>
    <x v="193"/>
    <x v="1"/>
  </r>
  <r>
    <x v="0"/>
    <x v="34"/>
    <x v="34"/>
    <x v="15"/>
    <x v="15"/>
    <x v="15"/>
    <x v="11"/>
    <x v="196"/>
    <x v="226"/>
    <x v="85"/>
    <x v="442"/>
    <x v="90"/>
    <x v="193"/>
    <x v="1"/>
  </r>
  <r>
    <x v="0"/>
    <x v="34"/>
    <x v="34"/>
    <x v="35"/>
    <x v="35"/>
    <x v="35"/>
    <x v="11"/>
    <x v="196"/>
    <x v="226"/>
    <x v="85"/>
    <x v="442"/>
    <x v="90"/>
    <x v="193"/>
    <x v="1"/>
  </r>
  <r>
    <x v="0"/>
    <x v="34"/>
    <x v="34"/>
    <x v="34"/>
    <x v="34"/>
    <x v="34"/>
    <x v="11"/>
    <x v="196"/>
    <x v="226"/>
    <x v="151"/>
    <x v="441"/>
    <x v="126"/>
    <x v="238"/>
    <x v="1"/>
  </r>
  <r>
    <x v="0"/>
    <x v="34"/>
    <x v="34"/>
    <x v="44"/>
    <x v="44"/>
    <x v="44"/>
    <x v="14"/>
    <x v="197"/>
    <x v="109"/>
    <x v="85"/>
    <x v="442"/>
    <x v="105"/>
    <x v="185"/>
    <x v="1"/>
  </r>
  <r>
    <x v="0"/>
    <x v="34"/>
    <x v="34"/>
    <x v="45"/>
    <x v="45"/>
    <x v="45"/>
    <x v="14"/>
    <x v="197"/>
    <x v="109"/>
    <x v="96"/>
    <x v="106"/>
    <x v="90"/>
    <x v="193"/>
    <x v="1"/>
  </r>
  <r>
    <x v="0"/>
    <x v="34"/>
    <x v="34"/>
    <x v="39"/>
    <x v="39"/>
    <x v="39"/>
    <x v="14"/>
    <x v="197"/>
    <x v="109"/>
    <x v="85"/>
    <x v="442"/>
    <x v="105"/>
    <x v="185"/>
    <x v="1"/>
  </r>
  <r>
    <x v="0"/>
    <x v="34"/>
    <x v="34"/>
    <x v="7"/>
    <x v="7"/>
    <x v="7"/>
    <x v="14"/>
    <x v="197"/>
    <x v="109"/>
    <x v="151"/>
    <x v="441"/>
    <x v="126"/>
    <x v="238"/>
    <x v="1"/>
  </r>
  <r>
    <x v="0"/>
    <x v="34"/>
    <x v="34"/>
    <x v="46"/>
    <x v="46"/>
    <x v="46"/>
    <x v="14"/>
    <x v="197"/>
    <x v="109"/>
    <x v="96"/>
    <x v="106"/>
    <x v="90"/>
    <x v="193"/>
    <x v="1"/>
  </r>
  <r>
    <x v="0"/>
    <x v="34"/>
    <x v="34"/>
    <x v="11"/>
    <x v="11"/>
    <x v="11"/>
    <x v="14"/>
    <x v="197"/>
    <x v="109"/>
    <x v="85"/>
    <x v="442"/>
    <x v="105"/>
    <x v="185"/>
    <x v="1"/>
  </r>
  <r>
    <x v="0"/>
    <x v="34"/>
    <x v="34"/>
    <x v="9"/>
    <x v="9"/>
    <x v="9"/>
    <x v="14"/>
    <x v="197"/>
    <x v="109"/>
    <x v="151"/>
    <x v="441"/>
    <x v="126"/>
    <x v="238"/>
    <x v="1"/>
  </r>
  <r>
    <x v="0"/>
    <x v="34"/>
    <x v="34"/>
    <x v="18"/>
    <x v="18"/>
    <x v="18"/>
    <x v="14"/>
    <x v="197"/>
    <x v="109"/>
    <x v="151"/>
    <x v="441"/>
    <x v="126"/>
    <x v="238"/>
    <x v="1"/>
  </r>
  <r>
    <x v="0"/>
    <x v="35"/>
    <x v="35"/>
    <x v="16"/>
    <x v="16"/>
    <x v="16"/>
    <x v="0"/>
    <x v="140"/>
    <x v="404"/>
    <x v="114"/>
    <x v="445"/>
    <x v="64"/>
    <x v="380"/>
    <x v="1"/>
  </r>
  <r>
    <x v="0"/>
    <x v="35"/>
    <x v="35"/>
    <x v="1"/>
    <x v="1"/>
    <x v="1"/>
    <x v="0"/>
    <x v="140"/>
    <x v="404"/>
    <x v="56"/>
    <x v="446"/>
    <x v="105"/>
    <x v="381"/>
    <x v="1"/>
  </r>
  <r>
    <x v="0"/>
    <x v="35"/>
    <x v="35"/>
    <x v="2"/>
    <x v="2"/>
    <x v="2"/>
    <x v="2"/>
    <x v="131"/>
    <x v="272"/>
    <x v="129"/>
    <x v="447"/>
    <x v="99"/>
    <x v="382"/>
    <x v="1"/>
  </r>
  <r>
    <x v="0"/>
    <x v="35"/>
    <x v="35"/>
    <x v="0"/>
    <x v="0"/>
    <x v="0"/>
    <x v="3"/>
    <x v="183"/>
    <x v="252"/>
    <x v="110"/>
    <x v="448"/>
    <x v="126"/>
    <x v="238"/>
    <x v="1"/>
  </r>
  <r>
    <x v="0"/>
    <x v="35"/>
    <x v="35"/>
    <x v="8"/>
    <x v="8"/>
    <x v="8"/>
    <x v="4"/>
    <x v="184"/>
    <x v="81"/>
    <x v="129"/>
    <x v="447"/>
    <x v="101"/>
    <x v="383"/>
    <x v="1"/>
  </r>
  <r>
    <x v="0"/>
    <x v="35"/>
    <x v="35"/>
    <x v="5"/>
    <x v="5"/>
    <x v="5"/>
    <x v="5"/>
    <x v="186"/>
    <x v="246"/>
    <x v="129"/>
    <x v="447"/>
    <x v="90"/>
    <x v="300"/>
    <x v="1"/>
  </r>
  <r>
    <x v="0"/>
    <x v="35"/>
    <x v="35"/>
    <x v="19"/>
    <x v="19"/>
    <x v="19"/>
    <x v="5"/>
    <x v="186"/>
    <x v="246"/>
    <x v="113"/>
    <x v="449"/>
    <x v="98"/>
    <x v="384"/>
    <x v="1"/>
  </r>
  <r>
    <x v="0"/>
    <x v="35"/>
    <x v="35"/>
    <x v="11"/>
    <x v="11"/>
    <x v="11"/>
    <x v="7"/>
    <x v="193"/>
    <x v="25"/>
    <x v="129"/>
    <x v="447"/>
    <x v="126"/>
    <x v="238"/>
    <x v="1"/>
  </r>
  <r>
    <x v="0"/>
    <x v="35"/>
    <x v="35"/>
    <x v="6"/>
    <x v="6"/>
    <x v="6"/>
    <x v="7"/>
    <x v="193"/>
    <x v="25"/>
    <x v="113"/>
    <x v="449"/>
    <x v="90"/>
    <x v="300"/>
    <x v="1"/>
  </r>
  <r>
    <x v="0"/>
    <x v="35"/>
    <x v="35"/>
    <x v="10"/>
    <x v="10"/>
    <x v="10"/>
    <x v="9"/>
    <x v="194"/>
    <x v="405"/>
    <x v="117"/>
    <x v="290"/>
    <x v="90"/>
    <x v="300"/>
    <x v="1"/>
  </r>
  <r>
    <x v="0"/>
    <x v="35"/>
    <x v="35"/>
    <x v="28"/>
    <x v="28"/>
    <x v="28"/>
    <x v="9"/>
    <x v="194"/>
    <x v="405"/>
    <x v="85"/>
    <x v="51"/>
    <x v="98"/>
    <x v="384"/>
    <x v="1"/>
  </r>
  <r>
    <x v="0"/>
    <x v="35"/>
    <x v="35"/>
    <x v="32"/>
    <x v="32"/>
    <x v="32"/>
    <x v="11"/>
    <x v="195"/>
    <x v="339"/>
    <x v="151"/>
    <x v="284"/>
    <x v="90"/>
    <x v="300"/>
    <x v="1"/>
  </r>
  <r>
    <x v="0"/>
    <x v="35"/>
    <x v="35"/>
    <x v="35"/>
    <x v="35"/>
    <x v="35"/>
    <x v="11"/>
    <x v="195"/>
    <x v="339"/>
    <x v="113"/>
    <x v="449"/>
    <x v="126"/>
    <x v="238"/>
    <x v="1"/>
  </r>
  <r>
    <x v="0"/>
    <x v="35"/>
    <x v="35"/>
    <x v="7"/>
    <x v="7"/>
    <x v="7"/>
    <x v="11"/>
    <x v="195"/>
    <x v="339"/>
    <x v="151"/>
    <x v="284"/>
    <x v="90"/>
    <x v="300"/>
    <x v="1"/>
  </r>
  <r>
    <x v="0"/>
    <x v="35"/>
    <x v="35"/>
    <x v="12"/>
    <x v="12"/>
    <x v="12"/>
    <x v="14"/>
    <x v="196"/>
    <x v="121"/>
    <x v="151"/>
    <x v="284"/>
    <x v="105"/>
    <x v="381"/>
    <x v="1"/>
  </r>
  <r>
    <x v="0"/>
    <x v="35"/>
    <x v="35"/>
    <x v="3"/>
    <x v="3"/>
    <x v="3"/>
    <x v="14"/>
    <x v="196"/>
    <x v="121"/>
    <x v="85"/>
    <x v="51"/>
    <x v="90"/>
    <x v="300"/>
    <x v="1"/>
  </r>
  <r>
    <x v="0"/>
    <x v="35"/>
    <x v="35"/>
    <x v="9"/>
    <x v="9"/>
    <x v="9"/>
    <x v="14"/>
    <x v="196"/>
    <x v="121"/>
    <x v="117"/>
    <x v="290"/>
    <x v="126"/>
    <x v="238"/>
    <x v="1"/>
  </r>
  <r>
    <x v="0"/>
    <x v="35"/>
    <x v="35"/>
    <x v="22"/>
    <x v="22"/>
    <x v="22"/>
    <x v="14"/>
    <x v="196"/>
    <x v="121"/>
    <x v="151"/>
    <x v="284"/>
    <x v="105"/>
    <x v="381"/>
    <x v="1"/>
  </r>
  <r>
    <x v="0"/>
    <x v="35"/>
    <x v="35"/>
    <x v="26"/>
    <x v="26"/>
    <x v="26"/>
    <x v="18"/>
    <x v="197"/>
    <x v="406"/>
    <x v="96"/>
    <x v="106"/>
    <x v="90"/>
    <x v="300"/>
    <x v="1"/>
  </r>
  <r>
    <x v="0"/>
    <x v="35"/>
    <x v="35"/>
    <x v="13"/>
    <x v="13"/>
    <x v="13"/>
    <x v="18"/>
    <x v="197"/>
    <x v="406"/>
    <x v="96"/>
    <x v="106"/>
    <x v="90"/>
    <x v="300"/>
    <x v="1"/>
  </r>
  <r>
    <x v="0"/>
    <x v="35"/>
    <x v="35"/>
    <x v="27"/>
    <x v="27"/>
    <x v="27"/>
    <x v="18"/>
    <x v="197"/>
    <x v="406"/>
    <x v="151"/>
    <x v="284"/>
    <x v="126"/>
    <x v="238"/>
    <x v="1"/>
  </r>
  <r>
    <x v="0"/>
    <x v="35"/>
    <x v="35"/>
    <x v="38"/>
    <x v="38"/>
    <x v="38"/>
    <x v="18"/>
    <x v="197"/>
    <x v="406"/>
    <x v="85"/>
    <x v="51"/>
    <x v="105"/>
    <x v="381"/>
    <x v="1"/>
  </r>
  <r>
    <x v="0"/>
    <x v="35"/>
    <x v="35"/>
    <x v="17"/>
    <x v="17"/>
    <x v="17"/>
    <x v="18"/>
    <x v="197"/>
    <x v="406"/>
    <x v="96"/>
    <x v="106"/>
    <x v="105"/>
    <x v="381"/>
    <x v="5"/>
  </r>
  <r>
    <x v="0"/>
    <x v="35"/>
    <x v="35"/>
    <x v="36"/>
    <x v="36"/>
    <x v="36"/>
    <x v="18"/>
    <x v="197"/>
    <x v="406"/>
    <x v="85"/>
    <x v="51"/>
    <x v="105"/>
    <x v="381"/>
    <x v="1"/>
  </r>
  <r>
    <x v="0"/>
    <x v="35"/>
    <x v="35"/>
    <x v="4"/>
    <x v="4"/>
    <x v="4"/>
    <x v="18"/>
    <x v="197"/>
    <x v="406"/>
    <x v="151"/>
    <x v="284"/>
    <x v="126"/>
    <x v="238"/>
    <x v="1"/>
  </r>
  <r>
    <x v="0"/>
    <x v="35"/>
    <x v="35"/>
    <x v="24"/>
    <x v="24"/>
    <x v="24"/>
    <x v="18"/>
    <x v="197"/>
    <x v="406"/>
    <x v="85"/>
    <x v="51"/>
    <x v="105"/>
    <x v="381"/>
    <x v="1"/>
  </r>
  <r>
    <x v="0"/>
    <x v="36"/>
    <x v="36"/>
    <x v="5"/>
    <x v="5"/>
    <x v="5"/>
    <x v="0"/>
    <x v="126"/>
    <x v="407"/>
    <x v="55"/>
    <x v="450"/>
    <x v="64"/>
    <x v="385"/>
    <x v="1"/>
  </r>
  <r>
    <x v="0"/>
    <x v="36"/>
    <x v="36"/>
    <x v="0"/>
    <x v="0"/>
    <x v="0"/>
    <x v="0"/>
    <x v="126"/>
    <x v="407"/>
    <x v="87"/>
    <x v="451"/>
    <x v="101"/>
    <x v="302"/>
    <x v="1"/>
  </r>
  <r>
    <x v="0"/>
    <x v="36"/>
    <x v="36"/>
    <x v="1"/>
    <x v="1"/>
    <x v="1"/>
    <x v="0"/>
    <x v="126"/>
    <x v="407"/>
    <x v="122"/>
    <x v="452"/>
    <x v="105"/>
    <x v="73"/>
    <x v="1"/>
  </r>
  <r>
    <x v="0"/>
    <x v="36"/>
    <x v="36"/>
    <x v="3"/>
    <x v="3"/>
    <x v="3"/>
    <x v="3"/>
    <x v="128"/>
    <x v="408"/>
    <x v="110"/>
    <x v="453"/>
    <x v="64"/>
    <x v="385"/>
    <x v="1"/>
  </r>
  <r>
    <x v="0"/>
    <x v="36"/>
    <x v="36"/>
    <x v="7"/>
    <x v="7"/>
    <x v="7"/>
    <x v="4"/>
    <x v="154"/>
    <x v="409"/>
    <x v="110"/>
    <x v="453"/>
    <x v="98"/>
    <x v="386"/>
    <x v="5"/>
  </r>
  <r>
    <x v="0"/>
    <x v="36"/>
    <x v="36"/>
    <x v="2"/>
    <x v="2"/>
    <x v="2"/>
    <x v="5"/>
    <x v="131"/>
    <x v="174"/>
    <x v="151"/>
    <x v="361"/>
    <x v="44"/>
    <x v="387"/>
    <x v="1"/>
  </r>
  <r>
    <x v="0"/>
    <x v="36"/>
    <x v="36"/>
    <x v="6"/>
    <x v="6"/>
    <x v="6"/>
    <x v="6"/>
    <x v="132"/>
    <x v="42"/>
    <x v="114"/>
    <x v="454"/>
    <x v="105"/>
    <x v="73"/>
    <x v="1"/>
  </r>
  <r>
    <x v="0"/>
    <x v="36"/>
    <x v="36"/>
    <x v="9"/>
    <x v="9"/>
    <x v="9"/>
    <x v="7"/>
    <x v="191"/>
    <x v="98"/>
    <x v="109"/>
    <x v="455"/>
    <x v="105"/>
    <x v="73"/>
    <x v="1"/>
  </r>
  <r>
    <x v="0"/>
    <x v="36"/>
    <x v="36"/>
    <x v="16"/>
    <x v="16"/>
    <x v="16"/>
    <x v="8"/>
    <x v="184"/>
    <x v="9"/>
    <x v="85"/>
    <x v="456"/>
    <x v="99"/>
    <x v="388"/>
    <x v="1"/>
  </r>
  <r>
    <x v="0"/>
    <x v="36"/>
    <x v="36"/>
    <x v="11"/>
    <x v="11"/>
    <x v="11"/>
    <x v="8"/>
    <x v="184"/>
    <x v="9"/>
    <x v="86"/>
    <x v="457"/>
    <x v="90"/>
    <x v="389"/>
    <x v="1"/>
  </r>
  <r>
    <x v="0"/>
    <x v="36"/>
    <x v="36"/>
    <x v="10"/>
    <x v="10"/>
    <x v="10"/>
    <x v="10"/>
    <x v="186"/>
    <x v="103"/>
    <x v="151"/>
    <x v="361"/>
    <x v="107"/>
    <x v="390"/>
    <x v="1"/>
  </r>
  <r>
    <x v="0"/>
    <x v="36"/>
    <x v="36"/>
    <x v="8"/>
    <x v="8"/>
    <x v="8"/>
    <x v="11"/>
    <x v="192"/>
    <x v="87"/>
    <x v="113"/>
    <x v="458"/>
    <x v="101"/>
    <x v="302"/>
    <x v="1"/>
  </r>
  <r>
    <x v="0"/>
    <x v="36"/>
    <x v="36"/>
    <x v="12"/>
    <x v="12"/>
    <x v="12"/>
    <x v="12"/>
    <x v="193"/>
    <x v="285"/>
    <x v="54"/>
    <x v="459"/>
    <x v="105"/>
    <x v="73"/>
    <x v="1"/>
  </r>
  <r>
    <x v="0"/>
    <x v="36"/>
    <x v="36"/>
    <x v="4"/>
    <x v="4"/>
    <x v="4"/>
    <x v="12"/>
    <x v="193"/>
    <x v="285"/>
    <x v="117"/>
    <x v="359"/>
    <x v="101"/>
    <x v="302"/>
    <x v="1"/>
  </r>
  <r>
    <x v="0"/>
    <x v="36"/>
    <x v="36"/>
    <x v="13"/>
    <x v="13"/>
    <x v="13"/>
    <x v="14"/>
    <x v="194"/>
    <x v="106"/>
    <x v="113"/>
    <x v="458"/>
    <x v="105"/>
    <x v="73"/>
    <x v="1"/>
  </r>
  <r>
    <x v="0"/>
    <x v="36"/>
    <x v="36"/>
    <x v="27"/>
    <x v="27"/>
    <x v="27"/>
    <x v="14"/>
    <x v="194"/>
    <x v="106"/>
    <x v="113"/>
    <x v="458"/>
    <x v="105"/>
    <x v="73"/>
    <x v="1"/>
  </r>
  <r>
    <x v="0"/>
    <x v="36"/>
    <x v="36"/>
    <x v="32"/>
    <x v="32"/>
    <x v="32"/>
    <x v="14"/>
    <x v="194"/>
    <x v="106"/>
    <x v="117"/>
    <x v="359"/>
    <x v="90"/>
    <x v="389"/>
    <x v="1"/>
  </r>
  <r>
    <x v="0"/>
    <x v="36"/>
    <x v="36"/>
    <x v="19"/>
    <x v="19"/>
    <x v="19"/>
    <x v="14"/>
    <x v="194"/>
    <x v="106"/>
    <x v="151"/>
    <x v="361"/>
    <x v="101"/>
    <x v="302"/>
    <x v="1"/>
  </r>
  <r>
    <x v="0"/>
    <x v="36"/>
    <x v="36"/>
    <x v="18"/>
    <x v="18"/>
    <x v="18"/>
    <x v="14"/>
    <x v="194"/>
    <x v="106"/>
    <x v="113"/>
    <x v="458"/>
    <x v="105"/>
    <x v="73"/>
    <x v="1"/>
  </r>
  <r>
    <x v="0"/>
    <x v="36"/>
    <x v="36"/>
    <x v="30"/>
    <x v="30"/>
    <x v="30"/>
    <x v="19"/>
    <x v="195"/>
    <x v="410"/>
    <x v="96"/>
    <x v="106"/>
    <x v="98"/>
    <x v="386"/>
    <x v="1"/>
  </r>
  <r>
    <x v="0"/>
    <x v="37"/>
    <x v="37"/>
    <x v="5"/>
    <x v="5"/>
    <x v="5"/>
    <x v="0"/>
    <x v="154"/>
    <x v="411"/>
    <x v="107"/>
    <x v="460"/>
    <x v="98"/>
    <x v="391"/>
    <x v="1"/>
  </r>
  <r>
    <x v="0"/>
    <x v="37"/>
    <x v="37"/>
    <x v="2"/>
    <x v="2"/>
    <x v="2"/>
    <x v="1"/>
    <x v="130"/>
    <x v="412"/>
    <x v="129"/>
    <x v="461"/>
    <x v="102"/>
    <x v="392"/>
    <x v="1"/>
  </r>
  <r>
    <x v="0"/>
    <x v="37"/>
    <x v="37"/>
    <x v="7"/>
    <x v="7"/>
    <x v="7"/>
    <x v="2"/>
    <x v="191"/>
    <x v="413"/>
    <x v="109"/>
    <x v="462"/>
    <x v="105"/>
    <x v="38"/>
    <x v="1"/>
  </r>
  <r>
    <x v="0"/>
    <x v="37"/>
    <x v="37"/>
    <x v="0"/>
    <x v="0"/>
    <x v="0"/>
    <x v="2"/>
    <x v="191"/>
    <x v="413"/>
    <x v="111"/>
    <x v="463"/>
    <x v="101"/>
    <x v="348"/>
    <x v="1"/>
  </r>
  <r>
    <x v="0"/>
    <x v="37"/>
    <x v="37"/>
    <x v="1"/>
    <x v="1"/>
    <x v="1"/>
    <x v="2"/>
    <x v="191"/>
    <x v="413"/>
    <x v="114"/>
    <x v="464"/>
    <x v="126"/>
    <x v="238"/>
    <x v="1"/>
  </r>
  <r>
    <x v="0"/>
    <x v="37"/>
    <x v="37"/>
    <x v="3"/>
    <x v="3"/>
    <x v="3"/>
    <x v="5"/>
    <x v="184"/>
    <x v="414"/>
    <x v="129"/>
    <x v="461"/>
    <x v="101"/>
    <x v="348"/>
    <x v="1"/>
  </r>
  <r>
    <x v="0"/>
    <x v="37"/>
    <x v="37"/>
    <x v="10"/>
    <x v="10"/>
    <x v="10"/>
    <x v="6"/>
    <x v="192"/>
    <x v="415"/>
    <x v="129"/>
    <x v="461"/>
    <x v="105"/>
    <x v="38"/>
    <x v="1"/>
  </r>
  <r>
    <x v="0"/>
    <x v="37"/>
    <x v="37"/>
    <x v="8"/>
    <x v="8"/>
    <x v="8"/>
    <x v="7"/>
    <x v="193"/>
    <x v="416"/>
    <x v="113"/>
    <x v="214"/>
    <x v="90"/>
    <x v="393"/>
    <x v="1"/>
  </r>
  <r>
    <x v="0"/>
    <x v="37"/>
    <x v="37"/>
    <x v="37"/>
    <x v="37"/>
    <x v="37"/>
    <x v="8"/>
    <x v="195"/>
    <x v="48"/>
    <x v="117"/>
    <x v="465"/>
    <x v="105"/>
    <x v="38"/>
    <x v="1"/>
  </r>
  <r>
    <x v="0"/>
    <x v="37"/>
    <x v="37"/>
    <x v="29"/>
    <x v="29"/>
    <x v="29"/>
    <x v="9"/>
    <x v="196"/>
    <x v="51"/>
    <x v="85"/>
    <x v="107"/>
    <x v="90"/>
    <x v="393"/>
    <x v="1"/>
  </r>
  <r>
    <x v="0"/>
    <x v="37"/>
    <x v="37"/>
    <x v="27"/>
    <x v="27"/>
    <x v="27"/>
    <x v="9"/>
    <x v="196"/>
    <x v="51"/>
    <x v="117"/>
    <x v="465"/>
    <x v="126"/>
    <x v="238"/>
    <x v="1"/>
  </r>
  <r>
    <x v="0"/>
    <x v="37"/>
    <x v="37"/>
    <x v="26"/>
    <x v="26"/>
    <x v="26"/>
    <x v="11"/>
    <x v="197"/>
    <x v="229"/>
    <x v="85"/>
    <x v="107"/>
    <x v="105"/>
    <x v="38"/>
    <x v="1"/>
  </r>
  <r>
    <x v="0"/>
    <x v="37"/>
    <x v="37"/>
    <x v="19"/>
    <x v="19"/>
    <x v="19"/>
    <x v="11"/>
    <x v="197"/>
    <x v="229"/>
    <x v="85"/>
    <x v="107"/>
    <x v="105"/>
    <x v="38"/>
    <x v="1"/>
  </r>
  <r>
    <x v="0"/>
    <x v="37"/>
    <x v="37"/>
    <x v="47"/>
    <x v="47"/>
    <x v="47"/>
    <x v="11"/>
    <x v="197"/>
    <x v="229"/>
    <x v="151"/>
    <x v="466"/>
    <x v="126"/>
    <x v="238"/>
    <x v="1"/>
  </r>
  <r>
    <x v="0"/>
    <x v="37"/>
    <x v="37"/>
    <x v="12"/>
    <x v="12"/>
    <x v="12"/>
    <x v="11"/>
    <x v="197"/>
    <x v="229"/>
    <x v="151"/>
    <x v="466"/>
    <x v="126"/>
    <x v="238"/>
    <x v="1"/>
  </r>
  <r>
    <x v="0"/>
    <x v="37"/>
    <x v="37"/>
    <x v="46"/>
    <x v="46"/>
    <x v="46"/>
    <x v="11"/>
    <x v="197"/>
    <x v="229"/>
    <x v="85"/>
    <x v="107"/>
    <x v="105"/>
    <x v="38"/>
    <x v="1"/>
  </r>
  <r>
    <x v="0"/>
    <x v="37"/>
    <x v="37"/>
    <x v="43"/>
    <x v="43"/>
    <x v="43"/>
    <x v="11"/>
    <x v="197"/>
    <x v="229"/>
    <x v="85"/>
    <x v="107"/>
    <x v="126"/>
    <x v="238"/>
    <x v="1"/>
  </r>
  <r>
    <x v="0"/>
    <x v="37"/>
    <x v="37"/>
    <x v="6"/>
    <x v="6"/>
    <x v="6"/>
    <x v="11"/>
    <x v="197"/>
    <x v="229"/>
    <x v="96"/>
    <x v="106"/>
    <x v="105"/>
    <x v="38"/>
    <x v="1"/>
  </r>
  <r>
    <x v="0"/>
    <x v="37"/>
    <x v="37"/>
    <x v="9"/>
    <x v="9"/>
    <x v="9"/>
    <x v="11"/>
    <x v="197"/>
    <x v="229"/>
    <x v="151"/>
    <x v="466"/>
    <x v="126"/>
    <x v="238"/>
    <x v="1"/>
  </r>
  <r>
    <x v="0"/>
    <x v="37"/>
    <x v="37"/>
    <x v="18"/>
    <x v="18"/>
    <x v="18"/>
    <x v="11"/>
    <x v="197"/>
    <x v="229"/>
    <x v="151"/>
    <x v="466"/>
    <x v="126"/>
    <x v="238"/>
    <x v="1"/>
  </r>
  <r>
    <x v="0"/>
    <x v="38"/>
    <x v="38"/>
    <x v="2"/>
    <x v="2"/>
    <x v="2"/>
    <x v="0"/>
    <x v="148"/>
    <x v="417"/>
    <x v="55"/>
    <x v="373"/>
    <x v="96"/>
    <x v="394"/>
    <x v="1"/>
  </r>
  <r>
    <x v="0"/>
    <x v="38"/>
    <x v="38"/>
    <x v="7"/>
    <x v="7"/>
    <x v="7"/>
    <x v="1"/>
    <x v="125"/>
    <x v="418"/>
    <x v="58"/>
    <x v="467"/>
    <x v="107"/>
    <x v="395"/>
    <x v="1"/>
  </r>
  <r>
    <x v="0"/>
    <x v="38"/>
    <x v="38"/>
    <x v="0"/>
    <x v="0"/>
    <x v="0"/>
    <x v="2"/>
    <x v="190"/>
    <x v="419"/>
    <x v="122"/>
    <x v="468"/>
    <x v="90"/>
    <x v="16"/>
    <x v="1"/>
  </r>
  <r>
    <x v="0"/>
    <x v="38"/>
    <x v="38"/>
    <x v="1"/>
    <x v="1"/>
    <x v="1"/>
    <x v="2"/>
    <x v="190"/>
    <x v="419"/>
    <x v="52"/>
    <x v="469"/>
    <x v="105"/>
    <x v="121"/>
    <x v="1"/>
  </r>
  <r>
    <x v="0"/>
    <x v="38"/>
    <x v="38"/>
    <x v="3"/>
    <x v="3"/>
    <x v="3"/>
    <x v="4"/>
    <x v="126"/>
    <x v="420"/>
    <x v="55"/>
    <x v="373"/>
    <x v="64"/>
    <x v="396"/>
    <x v="1"/>
  </r>
  <r>
    <x v="0"/>
    <x v="38"/>
    <x v="38"/>
    <x v="5"/>
    <x v="5"/>
    <x v="5"/>
    <x v="5"/>
    <x v="129"/>
    <x v="421"/>
    <x v="55"/>
    <x v="373"/>
    <x v="105"/>
    <x v="121"/>
    <x v="1"/>
  </r>
  <r>
    <x v="0"/>
    <x v="38"/>
    <x v="38"/>
    <x v="10"/>
    <x v="10"/>
    <x v="10"/>
    <x v="5"/>
    <x v="129"/>
    <x v="421"/>
    <x v="109"/>
    <x v="98"/>
    <x v="107"/>
    <x v="395"/>
    <x v="1"/>
  </r>
  <r>
    <x v="0"/>
    <x v="38"/>
    <x v="38"/>
    <x v="16"/>
    <x v="16"/>
    <x v="16"/>
    <x v="7"/>
    <x v="130"/>
    <x v="422"/>
    <x v="109"/>
    <x v="98"/>
    <x v="108"/>
    <x v="397"/>
    <x v="1"/>
  </r>
  <r>
    <x v="0"/>
    <x v="38"/>
    <x v="38"/>
    <x v="26"/>
    <x v="26"/>
    <x v="26"/>
    <x v="8"/>
    <x v="131"/>
    <x v="416"/>
    <x v="114"/>
    <x v="470"/>
    <x v="101"/>
    <x v="398"/>
    <x v="1"/>
  </r>
  <r>
    <x v="0"/>
    <x v="38"/>
    <x v="38"/>
    <x v="8"/>
    <x v="8"/>
    <x v="8"/>
    <x v="8"/>
    <x v="131"/>
    <x v="416"/>
    <x v="112"/>
    <x v="471"/>
    <x v="108"/>
    <x v="397"/>
    <x v="1"/>
  </r>
  <r>
    <x v="0"/>
    <x v="38"/>
    <x v="38"/>
    <x v="12"/>
    <x v="12"/>
    <x v="12"/>
    <x v="10"/>
    <x v="191"/>
    <x v="423"/>
    <x v="114"/>
    <x v="470"/>
    <x v="126"/>
    <x v="238"/>
    <x v="1"/>
  </r>
  <r>
    <x v="0"/>
    <x v="38"/>
    <x v="38"/>
    <x v="6"/>
    <x v="6"/>
    <x v="6"/>
    <x v="11"/>
    <x v="192"/>
    <x v="51"/>
    <x v="113"/>
    <x v="228"/>
    <x v="105"/>
    <x v="121"/>
    <x v="1"/>
  </r>
  <r>
    <x v="0"/>
    <x v="38"/>
    <x v="38"/>
    <x v="19"/>
    <x v="19"/>
    <x v="19"/>
    <x v="12"/>
    <x v="193"/>
    <x v="240"/>
    <x v="117"/>
    <x v="31"/>
    <x v="101"/>
    <x v="398"/>
    <x v="1"/>
  </r>
  <r>
    <x v="0"/>
    <x v="38"/>
    <x v="38"/>
    <x v="30"/>
    <x v="30"/>
    <x v="30"/>
    <x v="12"/>
    <x v="193"/>
    <x v="240"/>
    <x v="96"/>
    <x v="106"/>
    <x v="108"/>
    <x v="397"/>
    <x v="1"/>
  </r>
  <r>
    <x v="0"/>
    <x v="38"/>
    <x v="38"/>
    <x v="13"/>
    <x v="13"/>
    <x v="13"/>
    <x v="14"/>
    <x v="194"/>
    <x v="34"/>
    <x v="117"/>
    <x v="31"/>
    <x v="90"/>
    <x v="16"/>
    <x v="1"/>
  </r>
  <r>
    <x v="0"/>
    <x v="38"/>
    <x v="38"/>
    <x v="32"/>
    <x v="32"/>
    <x v="32"/>
    <x v="14"/>
    <x v="194"/>
    <x v="34"/>
    <x v="85"/>
    <x v="157"/>
    <x v="98"/>
    <x v="399"/>
    <x v="1"/>
  </r>
  <r>
    <x v="0"/>
    <x v="38"/>
    <x v="38"/>
    <x v="4"/>
    <x v="4"/>
    <x v="4"/>
    <x v="14"/>
    <x v="194"/>
    <x v="34"/>
    <x v="85"/>
    <x v="157"/>
    <x v="98"/>
    <x v="399"/>
    <x v="1"/>
  </r>
  <r>
    <x v="0"/>
    <x v="38"/>
    <x v="38"/>
    <x v="11"/>
    <x v="11"/>
    <x v="11"/>
    <x v="14"/>
    <x v="194"/>
    <x v="34"/>
    <x v="54"/>
    <x v="102"/>
    <x v="126"/>
    <x v="238"/>
    <x v="1"/>
  </r>
  <r>
    <x v="0"/>
    <x v="38"/>
    <x v="38"/>
    <x v="9"/>
    <x v="9"/>
    <x v="9"/>
    <x v="14"/>
    <x v="194"/>
    <x v="34"/>
    <x v="54"/>
    <x v="102"/>
    <x v="126"/>
    <x v="238"/>
    <x v="1"/>
  </r>
  <r>
    <x v="0"/>
    <x v="38"/>
    <x v="38"/>
    <x v="29"/>
    <x v="29"/>
    <x v="29"/>
    <x v="19"/>
    <x v="195"/>
    <x v="73"/>
    <x v="151"/>
    <x v="323"/>
    <x v="90"/>
    <x v="16"/>
    <x v="1"/>
  </r>
  <r>
    <x v="0"/>
    <x v="38"/>
    <x v="38"/>
    <x v="27"/>
    <x v="27"/>
    <x v="27"/>
    <x v="19"/>
    <x v="195"/>
    <x v="73"/>
    <x v="113"/>
    <x v="228"/>
    <x v="126"/>
    <x v="238"/>
    <x v="1"/>
  </r>
  <r>
    <x v="0"/>
    <x v="39"/>
    <x v="39"/>
    <x v="2"/>
    <x v="2"/>
    <x v="2"/>
    <x v="0"/>
    <x v="137"/>
    <x v="424"/>
    <x v="56"/>
    <x v="472"/>
    <x v="45"/>
    <x v="400"/>
    <x v="1"/>
  </r>
  <r>
    <x v="0"/>
    <x v="39"/>
    <x v="39"/>
    <x v="5"/>
    <x v="5"/>
    <x v="5"/>
    <x v="1"/>
    <x v="92"/>
    <x v="400"/>
    <x v="82"/>
    <x v="473"/>
    <x v="99"/>
    <x v="338"/>
    <x v="1"/>
  </r>
  <r>
    <x v="0"/>
    <x v="39"/>
    <x v="39"/>
    <x v="1"/>
    <x v="1"/>
    <x v="1"/>
    <x v="2"/>
    <x v="117"/>
    <x v="425"/>
    <x v="70"/>
    <x v="474"/>
    <x v="126"/>
    <x v="238"/>
    <x v="1"/>
  </r>
  <r>
    <x v="0"/>
    <x v="39"/>
    <x v="39"/>
    <x v="0"/>
    <x v="0"/>
    <x v="0"/>
    <x v="3"/>
    <x v="126"/>
    <x v="381"/>
    <x v="97"/>
    <x v="475"/>
    <x v="90"/>
    <x v="54"/>
    <x v="1"/>
  </r>
  <r>
    <x v="0"/>
    <x v="39"/>
    <x v="39"/>
    <x v="3"/>
    <x v="3"/>
    <x v="3"/>
    <x v="4"/>
    <x v="127"/>
    <x v="426"/>
    <x v="58"/>
    <x v="476"/>
    <x v="101"/>
    <x v="255"/>
    <x v="1"/>
  </r>
  <r>
    <x v="0"/>
    <x v="39"/>
    <x v="39"/>
    <x v="10"/>
    <x v="10"/>
    <x v="10"/>
    <x v="5"/>
    <x v="140"/>
    <x v="427"/>
    <x v="112"/>
    <x v="7"/>
    <x v="102"/>
    <x v="401"/>
    <x v="1"/>
  </r>
  <r>
    <x v="0"/>
    <x v="39"/>
    <x v="39"/>
    <x v="7"/>
    <x v="7"/>
    <x v="7"/>
    <x v="6"/>
    <x v="154"/>
    <x v="428"/>
    <x v="116"/>
    <x v="477"/>
    <x v="101"/>
    <x v="255"/>
    <x v="1"/>
  </r>
  <r>
    <x v="0"/>
    <x v="39"/>
    <x v="39"/>
    <x v="27"/>
    <x v="27"/>
    <x v="27"/>
    <x v="7"/>
    <x v="130"/>
    <x v="429"/>
    <x v="110"/>
    <x v="478"/>
    <x v="101"/>
    <x v="255"/>
    <x v="1"/>
  </r>
  <r>
    <x v="0"/>
    <x v="39"/>
    <x v="39"/>
    <x v="8"/>
    <x v="8"/>
    <x v="8"/>
    <x v="8"/>
    <x v="191"/>
    <x v="430"/>
    <x v="117"/>
    <x v="108"/>
    <x v="99"/>
    <x v="338"/>
    <x v="1"/>
  </r>
  <r>
    <x v="0"/>
    <x v="39"/>
    <x v="39"/>
    <x v="29"/>
    <x v="29"/>
    <x v="29"/>
    <x v="9"/>
    <x v="184"/>
    <x v="135"/>
    <x v="113"/>
    <x v="329"/>
    <x v="108"/>
    <x v="282"/>
    <x v="1"/>
  </r>
  <r>
    <x v="0"/>
    <x v="39"/>
    <x v="39"/>
    <x v="26"/>
    <x v="26"/>
    <x v="26"/>
    <x v="10"/>
    <x v="193"/>
    <x v="431"/>
    <x v="151"/>
    <x v="55"/>
    <x v="101"/>
    <x v="255"/>
    <x v="5"/>
  </r>
  <r>
    <x v="0"/>
    <x v="39"/>
    <x v="39"/>
    <x v="4"/>
    <x v="4"/>
    <x v="4"/>
    <x v="10"/>
    <x v="193"/>
    <x v="431"/>
    <x v="96"/>
    <x v="106"/>
    <x v="107"/>
    <x v="42"/>
    <x v="1"/>
  </r>
  <r>
    <x v="0"/>
    <x v="39"/>
    <x v="39"/>
    <x v="41"/>
    <x v="41"/>
    <x v="41"/>
    <x v="12"/>
    <x v="194"/>
    <x v="54"/>
    <x v="96"/>
    <x v="106"/>
    <x v="108"/>
    <x v="282"/>
    <x v="1"/>
  </r>
  <r>
    <x v="0"/>
    <x v="39"/>
    <x v="39"/>
    <x v="45"/>
    <x v="45"/>
    <x v="45"/>
    <x v="12"/>
    <x v="194"/>
    <x v="54"/>
    <x v="117"/>
    <x v="108"/>
    <x v="90"/>
    <x v="54"/>
    <x v="1"/>
  </r>
  <r>
    <x v="0"/>
    <x v="39"/>
    <x v="39"/>
    <x v="6"/>
    <x v="6"/>
    <x v="6"/>
    <x v="12"/>
    <x v="194"/>
    <x v="54"/>
    <x v="117"/>
    <x v="108"/>
    <x v="90"/>
    <x v="54"/>
    <x v="1"/>
  </r>
  <r>
    <x v="0"/>
    <x v="39"/>
    <x v="39"/>
    <x v="25"/>
    <x v="25"/>
    <x v="25"/>
    <x v="15"/>
    <x v="195"/>
    <x v="432"/>
    <x v="117"/>
    <x v="108"/>
    <x v="105"/>
    <x v="18"/>
    <x v="1"/>
  </r>
  <r>
    <x v="0"/>
    <x v="39"/>
    <x v="39"/>
    <x v="9"/>
    <x v="9"/>
    <x v="9"/>
    <x v="15"/>
    <x v="195"/>
    <x v="432"/>
    <x v="113"/>
    <x v="329"/>
    <x v="126"/>
    <x v="238"/>
    <x v="1"/>
  </r>
  <r>
    <x v="0"/>
    <x v="39"/>
    <x v="39"/>
    <x v="16"/>
    <x v="16"/>
    <x v="16"/>
    <x v="17"/>
    <x v="196"/>
    <x v="212"/>
    <x v="85"/>
    <x v="479"/>
    <x v="90"/>
    <x v="54"/>
    <x v="1"/>
  </r>
  <r>
    <x v="0"/>
    <x v="39"/>
    <x v="39"/>
    <x v="28"/>
    <x v="28"/>
    <x v="28"/>
    <x v="17"/>
    <x v="196"/>
    <x v="212"/>
    <x v="85"/>
    <x v="479"/>
    <x v="90"/>
    <x v="54"/>
    <x v="1"/>
  </r>
  <r>
    <x v="0"/>
    <x v="39"/>
    <x v="39"/>
    <x v="48"/>
    <x v="48"/>
    <x v="48"/>
    <x v="17"/>
    <x v="196"/>
    <x v="212"/>
    <x v="96"/>
    <x v="106"/>
    <x v="101"/>
    <x v="255"/>
    <x v="1"/>
  </r>
  <r>
    <x v="0"/>
    <x v="39"/>
    <x v="39"/>
    <x v="11"/>
    <x v="11"/>
    <x v="11"/>
    <x v="17"/>
    <x v="196"/>
    <x v="212"/>
    <x v="117"/>
    <x v="108"/>
    <x v="126"/>
    <x v="238"/>
    <x v="1"/>
  </r>
  <r>
    <x v="0"/>
    <x v="39"/>
    <x v="39"/>
    <x v="43"/>
    <x v="43"/>
    <x v="43"/>
    <x v="17"/>
    <x v="196"/>
    <x v="212"/>
    <x v="96"/>
    <x v="106"/>
    <x v="101"/>
    <x v="255"/>
    <x v="1"/>
  </r>
  <r>
    <x v="0"/>
    <x v="39"/>
    <x v="39"/>
    <x v="18"/>
    <x v="18"/>
    <x v="18"/>
    <x v="17"/>
    <x v="196"/>
    <x v="212"/>
    <x v="151"/>
    <x v="55"/>
    <x v="105"/>
    <x v="18"/>
    <x v="1"/>
  </r>
  <r>
    <x v="0"/>
    <x v="39"/>
    <x v="39"/>
    <x v="40"/>
    <x v="40"/>
    <x v="40"/>
    <x v="17"/>
    <x v="196"/>
    <x v="212"/>
    <x v="117"/>
    <x v="108"/>
    <x v="126"/>
    <x v="238"/>
    <x v="1"/>
  </r>
  <r>
    <x v="0"/>
    <x v="40"/>
    <x v="40"/>
    <x v="2"/>
    <x v="2"/>
    <x v="2"/>
    <x v="0"/>
    <x v="160"/>
    <x v="433"/>
    <x v="114"/>
    <x v="480"/>
    <x v="102"/>
    <x v="392"/>
    <x v="1"/>
  </r>
  <r>
    <x v="0"/>
    <x v="40"/>
    <x v="40"/>
    <x v="5"/>
    <x v="5"/>
    <x v="5"/>
    <x v="1"/>
    <x v="130"/>
    <x v="434"/>
    <x v="107"/>
    <x v="481"/>
    <x v="90"/>
    <x v="393"/>
    <x v="1"/>
  </r>
  <r>
    <x v="0"/>
    <x v="40"/>
    <x v="40"/>
    <x v="1"/>
    <x v="1"/>
    <x v="1"/>
    <x v="2"/>
    <x v="191"/>
    <x v="435"/>
    <x v="109"/>
    <x v="482"/>
    <x v="105"/>
    <x v="38"/>
    <x v="1"/>
  </r>
  <r>
    <x v="0"/>
    <x v="40"/>
    <x v="40"/>
    <x v="7"/>
    <x v="7"/>
    <x v="7"/>
    <x v="3"/>
    <x v="185"/>
    <x v="436"/>
    <x v="112"/>
    <x v="448"/>
    <x v="105"/>
    <x v="38"/>
    <x v="1"/>
  </r>
  <r>
    <x v="0"/>
    <x v="40"/>
    <x v="40"/>
    <x v="29"/>
    <x v="29"/>
    <x v="29"/>
    <x v="4"/>
    <x v="184"/>
    <x v="437"/>
    <x v="117"/>
    <x v="449"/>
    <x v="107"/>
    <x v="402"/>
    <x v="1"/>
  </r>
  <r>
    <x v="0"/>
    <x v="40"/>
    <x v="40"/>
    <x v="41"/>
    <x v="41"/>
    <x v="41"/>
    <x v="5"/>
    <x v="194"/>
    <x v="236"/>
    <x v="117"/>
    <x v="449"/>
    <x v="90"/>
    <x v="393"/>
    <x v="1"/>
  </r>
  <r>
    <x v="0"/>
    <x v="40"/>
    <x v="40"/>
    <x v="3"/>
    <x v="3"/>
    <x v="3"/>
    <x v="5"/>
    <x v="194"/>
    <x v="236"/>
    <x v="113"/>
    <x v="483"/>
    <x v="105"/>
    <x v="38"/>
    <x v="1"/>
  </r>
  <r>
    <x v="0"/>
    <x v="40"/>
    <x v="40"/>
    <x v="0"/>
    <x v="0"/>
    <x v="0"/>
    <x v="7"/>
    <x v="195"/>
    <x v="438"/>
    <x v="117"/>
    <x v="449"/>
    <x v="126"/>
    <x v="238"/>
    <x v="5"/>
  </r>
  <r>
    <x v="0"/>
    <x v="40"/>
    <x v="40"/>
    <x v="10"/>
    <x v="10"/>
    <x v="10"/>
    <x v="8"/>
    <x v="196"/>
    <x v="163"/>
    <x v="85"/>
    <x v="484"/>
    <x v="90"/>
    <x v="393"/>
    <x v="1"/>
  </r>
  <r>
    <x v="0"/>
    <x v="40"/>
    <x v="40"/>
    <x v="26"/>
    <x v="26"/>
    <x v="26"/>
    <x v="8"/>
    <x v="196"/>
    <x v="163"/>
    <x v="151"/>
    <x v="217"/>
    <x v="105"/>
    <x v="38"/>
    <x v="1"/>
  </r>
  <r>
    <x v="0"/>
    <x v="40"/>
    <x v="40"/>
    <x v="8"/>
    <x v="8"/>
    <x v="8"/>
    <x v="8"/>
    <x v="196"/>
    <x v="163"/>
    <x v="117"/>
    <x v="449"/>
    <x v="126"/>
    <x v="238"/>
    <x v="1"/>
  </r>
  <r>
    <x v="0"/>
    <x v="40"/>
    <x v="40"/>
    <x v="11"/>
    <x v="11"/>
    <x v="11"/>
    <x v="8"/>
    <x v="196"/>
    <x v="163"/>
    <x v="85"/>
    <x v="484"/>
    <x v="90"/>
    <x v="393"/>
    <x v="1"/>
  </r>
  <r>
    <x v="0"/>
    <x v="40"/>
    <x v="40"/>
    <x v="27"/>
    <x v="27"/>
    <x v="27"/>
    <x v="12"/>
    <x v="197"/>
    <x v="108"/>
    <x v="151"/>
    <x v="217"/>
    <x v="126"/>
    <x v="238"/>
    <x v="1"/>
  </r>
  <r>
    <x v="0"/>
    <x v="40"/>
    <x v="40"/>
    <x v="16"/>
    <x v="16"/>
    <x v="16"/>
    <x v="12"/>
    <x v="197"/>
    <x v="108"/>
    <x v="96"/>
    <x v="106"/>
    <x v="90"/>
    <x v="393"/>
    <x v="1"/>
  </r>
  <r>
    <x v="0"/>
    <x v="40"/>
    <x v="40"/>
    <x v="28"/>
    <x v="28"/>
    <x v="28"/>
    <x v="12"/>
    <x v="197"/>
    <x v="108"/>
    <x v="151"/>
    <x v="217"/>
    <x v="126"/>
    <x v="238"/>
    <x v="1"/>
  </r>
  <r>
    <x v="0"/>
    <x v="40"/>
    <x v="40"/>
    <x v="49"/>
    <x v="49"/>
    <x v="49"/>
    <x v="12"/>
    <x v="197"/>
    <x v="108"/>
    <x v="96"/>
    <x v="106"/>
    <x v="90"/>
    <x v="393"/>
    <x v="1"/>
  </r>
  <r>
    <x v="0"/>
    <x v="40"/>
    <x v="40"/>
    <x v="23"/>
    <x v="23"/>
    <x v="23"/>
    <x v="12"/>
    <x v="197"/>
    <x v="108"/>
    <x v="96"/>
    <x v="106"/>
    <x v="90"/>
    <x v="393"/>
    <x v="1"/>
  </r>
  <r>
    <x v="0"/>
    <x v="40"/>
    <x v="40"/>
    <x v="25"/>
    <x v="25"/>
    <x v="25"/>
    <x v="12"/>
    <x v="197"/>
    <x v="108"/>
    <x v="151"/>
    <x v="217"/>
    <x v="126"/>
    <x v="238"/>
    <x v="1"/>
  </r>
  <r>
    <x v="0"/>
    <x v="40"/>
    <x v="40"/>
    <x v="34"/>
    <x v="34"/>
    <x v="34"/>
    <x v="12"/>
    <x v="197"/>
    <x v="108"/>
    <x v="96"/>
    <x v="106"/>
    <x v="90"/>
    <x v="393"/>
    <x v="1"/>
  </r>
  <r>
    <x v="0"/>
    <x v="40"/>
    <x v="40"/>
    <x v="6"/>
    <x v="6"/>
    <x v="6"/>
    <x v="12"/>
    <x v="197"/>
    <x v="108"/>
    <x v="85"/>
    <x v="484"/>
    <x v="105"/>
    <x v="38"/>
    <x v="1"/>
  </r>
  <r>
    <x v="0"/>
    <x v="41"/>
    <x v="41"/>
    <x v="1"/>
    <x v="1"/>
    <x v="1"/>
    <x v="0"/>
    <x v="153"/>
    <x v="439"/>
    <x v="90"/>
    <x v="485"/>
    <x v="101"/>
    <x v="403"/>
    <x v="1"/>
  </r>
  <r>
    <x v="0"/>
    <x v="41"/>
    <x v="41"/>
    <x v="2"/>
    <x v="2"/>
    <x v="2"/>
    <x v="1"/>
    <x v="121"/>
    <x v="440"/>
    <x v="116"/>
    <x v="486"/>
    <x v="79"/>
    <x v="404"/>
    <x v="1"/>
  </r>
  <r>
    <x v="0"/>
    <x v="41"/>
    <x v="41"/>
    <x v="0"/>
    <x v="0"/>
    <x v="0"/>
    <x v="1"/>
    <x v="121"/>
    <x v="440"/>
    <x v="95"/>
    <x v="487"/>
    <x v="102"/>
    <x v="405"/>
    <x v="1"/>
  </r>
  <r>
    <x v="0"/>
    <x v="41"/>
    <x v="41"/>
    <x v="3"/>
    <x v="3"/>
    <x v="3"/>
    <x v="3"/>
    <x v="124"/>
    <x v="441"/>
    <x v="55"/>
    <x v="488"/>
    <x v="44"/>
    <x v="406"/>
    <x v="1"/>
  </r>
  <r>
    <x v="0"/>
    <x v="41"/>
    <x v="41"/>
    <x v="7"/>
    <x v="7"/>
    <x v="7"/>
    <x v="4"/>
    <x v="127"/>
    <x v="442"/>
    <x v="109"/>
    <x v="489"/>
    <x v="92"/>
    <x v="407"/>
    <x v="1"/>
  </r>
  <r>
    <x v="0"/>
    <x v="41"/>
    <x v="41"/>
    <x v="6"/>
    <x v="6"/>
    <x v="6"/>
    <x v="5"/>
    <x v="160"/>
    <x v="443"/>
    <x v="110"/>
    <x v="4"/>
    <x v="90"/>
    <x v="408"/>
    <x v="1"/>
  </r>
  <r>
    <x v="0"/>
    <x v="41"/>
    <x v="41"/>
    <x v="5"/>
    <x v="5"/>
    <x v="5"/>
    <x v="6"/>
    <x v="154"/>
    <x v="236"/>
    <x v="110"/>
    <x v="4"/>
    <x v="108"/>
    <x v="409"/>
    <x v="1"/>
  </r>
  <r>
    <x v="0"/>
    <x v="41"/>
    <x v="41"/>
    <x v="8"/>
    <x v="8"/>
    <x v="8"/>
    <x v="7"/>
    <x v="132"/>
    <x v="47"/>
    <x v="129"/>
    <x v="490"/>
    <x v="64"/>
    <x v="399"/>
    <x v="1"/>
  </r>
  <r>
    <x v="0"/>
    <x v="41"/>
    <x v="41"/>
    <x v="9"/>
    <x v="9"/>
    <x v="9"/>
    <x v="7"/>
    <x v="132"/>
    <x v="47"/>
    <x v="114"/>
    <x v="491"/>
    <x v="90"/>
    <x v="408"/>
    <x v="1"/>
  </r>
  <r>
    <x v="0"/>
    <x v="41"/>
    <x v="41"/>
    <x v="12"/>
    <x v="12"/>
    <x v="12"/>
    <x v="9"/>
    <x v="191"/>
    <x v="313"/>
    <x v="54"/>
    <x v="25"/>
    <x v="107"/>
    <x v="410"/>
    <x v="1"/>
  </r>
  <r>
    <x v="0"/>
    <x v="41"/>
    <x v="41"/>
    <x v="18"/>
    <x v="18"/>
    <x v="18"/>
    <x v="9"/>
    <x v="191"/>
    <x v="313"/>
    <x v="112"/>
    <x v="492"/>
    <x v="90"/>
    <x v="408"/>
    <x v="1"/>
  </r>
  <r>
    <x v="0"/>
    <x v="41"/>
    <x v="41"/>
    <x v="10"/>
    <x v="10"/>
    <x v="10"/>
    <x v="11"/>
    <x v="184"/>
    <x v="89"/>
    <x v="113"/>
    <x v="122"/>
    <x v="108"/>
    <x v="409"/>
    <x v="1"/>
  </r>
  <r>
    <x v="0"/>
    <x v="41"/>
    <x v="41"/>
    <x v="14"/>
    <x v="14"/>
    <x v="14"/>
    <x v="11"/>
    <x v="184"/>
    <x v="89"/>
    <x v="129"/>
    <x v="490"/>
    <x v="101"/>
    <x v="403"/>
    <x v="1"/>
  </r>
  <r>
    <x v="0"/>
    <x v="41"/>
    <x v="41"/>
    <x v="30"/>
    <x v="30"/>
    <x v="30"/>
    <x v="11"/>
    <x v="184"/>
    <x v="89"/>
    <x v="96"/>
    <x v="106"/>
    <x v="107"/>
    <x v="410"/>
    <x v="1"/>
  </r>
  <r>
    <x v="0"/>
    <x v="41"/>
    <x v="41"/>
    <x v="4"/>
    <x v="4"/>
    <x v="4"/>
    <x v="14"/>
    <x v="192"/>
    <x v="140"/>
    <x v="117"/>
    <x v="493"/>
    <x v="98"/>
    <x v="119"/>
    <x v="1"/>
  </r>
  <r>
    <x v="0"/>
    <x v="41"/>
    <x v="41"/>
    <x v="23"/>
    <x v="23"/>
    <x v="23"/>
    <x v="15"/>
    <x v="193"/>
    <x v="332"/>
    <x v="96"/>
    <x v="106"/>
    <x v="107"/>
    <x v="410"/>
    <x v="1"/>
  </r>
  <r>
    <x v="0"/>
    <x v="41"/>
    <x v="41"/>
    <x v="36"/>
    <x v="36"/>
    <x v="36"/>
    <x v="15"/>
    <x v="193"/>
    <x v="332"/>
    <x v="85"/>
    <x v="437"/>
    <x v="108"/>
    <x v="409"/>
    <x v="1"/>
  </r>
  <r>
    <x v="0"/>
    <x v="41"/>
    <x v="41"/>
    <x v="34"/>
    <x v="34"/>
    <x v="34"/>
    <x v="15"/>
    <x v="193"/>
    <x v="332"/>
    <x v="85"/>
    <x v="437"/>
    <x v="98"/>
    <x v="119"/>
    <x v="1"/>
  </r>
  <r>
    <x v="0"/>
    <x v="41"/>
    <x v="41"/>
    <x v="24"/>
    <x v="24"/>
    <x v="24"/>
    <x v="15"/>
    <x v="193"/>
    <x v="332"/>
    <x v="117"/>
    <x v="493"/>
    <x v="101"/>
    <x v="403"/>
    <x v="1"/>
  </r>
  <r>
    <x v="0"/>
    <x v="41"/>
    <x v="41"/>
    <x v="27"/>
    <x v="27"/>
    <x v="27"/>
    <x v="19"/>
    <x v="194"/>
    <x v="91"/>
    <x v="54"/>
    <x v="25"/>
    <x v="126"/>
    <x v="238"/>
    <x v="1"/>
  </r>
  <r>
    <x v="0"/>
    <x v="41"/>
    <x v="41"/>
    <x v="32"/>
    <x v="32"/>
    <x v="32"/>
    <x v="19"/>
    <x v="194"/>
    <x v="91"/>
    <x v="85"/>
    <x v="437"/>
    <x v="98"/>
    <x v="119"/>
    <x v="1"/>
  </r>
  <r>
    <x v="0"/>
    <x v="41"/>
    <x v="41"/>
    <x v="19"/>
    <x v="19"/>
    <x v="19"/>
    <x v="19"/>
    <x v="194"/>
    <x v="91"/>
    <x v="85"/>
    <x v="437"/>
    <x v="98"/>
    <x v="119"/>
    <x v="1"/>
  </r>
  <r>
    <x v="0"/>
    <x v="41"/>
    <x v="41"/>
    <x v="11"/>
    <x v="11"/>
    <x v="11"/>
    <x v="19"/>
    <x v="194"/>
    <x v="91"/>
    <x v="113"/>
    <x v="122"/>
    <x v="105"/>
    <x v="411"/>
    <x v="1"/>
  </r>
  <r>
    <x v="0"/>
    <x v="41"/>
    <x v="41"/>
    <x v="40"/>
    <x v="40"/>
    <x v="40"/>
    <x v="19"/>
    <x v="194"/>
    <x v="91"/>
    <x v="117"/>
    <x v="493"/>
    <x v="90"/>
    <x v="408"/>
    <x v="1"/>
  </r>
  <r>
    <x v="0"/>
    <x v="42"/>
    <x v="42"/>
    <x v="25"/>
    <x v="25"/>
    <x v="25"/>
    <x v="0"/>
    <x v="116"/>
    <x v="444"/>
    <x v="53"/>
    <x v="494"/>
    <x v="101"/>
    <x v="412"/>
    <x v="1"/>
  </r>
  <r>
    <x v="0"/>
    <x v="42"/>
    <x v="42"/>
    <x v="0"/>
    <x v="0"/>
    <x v="0"/>
    <x v="1"/>
    <x v="117"/>
    <x v="445"/>
    <x v="72"/>
    <x v="495"/>
    <x v="101"/>
    <x v="412"/>
    <x v="1"/>
  </r>
  <r>
    <x v="0"/>
    <x v="42"/>
    <x v="42"/>
    <x v="7"/>
    <x v="7"/>
    <x v="7"/>
    <x v="2"/>
    <x v="128"/>
    <x v="446"/>
    <x v="112"/>
    <x v="467"/>
    <x v="96"/>
    <x v="413"/>
    <x v="1"/>
  </r>
  <r>
    <x v="0"/>
    <x v="42"/>
    <x v="42"/>
    <x v="3"/>
    <x v="3"/>
    <x v="3"/>
    <x v="3"/>
    <x v="191"/>
    <x v="447"/>
    <x v="129"/>
    <x v="496"/>
    <x v="108"/>
    <x v="414"/>
    <x v="1"/>
  </r>
  <r>
    <x v="0"/>
    <x v="42"/>
    <x v="42"/>
    <x v="6"/>
    <x v="6"/>
    <x v="6"/>
    <x v="4"/>
    <x v="186"/>
    <x v="442"/>
    <x v="113"/>
    <x v="318"/>
    <x v="98"/>
    <x v="415"/>
    <x v="1"/>
  </r>
  <r>
    <x v="0"/>
    <x v="42"/>
    <x v="42"/>
    <x v="2"/>
    <x v="2"/>
    <x v="2"/>
    <x v="5"/>
    <x v="192"/>
    <x v="429"/>
    <x v="54"/>
    <x v="98"/>
    <x v="90"/>
    <x v="10"/>
    <x v="1"/>
  </r>
  <r>
    <x v="0"/>
    <x v="42"/>
    <x v="42"/>
    <x v="26"/>
    <x v="26"/>
    <x v="26"/>
    <x v="6"/>
    <x v="196"/>
    <x v="15"/>
    <x v="151"/>
    <x v="228"/>
    <x v="126"/>
    <x v="238"/>
    <x v="5"/>
  </r>
  <r>
    <x v="0"/>
    <x v="42"/>
    <x v="42"/>
    <x v="34"/>
    <x v="34"/>
    <x v="34"/>
    <x v="6"/>
    <x v="196"/>
    <x v="15"/>
    <x v="117"/>
    <x v="261"/>
    <x v="126"/>
    <x v="238"/>
    <x v="1"/>
  </r>
  <r>
    <x v="0"/>
    <x v="42"/>
    <x v="42"/>
    <x v="1"/>
    <x v="1"/>
    <x v="1"/>
    <x v="6"/>
    <x v="196"/>
    <x v="15"/>
    <x v="117"/>
    <x v="261"/>
    <x v="126"/>
    <x v="238"/>
    <x v="1"/>
  </r>
  <r>
    <x v="0"/>
    <x v="42"/>
    <x v="42"/>
    <x v="9"/>
    <x v="9"/>
    <x v="9"/>
    <x v="6"/>
    <x v="196"/>
    <x v="15"/>
    <x v="151"/>
    <x v="228"/>
    <x v="105"/>
    <x v="6"/>
    <x v="1"/>
  </r>
  <r>
    <x v="0"/>
    <x v="42"/>
    <x v="42"/>
    <x v="30"/>
    <x v="30"/>
    <x v="30"/>
    <x v="6"/>
    <x v="196"/>
    <x v="15"/>
    <x v="96"/>
    <x v="106"/>
    <x v="101"/>
    <x v="412"/>
    <x v="1"/>
  </r>
  <r>
    <x v="0"/>
    <x v="42"/>
    <x v="42"/>
    <x v="18"/>
    <x v="18"/>
    <x v="18"/>
    <x v="6"/>
    <x v="196"/>
    <x v="15"/>
    <x v="117"/>
    <x v="261"/>
    <x v="126"/>
    <x v="238"/>
    <x v="1"/>
  </r>
  <r>
    <x v="0"/>
    <x v="42"/>
    <x v="42"/>
    <x v="5"/>
    <x v="5"/>
    <x v="5"/>
    <x v="12"/>
    <x v="197"/>
    <x v="387"/>
    <x v="85"/>
    <x v="323"/>
    <x v="105"/>
    <x v="6"/>
    <x v="1"/>
  </r>
  <r>
    <x v="0"/>
    <x v="42"/>
    <x v="42"/>
    <x v="15"/>
    <x v="15"/>
    <x v="15"/>
    <x v="12"/>
    <x v="197"/>
    <x v="387"/>
    <x v="96"/>
    <x v="106"/>
    <x v="90"/>
    <x v="10"/>
    <x v="1"/>
  </r>
  <r>
    <x v="0"/>
    <x v="42"/>
    <x v="42"/>
    <x v="8"/>
    <x v="8"/>
    <x v="8"/>
    <x v="12"/>
    <x v="197"/>
    <x v="387"/>
    <x v="151"/>
    <x v="228"/>
    <x v="126"/>
    <x v="238"/>
    <x v="1"/>
  </r>
  <r>
    <x v="0"/>
    <x v="42"/>
    <x v="42"/>
    <x v="10"/>
    <x v="10"/>
    <x v="10"/>
    <x v="15"/>
    <x v="198"/>
    <x v="448"/>
    <x v="96"/>
    <x v="106"/>
    <x v="105"/>
    <x v="6"/>
    <x v="1"/>
  </r>
  <r>
    <x v="0"/>
    <x v="42"/>
    <x v="42"/>
    <x v="41"/>
    <x v="41"/>
    <x v="41"/>
    <x v="15"/>
    <x v="198"/>
    <x v="448"/>
    <x v="96"/>
    <x v="106"/>
    <x v="105"/>
    <x v="6"/>
    <x v="1"/>
  </r>
  <r>
    <x v="0"/>
    <x v="42"/>
    <x v="42"/>
    <x v="27"/>
    <x v="27"/>
    <x v="27"/>
    <x v="15"/>
    <x v="198"/>
    <x v="448"/>
    <x v="85"/>
    <x v="323"/>
    <x v="126"/>
    <x v="238"/>
    <x v="1"/>
  </r>
  <r>
    <x v="0"/>
    <x v="42"/>
    <x v="42"/>
    <x v="50"/>
    <x v="50"/>
    <x v="50"/>
    <x v="15"/>
    <x v="198"/>
    <x v="448"/>
    <x v="96"/>
    <x v="106"/>
    <x v="105"/>
    <x v="6"/>
    <x v="1"/>
  </r>
  <r>
    <x v="0"/>
    <x v="42"/>
    <x v="42"/>
    <x v="48"/>
    <x v="48"/>
    <x v="48"/>
    <x v="15"/>
    <x v="198"/>
    <x v="448"/>
    <x v="96"/>
    <x v="106"/>
    <x v="105"/>
    <x v="6"/>
    <x v="1"/>
  </r>
  <r>
    <x v="0"/>
    <x v="42"/>
    <x v="42"/>
    <x v="49"/>
    <x v="49"/>
    <x v="49"/>
    <x v="15"/>
    <x v="198"/>
    <x v="448"/>
    <x v="96"/>
    <x v="106"/>
    <x v="126"/>
    <x v="238"/>
    <x v="1"/>
  </r>
  <r>
    <x v="0"/>
    <x v="42"/>
    <x v="42"/>
    <x v="51"/>
    <x v="51"/>
    <x v="51"/>
    <x v="15"/>
    <x v="198"/>
    <x v="448"/>
    <x v="96"/>
    <x v="106"/>
    <x v="105"/>
    <x v="6"/>
    <x v="1"/>
  </r>
  <r>
    <x v="0"/>
    <x v="42"/>
    <x v="42"/>
    <x v="52"/>
    <x v="52"/>
    <x v="52"/>
    <x v="15"/>
    <x v="198"/>
    <x v="448"/>
    <x v="96"/>
    <x v="106"/>
    <x v="105"/>
    <x v="6"/>
    <x v="1"/>
  </r>
  <r>
    <x v="0"/>
    <x v="42"/>
    <x v="42"/>
    <x v="39"/>
    <x v="39"/>
    <x v="39"/>
    <x v="15"/>
    <x v="198"/>
    <x v="448"/>
    <x v="96"/>
    <x v="106"/>
    <x v="105"/>
    <x v="6"/>
    <x v="1"/>
  </r>
  <r>
    <x v="0"/>
    <x v="42"/>
    <x v="42"/>
    <x v="17"/>
    <x v="17"/>
    <x v="17"/>
    <x v="15"/>
    <x v="198"/>
    <x v="448"/>
    <x v="85"/>
    <x v="323"/>
    <x v="126"/>
    <x v="238"/>
    <x v="1"/>
  </r>
  <r>
    <x v="0"/>
    <x v="42"/>
    <x v="42"/>
    <x v="11"/>
    <x v="11"/>
    <x v="11"/>
    <x v="15"/>
    <x v="198"/>
    <x v="448"/>
    <x v="85"/>
    <x v="323"/>
    <x v="126"/>
    <x v="238"/>
    <x v="1"/>
  </r>
  <r>
    <x v="0"/>
    <x v="42"/>
    <x v="42"/>
    <x v="40"/>
    <x v="40"/>
    <x v="40"/>
    <x v="15"/>
    <x v="198"/>
    <x v="448"/>
    <x v="85"/>
    <x v="323"/>
    <x v="126"/>
    <x v="238"/>
    <x v="1"/>
  </r>
  <r>
    <x v="0"/>
    <x v="42"/>
    <x v="42"/>
    <x v="53"/>
    <x v="53"/>
    <x v="53"/>
    <x v="15"/>
    <x v="198"/>
    <x v="448"/>
    <x v="96"/>
    <x v="106"/>
    <x v="105"/>
    <x v="6"/>
    <x v="1"/>
  </r>
  <r>
    <x v="0"/>
    <x v="42"/>
    <x v="42"/>
    <x v="22"/>
    <x v="22"/>
    <x v="22"/>
    <x v="15"/>
    <x v="198"/>
    <x v="448"/>
    <x v="96"/>
    <x v="106"/>
    <x v="105"/>
    <x v="6"/>
    <x v="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50">
  <r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1"/>
    <x v="1"/>
    <x v="1"/>
    <x v="1"/>
    <x v="1"/>
    <x v="1"/>
    <x v="1"/>
    <x v="1"/>
    <x v="1"/>
    <x v="1"/>
    <x v="1"/>
  </r>
  <r>
    <x v="0"/>
    <x v="0"/>
    <x v="0"/>
    <x v="2"/>
    <x v="2"/>
    <x v="2"/>
    <x v="2"/>
    <x v="2"/>
    <x v="2"/>
    <x v="2"/>
    <x v="2"/>
    <x v="2"/>
    <x v="2"/>
    <x v="2"/>
  </r>
  <r>
    <x v="0"/>
    <x v="0"/>
    <x v="0"/>
    <x v="3"/>
    <x v="3"/>
    <x v="3"/>
    <x v="3"/>
    <x v="3"/>
    <x v="3"/>
    <x v="3"/>
    <x v="3"/>
    <x v="3"/>
    <x v="3"/>
    <x v="0"/>
  </r>
  <r>
    <x v="0"/>
    <x v="0"/>
    <x v="0"/>
    <x v="4"/>
    <x v="4"/>
    <x v="4"/>
    <x v="3"/>
    <x v="3"/>
    <x v="3"/>
    <x v="4"/>
    <x v="4"/>
    <x v="4"/>
    <x v="4"/>
    <x v="0"/>
  </r>
  <r>
    <x v="0"/>
    <x v="0"/>
    <x v="0"/>
    <x v="5"/>
    <x v="5"/>
    <x v="5"/>
    <x v="4"/>
    <x v="4"/>
    <x v="4"/>
    <x v="5"/>
    <x v="5"/>
    <x v="5"/>
    <x v="5"/>
    <x v="0"/>
  </r>
  <r>
    <x v="0"/>
    <x v="0"/>
    <x v="0"/>
    <x v="6"/>
    <x v="6"/>
    <x v="6"/>
    <x v="5"/>
    <x v="5"/>
    <x v="5"/>
    <x v="6"/>
    <x v="6"/>
    <x v="6"/>
    <x v="6"/>
    <x v="0"/>
  </r>
  <r>
    <x v="0"/>
    <x v="0"/>
    <x v="0"/>
    <x v="7"/>
    <x v="7"/>
    <x v="7"/>
    <x v="6"/>
    <x v="6"/>
    <x v="6"/>
    <x v="7"/>
    <x v="7"/>
    <x v="7"/>
    <x v="7"/>
    <x v="0"/>
  </r>
  <r>
    <x v="0"/>
    <x v="0"/>
    <x v="0"/>
    <x v="8"/>
    <x v="8"/>
    <x v="8"/>
    <x v="7"/>
    <x v="7"/>
    <x v="7"/>
    <x v="8"/>
    <x v="8"/>
    <x v="8"/>
    <x v="8"/>
    <x v="3"/>
  </r>
  <r>
    <x v="0"/>
    <x v="0"/>
    <x v="0"/>
    <x v="9"/>
    <x v="9"/>
    <x v="9"/>
    <x v="8"/>
    <x v="8"/>
    <x v="8"/>
    <x v="9"/>
    <x v="9"/>
    <x v="9"/>
    <x v="9"/>
    <x v="4"/>
  </r>
  <r>
    <x v="0"/>
    <x v="0"/>
    <x v="0"/>
    <x v="10"/>
    <x v="10"/>
    <x v="10"/>
    <x v="9"/>
    <x v="9"/>
    <x v="9"/>
    <x v="10"/>
    <x v="10"/>
    <x v="10"/>
    <x v="10"/>
    <x v="0"/>
  </r>
  <r>
    <x v="0"/>
    <x v="0"/>
    <x v="0"/>
    <x v="11"/>
    <x v="11"/>
    <x v="11"/>
    <x v="10"/>
    <x v="10"/>
    <x v="10"/>
    <x v="11"/>
    <x v="11"/>
    <x v="11"/>
    <x v="11"/>
    <x v="0"/>
  </r>
  <r>
    <x v="0"/>
    <x v="0"/>
    <x v="0"/>
    <x v="12"/>
    <x v="12"/>
    <x v="12"/>
    <x v="11"/>
    <x v="11"/>
    <x v="11"/>
    <x v="12"/>
    <x v="12"/>
    <x v="12"/>
    <x v="12"/>
    <x v="0"/>
  </r>
  <r>
    <x v="0"/>
    <x v="0"/>
    <x v="0"/>
    <x v="13"/>
    <x v="13"/>
    <x v="13"/>
    <x v="12"/>
    <x v="12"/>
    <x v="12"/>
    <x v="13"/>
    <x v="13"/>
    <x v="13"/>
    <x v="13"/>
    <x v="0"/>
  </r>
  <r>
    <x v="0"/>
    <x v="0"/>
    <x v="0"/>
    <x v="14"/>
    <x v="14"/>
    <x v="14"/>
    <x v="13"/>
    <x v="13"/>
    <x v="13"/>
    <x v="14"/>
    <x v="14"/>
    <x v="14"/>
    <x v="14"/>
    <x v="0"/>
  </r>
  <r>
    <x v="0"/>
    <x v="0"/>
    <x v="0"/>
    <x v="15"/>
    <x v="15"/>
    <x v="15"/>
    <x v="13"/>
    <x v="13"/>
    <x v="13"/>
    <x v="15"/>
    <x v="15"/>
    <x v="15"/>
    <x v="15"/>
    <x v="0"/>
  </r>
  <r>
    <x v="0"/>
    <x v="0"/>
    <x v="0"/>
    <x v="16"/>
    <x v="16"/>
    <x v="16"/>
    <x v="14"/>
    <x v="14"/>
    <x v="14"/>
    <x v="16"/>
    <x v="16"/>
    <x v="16"/>
    <x v="16"/>
    <x v="4"/>
  </r>
  <r>
    <x v="0"/>
    <x v="0"/>
    <x v="0"/>
    <x v="17"/>
    <x v="17"/>
    <x v="17"/>
    <x v="15"/>
    <x v="15"/>
    <x v="15"/>
    <x v="17"/>
    <x v="17"/>
    <x v="17"/>
    <x v="17"/>
    <x v="0"/>
  </r>
  <r>
    <x v="0"/>
    <x v="0"/>
    <x v="0"/>
    <x v="18"/>
    <x v="18"/>
    <x v="18"/>
    <x v="16"/>
    <x v="16"/>
    <x v="15"/>
    <x v="18"/>
    <x v="18"/>
    <x v="18"/>
    <x v="18"/>
    <x v="0"/>
  </r>
  <r>
    <x v="0"/>
    <x v="0"/>
    <x v="0"/>
    <x v="19"/>
    <x v="19"/>
    <x v="19"/>
    <x v="17"/>
    <x v="17"/>
    <x v="16"/>
    <x v="19"/>
    <x v="19"/>
    <x v="19"/>
    <x v="19"/>
    <x v="4"/>
  </r>
  <r>
    <x v="0"/>
    <x v="1"/>
    <x v="1"/>
    <x v="2"/>
    <x v="2"/>
    <x v="2"/>
    <x v="0"/>
    <x v="18"/>
    <x v="17"/>
    <x v="20"/>
    <x v="20"/>
    <x v="20"/>
    <x v="20"/>
    <x v="0"/>
  </r>
  <r>
    <x v="0"/>
    <x v="1"/>
    <x v="1"/>
    <x v="0"/>
    <x v="0"/>
    <x v="0"/>
    <x v="1"/>
    <x v="19"/>
    <x v="18"/>
    <x v="21"/>
    <x v="21"/>
    <x v="21"/>
    <x v="21"/>
    <x v="0"/>
  </r>
  <r>
    <x v="0"/>
    <x v="1"/>
    <x v="1"/>
    <x v="1"/>
    <x v="1"/>
    <x v="1"/>
    <x v="2"/>
    <x v="20"/>
    <x v="19"/>
    <x v="22"/>
    <x v="22"/>
    <x v="22"/>
    <x v="22"/>
    <x v="0"/>
  </r>
  <r>
    <x v="0"/>
    <x v="1"/>
    <x v="1"/>
    <x v="5"/>
    <x v="5"/>
    <x v="5"/>
    <x v="3"/>
    <x v="21"/>
    <x v="20"/>
    <x v="23"/>
    <x v="23"/>
    <x v="23"/>
    <x v="23"/>
    <x v="0"/>
  </r>
  <r>
    <x v="0"/>
    <x v="1"/>
    <x v="1"/>
    <x v="4"/>
    <x v="4"/>
    <x v="4"/>
    <x v="18"/>
    <x v="22"/>
    <x v="21"/>
    <x v="24"/>
    <x v="24"/>
    <x v="24"/>
    <x v="24"/>
    <x v="0"/>
  </r>
  <r>
    <x v="0"/>
    <x v="1"/>
    <x v="1"/>
    <x v="15"/>
    <x v="15"/>
    <x v="15"/>
    <x v="4"/>
    <x v="23"/>
    <x v="22"/>
    <x v="25"/>
    <x v="25"/>
    <x v="25"/>
    <x v="25"/>
    <x v="0"/>
  </r>
  <r>
    <x v="0"/>
    <x v="1"/>
    <x v="1"/>
    <x v="3"/>
    <x v="3"/>
    <x v="3"/>
    <x v="5"/>
    <x v="24"/>
    <x v="23"/>
    <x v="26"/>
    <x v="26"/>
    <x v="26"/>
    <x v="26"/>
    <x v="0"/>
  </r>
  <r>
    <x v="0"/>
    <x v="1"/>
    <x v="1"/>
    <x v="9"/>
    <x v="9"/>
    <x v="9"/>
    <x v="6"/>
    <x v="25"/>
    <x v="24"/>
    <x v="27"/>
    <x v="27"/>
    <x v="27"/>
    <x v="27"/>
    <x v="0"/>
  </r>
  <r>
    <x v="0"/>
    <x v="1"/>
    <x v="1"/>
    <x v="20"/>
    <x v="20"/>
    <x v="20"/>
    <x v="7"/>
    <x v="26"/>
    <x v="25"/>
    <x v="28"/>
    <x v="28"/>
    <x v="28"/>
    <x v="16"/>
    <x v="0"/>
  </r>
  <r>
    <x v="0"/>
    <x v="1"/>
    <x v="1"/>
    <x v="6"/>
    <x v="6"/>
    <x v="6"/>
    <x v="8"/>
    <x v="27"/>
    <x v="26"/>
    <x v="29"/>
    <x v="29"/>
    <x v="29"/>
    <x v="28"/>
    <x v="0"/>
  </r>
  <r>
    <x v="0"/>
    <x v="1"/>
    <x v="1"/>
    <x v="13"/>
    <x v="13"/>
    <x v="13"/>
    <x v="9"/>
    <x v="28"/>
    <x v="27"/>
    <x v="30"/>
    <x v="30"/>
    <x v="30"/>
    <x v="29"/>
    <x v="0"/>
  </r>
  <r>
    <x v="0"/>
    <x v="1"/>
    <x v="1"/>
    <x v="21"/>
    <x v="21"/>
    <x v="21"/>
    <x v="9"/>
    <x v="28"/>
    <x v="27"/>
    <x v="31"/>
    <x v="31"/>
    <x v="31"/>
    <x v="30"/>
    <x v="0"/>
  </r>
  <r>
    <x v="0"/>
    <x v="1"/>
    <x v="1"/>
    <x v="8"/>
    <x v="8"/>
    <x v="8"/>
    <x v="11"/>
    <x v="29"/>
    <x v="28"/>
    <x v="32"/>
    <x v="32"/>
    <x v="32"/>
    <x v="31"/>
    <x v="0"/>
  </r>
  <r>
    <x v="0"/>
    <x v="1"/>
    <x v="1"/>
    <x v="16"/>
    <x v="16"/>
    <x v="16"/>
    <x v="12"/>
    <x v="30"/>
    <x v="29"/>
    <x v="33"/>
    <x v="33"/>
    <x v="33"/>
    <x v="32"/>
    <x v="0"/>
  </r>
  <r>
    <x v="0"/>
    <x v="1"/>
    <x v="1"/>
    <x v="14"/>
    <x v="14"/>
    <x v="14"/>
    <x v="13"/>
    <x v="31"/>
    <x v="30"/>
    <x v="34"/>
    <x v="12"/>
    <x v="34"/>
    <x v="33"/>
    <x v="0"/>
  </r>
  <r>
    <x v="0"/>
    <x v="1"/>
    <x v="1"/>
    <x v="11"/>
    <x v="11"/>
    <x v="11"/>
    <x v="19"/>
    <x v="32"/>
    <x v="31"/>
    <x v="35"/>
    <x v="34"/>
    <x v="35"/>
    <x v="34"/>
    <x v="0"/>
  </r>
  <r>
    <x v="0"/>
    <x v="1"/>
    <x v="1"/>
    <x v="12"/>
    <x v="12"/>
    <x v="12"/>
    <x v="19"/>
    <x v="32"/>
    <x v="31"/>
    <x v="36"/>
    <x v="35"/>
    <x v="36"/>
    <x v="35"/>
    <x v="0"/>
  </r>
  <r>
    <x v="0"/>
    <x v="1"/>
    <x v="1"/>
    <x v="22"/>
    <x v="22"/>
    <x v="22"/>
    <x v="15"/>
    <x v="33"/>
    <x v="32"/>
    <x v="37"/>
    <x v="36"/>
    <x v="37"/>
    <x v="5"/>
    <x v="0"/>
  </r>
  <r>
    <x v="0"/>
    <x v="1"/>
    <x v="1"/>
    <x v="18"/>
    <x v="18"/>
    <x v="18"/>
    <x v="16"/>
    <x v="34"/>
    <x v="33"/>
    <x v="38"/>
    <x v="37"/>
    <x v="38"/>
    <x v="36"/>
    <x v="0"/>
  </r>
  <r>
    <x v="0"/>
    <x v="1"/>
    <x v="1"/>
    <x v="23"/>
    <x v="23"/>
    <x v="23"/>
    <x v="17"/>
    <x v="35"/>
    <x v="34"/>
    <x v="39"/>
    <x v="38"/>
    <x v="39"/>
    <x v="37"/>
    <x v="0"/>
  </r>
  <r>
    <x v="0"/>
    <x v="2"/>
    <x v="2"/>
    <x v="0"/>
    <x v="0"/>
    <x v="0"/>
    <x v="0"/>
    <x v="36"/>
    <x v="35"/>
    <x v="40"/>
    <x v="39"/>
    <x v="40"/>
    <x v="38"/>
    <x v="0"/>
  </r>
  <r>
    <x v="0"/>
    <x v="2"/>
    <x v="2"/>
    <x v="2"/>
    <x v="2"/>
    <x v="2"/>
    <x v="1"/>
    <x v="37"/>
    <x v="36"/>
    <x v="41"/>
    <x v="40"/>
    <x v="41"/>
    <x v="39"/>
    <x v="1"/>
  </r>
  <r>
    <x v="0"/>
    <x v="2"/>
    <x v="2"/>
    <x v="3"/>
    <x v="3"/>
    <x v="3"/>
    <x v="2"/>
    <x v="38"/>
    <x v="37"/>
    <x v="42"/>
    <x v="41"/>
    <x v="42"/>
    <x v="40"/>
    <x v="0"/>
  </r>
  <r>
    <x v="0"/>
    <x v="2"/>
    <x v="2"/>
    <x v="1"/>
    <x v="1"/>
    <x v="1"/>
    <x v="3"/>
    <x v="39"/>
    <x v="38"/>
    <x v="43"/>
    <x v="42"/>
    <x v="43"/>
    <x v="36"/>
    <x v="0"/>
  </r>
  <r>
    <x v="0"/>
    <x v="2"/>
    <x v="2"/>
    <x v="6"/>
    <x v="6"/>
    <x v="6"/>
    <x v="18"/>
    <x v="40"/>
    <x v="39"/>
    <x v="33"/>
    <x v="43"/>
    <x v="44"/>
    <x v="41"/>
    <x v="0"/>
  </r>
  <r>
    <x v="0"/>
    <x v="2"/>
    <x v="2"/>
    <x v="4"/>
    <x v="4"/>
    <x v="4"/>
    <x v="18"/>
    <x v="40"/>
    <x v="39"/>
    <x v="44"/>
    <x v="44"/>
    <x v="45"/>
    <x v="42"/>
    <x v="0"/>
  </r>
  <r>
    <x v="0"/>
    <x v="2"/>
    <x v="2"/>
    <x v="8"/>
    <x v="8"/>
    <x v="8"/>
    <x v="5"/>
    <x v="41"/>
    <x v="40"/>
    <x v="45"/>
    <x v="45"/>
    <x v="31"/>
    <x v="43"/>
    <x v="0"/>
  </r>
  <r>
    <x v="0"/>
    <x v="2"/>
    <x v="2"/>
    <x v="5"/>
    <x v="5"/>
    <x v="5"/>
    <x v="6"/>
    <x v="42"/>
    <x v="41"/>
    <x v="46"/>
    <x v="46"/>
    <x v="46"/>
    <x v="44"/>
    <x v="0"/>
  </r>
  <r>
    <x v="0"/>
    <x v="2"/>
    <x v="2"/>
    <x v="9"/>
    <x v="9"/>
    <x v="9"/>
    <x v="7"/>
    <x v="43"/>
    <x v="42"/>
    <x v="47"/>
    <x v="47"/>
    <x v="47"/>
    <x v="45"/>
    <x v="0"/>
  </r>
  <r>
    <x v="0"/>
    <x v="2"/>
    <x v="2"/>
    <x v="21"/>
    <x v="21"/>
    <x v="21"/>
    <x v="8"/>
    <x v="44"/>
    <x v="24"/>
    <x v="39"/>
    <x v="48"/>
    <x v="48"/>
    <x v="46"/>
    <x v="0"/>
  </r>
  <r>
    <x v="0"/>
    <x v="2"/>
    <x v="2"/>
    <x v="7"/>
    <x v="7"/>
    <x v="7"/>
    <x v="9"/>
    <x v="45"/>
    <x v="43"/>
    <x v="48"/>
    <x v="49"/>
    <x v="49"/>
    <x v="47"/>
    <x v="0"/>
  </r>
  <r>
    <x v="0"/>
    <x v="2"/>
    <x v="2"/>
    <x v="15"/>
    <x v="15"/>
    <x v="15"/>
    <x v="9"/>
    <x v="45"/>
    <x v="43"/>
    <x v="49"/>
    <x v="50"/>
    <x v="38"/>
    <x v="48"/>
    <x v="0"/>
  </r>
  <r>
    <x v="0"/>
    <x v="2"/>
    <x v="2"/>
    <x v="23"/>
    <x v="23"/>
    <x v="23"/>
    <x v="11"/>
    <x v="46"/>
    <x v="44"/>
    <x v="50"/>
    <x v="19"/>
    <x v="50"/>
    <x v="49"/>
    <x v="0"/>
  </r>
  <r>
    <x v="0"/>
    <x v="2"/>
    <x v="2"/>
    <x v="24"/>
    <x v="24"/>
    <x v="24"/>
    <x v="12"/>
    <x v="47"/>
    <x v="12"/>
    <x v="51"/>
    <x v="51"/>
    <x v="26"/>
    <x v="22"/>
    <x v="0"/>
  </r>
  <r>
    <x v="0"/>
    <x v="2"/>
    <x v="2"/>
    <x v="12"/>
    <x v="12"/>
    <x v="12"/>
    <x v="13"/>
    <x v="48"/>
    <x v="45"/>
    <x v="52"/>
    <x v="52"/>
    <x v="51"/>
    <x v="50"/>
    <x v="0"/>
  </r>
  <r>
    <x v="0"/>
    <x v="2"/>
    <x v="2"/>
    <x v="14"/>
    <x v="14"/>
    <x v="14"/>
    <x v="13"/>
    <x v="48"/>
    <x v="45"/>
    <x v="52"/>
    <x v="52"/>
    <x v="51"/>
    <x v="50"/>
    <x v="0"/>
  </r>
  <r>
    <x v="0"/>
    <x v="2"/>
    <x v="2"/>
    <x v="16"/>
    <x v="16"/>
    <x v="16"/>
    <x v="13"/>
    <x v="48"/>
    <x v="45"/>
    <x v="52"/>
    <x v="52"/>
    <x v="22"/>
    <x v="51"/>
    <x v="0"/>
  </r>
  <r>
    <x v="0"/>
    <x v="2"/>
    <x v="2"/>
    <x v="13"/>
    <x v="13"/>
    <x v="13"/>
    <x v="15"/>
    <x v="49"/>
    <x v="46"/>
    <x v="53"/>
    <x v="53"/>
    <x v="52"/>
    <x v="52"/>
    <x v="0"/>
  </r>
  <r>
    <x v="0"/>
    <x v="2"/>
    <x v="2"/>
    <x v="11"/>
    <x v="11"/>
    <x v="11"/>
    <x v="16"/>
    <x v="50"/>
    <x v="47"/>
    <x v="54"/>
    <x v="54"/>
    <x v="53"/>
    <x v="53"/>
    <x v="0"/>
  </r>
  <r>
    <x v="0"/>
    <x v="2"/>
    <x v="2"/>
    <x v="22"/>
    <x v="22"/>
    <x v="22"/>
    <x v="17"/>
    <x v="51"/>
    <x v="48"/>
    <x v="55"/>
    <x v="55"/>
    <x v="30"/>
    <x v="54"/>
    <x v="0"/>
  </r>
  <r>
    <x v="0"/>
    <x v="3"/>
    <x v="3"/>
    <x v="0"/>
    <x v="0"/>
    <x v="0"/>
    <x v="0"/>
    <x v="37"/>
    <x v="49"/>
    <x v="56"/>
    <x v="56"/>
    <x v="54"/>
    <x v="55"/>
    <x v="0"/>
  </r>
  <r>
    <x v="0"/>
    <x v="3"/>
    <x v="3"/>
    <x v="2"/>
    <x v="2"/>
    <x v="2"/>
    <x v="1"/>
    <x v="52"/>
    <x v="50"/>
    <x v="57"/>
    <x v="57"/>
    <x v="55"/>
    <x v="56"/>
    <x v="0"/>
  </r>
  <r>
    <x v="0"/>
    <x v="3"/>
    <x v="3"/>
    <x v="5"/>
    <x v="5"/>
    <x v="5"/>
    <x v="2"/>
    <x v="53"/>
    <x v="51"/>
    <x v="58"/>
    <x v="58"/>
    <x v="56"/>
    <x v="57"/>
    <x v="0"/>
  </r>
  <r>
    <x v="0"/>
    <x v="3"/>
    <x v="3"/>
    <x v="25"/>
    <x v="25"/>
    <x v="25"/>
    <x v="3"/>
    <x v="54"/>
    <x v="52"/>
    <x v="59"/>
    <x v="59"/>
    <x v="57"/>
    <x v="58"/>
    <x v="0"/>
  </r>
  <r>
    <x v="0"/>
    <x v="3"/>
    <x v="3"/>
    <x v="1"/>
    <x v="1"/>
    <x v="1"/>
    <x v="18"/>
    <x v="40"/>
    <x v="53"/>
    <x v="43"/>
    <x v="60"/>
    <x v="54"/>
    <x v="55"/>
    <x v="0"/>
  </r>
  <r>
    <x v="0"/>
    <x v="3"/>
    <x v="3"/>
    <x v="4"/>
    <x v="4"/>
    <x v="4"/>
    <x v="4"/>
    <x v="55"/>
    <x v="54"/>
    <x v="60"/>
    <x v="61"/>
    <x v="48"/>
    <x v="59"/>
    <x v="0"/>
  </r>
  <r>
    <x v="0"/>
    <x v="3"/>
    <x v="3"/>
    <x v="7"/>
    <x v="7"/>
    <x v="7"/>
    <x v="5"/>
    <x v="56"/>
    <x v="55"/>
    <x v="61"/>
    <x v="62"/>
    <x v="58"/>
    <x v="60"/>
    <x v="0"/>
  </r>
  <r>
    <x v="0"/>
    <x v="3"/>
    <x v="3"/>
    <x v="13"/>
    <x v="13"/>
    <x v="13"/>
    <x v="6"/>
    <x v="57"/>
    <x v="56"/>
    <x v="62"/>
    <x v="63"/>
    <x v="59"/>
    <x v="61"/>
    <x v="0"/>
  </r>
  <r>
    <x v="0"/>
    <x v="3"/>
    <x v="3"/>
    <x v="9"/>
    <x v="9"/>
    <x v="9"/>
    <x v="7"/>
    <x v="58"/>
    <x v="57"/>
    <x v="59"/>
    <x v="59"/>
    <x v="47"/>
    <x v="62"/>
    <x v="0"/>
  </r>
  <r>
    <x v="0"/>
    <x v="3"/>
    <x v="3"/>
    <x v="10"/>
    <x v="10"/>
    <x v="10"/>
    <x v="8"/>
    <x v="42"/>
    <x v="58"/>
    <x v="63"/>
    <x v="43"/>
    <x v="60"/>
    <x v="63"/>
    <x v="0"/>
  </r>
  <r>
    <x v="0"/>
    <x v="3"/>
    <x v="3"/>
    <x v="21"/>
    <x v="21"/>
    <x v="21"/>
    <x v="9"/>
    <x v="59"/>
    <x v="59"/>
    <x v="64"/>
    <x v="64"/>
    <x v="61"/>
    <x v="64"/>
    <x v="0"/>
  </r>
  <r>
    <x v="0"/>
    <x v="3"/>
    <x v="3"/>
    <x v="3"/>
    <x v="3"/>
    <x v="3"/>
    <x v="10"/>
    <x v="60"/>
    <x v="60"/>
    <x v="59"/>
    <x v="59"/>
    <x v="42"/>
    <x v="65"/>
    <x v="0"/>
  </r>
  <r>
    <x v="0"/>
    <x v="3"/>
    <x v="3"/>
    <x v="8"/>
    <x v="8"/>
    <x v="8"/>
    <x v="11"/>
    <x v="61"/>
    <x v="61"/>
    <x v="65"/>
    <x v="65"/>
    <x v="26"/>
    <x v="66"/>
    <x v="0"/>
  </r>
  <r>
    <x v="0"/>
    <x v="3"/>
    <x v="3"/>
    <x v="26"/>
    <x v="26"/>
    <x v="26"/>
    <x v="12"/>
    <x v="62"/>
    <x v="24"/>
    <x v="66"/>
    <x v="66"/>
    <x v="56"/>
    <x v="57"/>
    <x v="0"/>
  </r>
  <r>
    <x v="0"/>
    <x v="3"/>
    <x v="3"/>
    <x v="6"/>
    <x v="6"/>
    <x v="6"/>
    <x v="13"/>
    <x v="63"/>
    <x v="62"/>
    <x v="67"/>
    <x v="25"/>
    <x v="62"/>
    <x v="34"/>
    <x v="0"/>
  </r>
  <r>
    <x v="0"/>
    <x v="3"/>
    <x v="3"/>
    <x v="16"/>
    <x v="16"/>
    <x v="16"/>
    <x v="19"/>
    <x v="64"/>
    <x v="8"/>
    <x v="68"/>
    <x v="38"/>
    <x v="63"/>
    <x v="67"/>
    <x v="0"/>
  </r>
  <r>
    <x v="0"/>
    <x v="3"/>
    <x v="3"/>
    <x v="11"/>
    <x v="11"/>
    <x v="11"/>
    <x v="14"/>
    <x v="65"/>
    <x v="43"/>
    <x v="54"/>
    <x v="67"/>
    <x v="64"/>
    <x v="68"/>
    <x v="0"/>
  </r>
  <r>
    <x v="0"/>
    <x v="3"/>
    <x v="3"/>
    <x v="19"/>
    <x v="19"/>
    <x v="19"/>
    <x v="14"/>
    <x v="65"/>
    <x v="43"/>
    <x v="69"/>
    <x v="68"/>
    <x v="65"/>
    <x v="69"/>
    <x v="4"/>
  </r>
  <r>
    <x v="0"/>
    <x v="3"/>
    <x v="3"/>
    <x v="22"/>
    <x v="22"/>
    <x v="22"/>
    <x v="16"/>
    <x v="49"/>
    <x v="63"/>
    <x v="70"/>
    <x v="69"/>
    <x v="30"/>
    <x v="70"/>
    <x v="0"/>
  </r>
  <r>
    <x v="0"/>
    <x v="3"/>
    <x v="3"/>
    <x v="27"/>
    <x v="27"/>
    <x v="27"/>
    <x v="17"/>
    <x v="50"/>
    <x v="64"/>
    <x v="71"/>
    <x v="37"/>
    <x v="59"/>
    <x v="61"/>
    <x v="0"/>
  </r>
  <r>
    <x v="0"/>
    <x v="3"/>
    <x v="3"/>
    <x v="14"/>
    <x v="14"/>
    <x v="14"/>
    <x v="17"/>
    <x v="50"/>
    <x v="64"/>
    <x v="72"/>
    <x v="70"/>
    <x v="47"/>
    <x v="62"/>
    <x v="0"/>
  </r>
  <r>
    <x v="0"/>
    <x v="4"/>
    <x v="4"/>
    <x v="17"/>
    <x v="17"/>
    <x v="17"/>
    <x v="0"/>
    <x v="66"/>
    <x v="65"/>
    <x v="73"/>
    <x v="71"/>
    <x v="27"/>
    <x v="71"/>
    <x v="0"/>
  </r>
  <r>
    <x v="0"/>
    <x v="4"/>
    <x v="4"/>
    <x v="0"/>
    <x v="0"/>
    <x v="0"/>
    <x v="1"/>
    <x v="67"/>
    <x v="66"/>
    <x v="74"/>
    <x v="72"/>
    <x v="66"/>
    <x v="72"/>
    <x v="0"/>
  </r>
  <r>
    <x v="0"/>
    <x v="4"/>
    <x v="4"/>
    <x v="28"/>
    <x v="28"/>
    <x v="28"/>
    <x v="2"/>
    <x v="58"/>
    <x v="67"/>
    <x v="53"/>
    <x v="73"/>
    <x v="37"/>
    <x v="73"/>
    <x v="0"/>
  </r>
  <r>
    <x v="0"/>
    <x v="4"/>
    <x v="4"/>
    <x v="1"/>
    <x v="1"/>
    <x v="1"/>
    <x v="3"/>
    <x v="68"/>
    <x v="51"/>
    <x v="64"/>
    <x v="74"/>
    <x v="52"/>
    <x v="74"/>
    <x v="0"/>
  </r>
  <r>
    <x v="0"/>
    <x v="4"/>
    <x v="4"/>
    <x v="3"/>
    <x v="3"/>
    <x v="3"/>
    <x v="18"/>
    <x v="69"/>
    <x v="68"/>
    <x v="59"/>
    <x v="75"/>
    <x v="67"/>
    <x v="40"/>
    <x v="0"/>
  </r>
  <r>
    <x v="0"/>
    <x v="4"/>
    <x v="4"/>
    <x v="4"/>
    <x v="4"/>
    <x v="4"/>
    <x v="4"/>
    <x v="61"/>
    <x v="69"/>
    <x v="75"/>
    <x v="76"/>
    <x v="52"/>
    <x v="74"/>
    <x v="0"/>
  </r>
  <r>
    <x v="0"/>
    <x v="4"/>
    <x v="4"/>
    <x v="2"/>
    <x v="2"/>
    <x v="2"/>
    <x v="5"/>
    <x v="64"/>
    <x v="70"/>
    <x v="76"/>
    <x v="77"/>
    <x v="68"/>
    <x v="75"/>
    <x v="4"/>
  </r>
  <r>
    <x v="0"/>
    <x v="4"/>
    <x v="4"/>
    <x v="8"/>
    <x v="8"/>
    <x v="8"/>
    <x v="6"/>
    <x v="70"/>
    <x v="71"/>
    <x v="77"/>
    <x v="78"/>
    <x v="69"/>
    <x v="76"/>
    <x v="0"/>
  </r>
  <r>
    <x v="0"/>
    <x v="4"/>
    <x v="4"/>
    <x v="12"/>
    <x v="12"/>
    <x v="12"/>
    <x v="7"/>
    <x v="71"/>
    <x v="7"/>
    <x v="35"/>
    <x v="55"/>
    <x v="70"/>
    <x v="77"/>
    <x v="0"/>
  </r>
  <r>
    <x v="0"/>
    <x v="4"/>
    <x v="4"/>
    <x v="7"/>
    <x v="7"/>
    <x v="7"/>
    <x v="8"/>
    <x v="72"/>
    <x v="72"/>
    <x v="78"/>
    <x v="79"/>
    <x v="68"/>
    <x v="75"/>
    <x v="0"/>
  </r>
  <r>
    <x v="0"/>
    <x v="4"/>
    <x v="4"/>
    <x v="11"/>
    <x v="11"/>
    <x v="11"/>
    <x v="8"/>
    <x v="72"/>
    <x v="72"/>
    <x v="79"/>
    <x v="54"/>
    <x v="57"/>
    <x v="68"/>
    <x v="0"/>
  </r>
  <r>
    <x v="0"/>
    <x v="4"/>
    <x v="4"/>
    <x v="15"/>
    <x v="15"/>
    <x v="15"/>
    <x v="10"/>
    <x v="50"/>
    <x v="8"/>
    <x v="80"/>
    <x v="80"/>
    <x v="57"/>
    <x v="68"/>
    <x v="0"/>
  </r>
  <r>
    <x v="0"/>
    <x v="4"/>
    <x v="4"/>
    <x v="5"/>
    <x v="5"/>
    <x v="5"/>
    <x v="11"/>
    <x v="51"/>
    <x v="73"/>
    <x v="81"/>
    <x v="81"/>
    <x v="71"/>
    <x v="78"/>
    <x v="0"/>
  </r>
  <r>
    <x v="0"/>
    <x v="4"/>
    <x v="4"/>
    <x v="9"/>
    <x v="9"/>
    <x v="9"/>
    <x v="12"/>
    <x v="73"/>
    <x v="74"/>
    <x v="76"/>
    <x v="77"/>
    <x v="31"/>
    <x v="37"/>
    <x v="0"/>
  </r>
  <r>
    <x v="0"/>
    <x v="4"/>
    <x v="4"/>
    <x v="23"/>
    <x v="23"/>
    <x v="23"/>
    <x v="12"/>
    <x v="73"/>
    <x v="74"/>
    <x v="76"/>
    <x v="77"/>
    <x v="31"/>
    <x v="37"/>
    <x v="0"/>
  </r>
  <r>
    <x v="0"/>
    <x v="4"/>
    <x v="4"/>
    <x v="29"/>
    <x v="29"/>
    <x v="29"/>
    <x v="19"/>
    <x v="74"/>
    <x v="28"/>
    <x v="78"/>
    <x v="79"/>
    <x v="53"/>
    <x v="79"/>
    <x v="0"/>
  </r>
  <r>
    <x v="0"/>
    <x v="4"/>
    <x v="4"/>
    <x v="14"/>
    <x v="14"/>
    <x v="14"/>
    <x v="14"/>
    <x v="75"/>
    <x v="12"/>
    <x v="82"/>
    <x v="82"/>
    <x v="72"/>
    <x v="53"/>
    <x v="0"/>
  </r>
  <r>
    <x v="0"/>
    <x v="4"/>
    <x v="4"/>
    <x v="6"/>
    <x v="6"/>
    <x v="6"/>
    <x v="15"/>
    <x v="76"/>
    <x v="75"/>
    <x v="49"/>
    <x v="83"/>
    <x v="40"/>
    <x v="27"/>
    <x v="0"/>
  </r>
  <r>
    <x v="0"/>
    <x v="4"/>
    <x v="4"/>
    <x v="16"/>
    <x v="16"/>
    <x v="16"/>
    <x v="16"/>
    <x v="77"/>
    <x v="32"/>
    <x v="83"/>
    <x v="84"/>
    <x v="24"/>
    <x v="80"/>
    <x v="0"/>
  </r>
  <r>
    <x v="0"/>
    <x v="4"/>
    <x v="4"/>
    <x v="18"/>
    <x v="18"/>
    <x v="18"/>
    <x v="17"/>
    <x v="78"/>
    <x v="76"/>
    <x v="84"/>
    <x v="85"/>
    <x v="54"/>
    <x v="81"/>
    <x v="0"/>
  </r>
  <r>
    <x v="0"/>
    <x v="5"/>
    <x v="5"/>
    <x v="30"/>
    <x v="30"/>
    <x v="30"/>
    <x v="0"/>
    <x v="79"/>
    <x v="77"/>
    <x v="85"/>
    <x v="86"/>
    <x v="32"/>
    <x v="82"/>
    <x v="0"/>
  </r>
  <r>
    <x v="0"/>
    <x v="5"/>
    <x v="5"/>
    <x v="0"/>
    <x v="0"/>
    <x v="0"/>
    <x v="1"/>
    <x v="80"/>
    <x v="78"/>
    <x v="86"/>
    <x v="87"/>
    <x v="52"/>
    <x v="83"/>
    <x v="0"/>
  </r>
  <r>
    <x v="0"/>
    <x v="5"/>
    <x v="5"/>
    <x v="2"/>
    <x v="2"/>
    <x v="2"/>
    <x v="2"/>
    <x v="43"/>
    <x v="79"/>
    <x v="87"/>
    <x v="88"/>
    <x v="24"/>
    <x v="28"/>
    <x v="0"/>
  </r>
  <r>
    <x v="0"/>
    <x v="5"/>
    <x v="5"/>
    <x v="31"/>
    <x v="31"/>
    <x v="31"/>
    <x v="3"/>
    <x v="60"/>
    <x v="80"/>
    <x v="34"/>
    <x v="89"/>
    <x v="66"/>
    <x v="84"/>
    <x v="0"/>
  </r>
  <r>
    <x v="0"/>
    <x v="5"/>
    <x v="5"/>
    <x v="6"/>
    <x v="6"/>
    <x v="6"/>
    <x v="18"/>
    <x v="44"/>
    <x v="81"/>
    <x v="88"/>
    <x v="90"/>
    <x v="73"/>
    <x v="85"/>
    <x v="0"/>
  </r>
  <r>
    <x v="0"/>
    <x v="5"/>
    <x v="5"/>
    <x v="1"/>
    <x v="1"/>
    <x v="1"/>
    <x v="4"/>
    <x v="63"/>
    <x v="82"/>
    <x v="89"/>
    <x v="91"/>
    <x v="74"/>
    <x v="86"/>
    <x v="0"/>
  </r>
  <r>
    <x v="0"/>
    <x v="5"/>
    <x v="5"/>
    <x v="3"/>
    <x v="3"/>
    <x v="3"/>
    <x v="5"/>
    <x v="81"/>
    <x v="83"/>
    <x v="90"/>
    <x v="92"/>
    <x v="48"/>
    <x v="87"/>
    <x v="0"/>
  </r>
  <r>
    <x v="0"/>
    <x v="5"/>
    <x v="5"/>
    <x v="4"/>
    <x v="4"/>
    <x v="4"/>
    <x v="6"/>
    <x v="46"/>
    <x v="84"/>
    <x v="91"/>
    <x v="46"/>
    <x v="48"/>
    <x v="87"/>
    <x v="0"/>
  </r>
  <r>
    <x v="0"/>
    <x v="5"/>
    <x v="5"/>
    <x v="5"/>
    <x v="5"/>
    <x v="5"/>
    <x v="7"/>
    <x v="82"/>
    <x v="85"/>
    <x v="66"/>
    <x v="93"/>
    <x v="75"/>
    <x v="17"/>
    <x v="0"/>
  </r>
  <r>
    <x v="0"/>
    <x v="5"/>
    <x v="5"/>
    <x v="11"/>
    <x v="11"/>
    <x v="11"/>
    <x v="8"/>
    <x v="83"/>
    <x v="86"/>
    <x v="61"/>
    <x v="94"/>
    <x v="53"/>
    <x v="88"/>
    <x v="0"/>
  </r>
  <r>
    <x v="0"/>
    <x v="5"/>
    <x v="5"/>
    <x v="8"/>
    <x v="8"/>
    <x v="8"/>
    <x v="8"/>
    <x v="83"/>
    <x v="86"/>
    <x v="53"/>
    <x v="95"/>
    <x v="74"/>
    <x v="86"/>
    <x v="0"/>
  </r>
  <r>
    <x v="0"/>
    <x v="5"/>
    <x v="5"/>
    <x v="32"/>
    <x v="32"/>
    <x v="32"/>
    <x v="10"/>
    <x v="50"/>
    <x v="28"/>
    <x v="72"/>
    <x v="96"/>
    <x v="47"/>
    <x v="89"/>
    <x v="0"/>
  </r>
  <r>
    <x v="0"/>
    <x v="5"/>
    <x v="5"/>
    <x v="18"/>
    <x v="18"/>
    <x v="18"/>
    <x v="10"/>
    <x v="50"/>
    <x v="28"/>
    <x v="92"/>
    <x v="27"/>
    <x v="69"/>
    <x v="78"/>
    <x v="0"/>
  </r>
  <r>
    <x v="0"/>
    <x v="5"/>
    <x v="5"/>
    <x v="12"/>
    <x v="12"/>
    <x v="12"/>
    <x v="12"/>
    <x v="51"/>
    <x v="87"/>
    <x v="68"/>
    <x v="97"/>
    <x v="31"/>
    <x v="90"/>
    <x v="0"/>
  </r>
  <r>
    <x v="0"/>
    <x v="5"/>
    <x v="5"/>
    <x v="7"/>
    <x v="7"/>
    <x v="7"/>
    <x v="13"/>
    <x v="73"/>
    <x v="88"/>
    <x v="79"/>
    <x v="98"/>
    <x v="70"/>
    <x v="91"/>
    <x v="0"/>
  </r>
  <r>
    <x v="0"/>
    <x v="5"/>
    <x v="5"/>
    <x v="33"/>
    <x v="33"/>
    <x v="33"/>
    <x v="19"/>
    <x v="75"/>
    <x v="13"/>
    <x v="61"/>
    <x v="94"/>
    <x v="76"/>
    <x v="92"/>
    <x v="0"/>
  </r>
  <r>
    <x v="0"/>
    <x v="5"/>
    <x v="5"/>
    <x v="34"/>
    <x v="34"/>
    <x v="34"/>
    <x v="14"/>
    <x v="84"/>
    <x v="89"/>
    <x v="84"/>
    <x v="14"/>
    <x v="77"/>
    <x v="14"/>
    <x v="0"/>
  </r>
  <r>
    <x v="0"/>
    <x v="5"/>
    <x v="5"/>
    <x v="14"/>
    <x v="14"/>
    <x v="14"/>
    <x v="15"/>
    <x v="76"/>
    <x v="90"/>
    <x v="93"/>
    <x v="99"/>
    <x v="43"/>
    <x v="93"/>
    <x v="0"/>
  </r>
  <r>
    <x v="0"/>
    <x v="5"/>
    <x v="5"/>
    <x v="9"/>
    <x v="9"/>
    <x v="9"/>
    <x v="16"/>
    <x v="85"/>
    <x v="76"/>
    <x v="94"/>
    <x v="52"/>
    <x v="54"/>
    <x v="94"/>
    <x v="0"/>
  </r>
  <r>
    <x v="0"/>
    <x v="5"/>
    <x v="5"/>
    <x v="16"/>
    <x v="16"/>
    <x v="16"/>
    <x v="16"/>
    <x v="85"/>
    <x v="76"/>
    <x v="84"/>
    <x v="14"/>
    <x v="66"/>
    <x v="84"/>
    <x v="0"/>
  </r>
  <r>
    <x v="0"/>
    <x v="5"/>
    <x v="5"/>
    <x v="13"/>
    <x v="13"/>
    <x v="13"/>
    <x v="16"/>
    <x v="85"/>
    <x v="76"/>
    <x v="95"/>
    <x v="100"/>
    <x v="48"/>
    <x v="87"/>
    <x v="0"/>
  </r>
  <r>
    <x v="0"/>
    <x v="5"/>
    <x v="5"/>
    <x v="23"/>
    <x v="23"/>
    <x v="23"/>
    <x v="16"/>
    <x v="85"/>
    <x v="76"/>
    <x v="76"/>
    <x v="101"/>
    <x v="59"/>
    <x v="18"/>
    <x v="0"/>
  </r>
  <r>
    <x v="0"/>
    <x v="6"/>
    <x v="6"/>
    <x v="0"/>
    <x v="0"/>
    <x v="0"/>
    <x v="0"/>
    <x v="86"/>
    <x v="91"/>
    <x v="96"/>
    <x v="102"/>
    <x v="54"/>
    <x v="95"/>
    <x v="0"/>
  </r>
  <r>
    <x v="0"/>
    <x v="6"/>
    <x v="6"/>
    <x v="1"/>
    <x v="1"/>
    <x v="1"/>
    <x v="1"/>
    <x v="87"/>
    <x v="92"/>
    <x v="97"/>
    <x v="103"/>
    <x v="61"/>
    <x v="96"/>
    <x v="4"/>
  </r>
  <r>
    <x v="0"/>
    <x v="6"/>
    <x v="6"/>
    <x v="10"/>
    <x v="10"/>
    <x v="10"/>
    <x v="2"/>
    <x v="62"/>
    <x v="93"/>
    <x v="98"/>
    <x v="104"/>
    <x v="24"/>
    <x v="63"/>
    <x v="0"/>
  </r>
  <r>
    <x v="0"/>
    <x v="6"/>
    <x v="6"/>
    <x v="4"/>
    <x v="4"/>
    <x v="4"/>
    <x v="3"/>
    <x v="88"/>
    <x v="94"/>
    <x v="99"/>
    <x v="105"/>
    <x v="78"/>
    <x v="40"/>
    <x v="0"/>
  </r>
  <r>
    <x v="0"/>
    <x v="6"/>
    <x v="6"/>
    <x v="7"/>
    <x v="7"/>
    <x v="7"/>
    <x v="18"/>
    <x v="89"/>
    <x v="53"/>
    <x v="35"/>
    <x v="106"/>
    <x v="3"/>
    <x v="97"/>
    <x v="0"/>
  </r>
  <r>
    <x v="0"/>
    <x v="6"/>
    <x v="6"/>
    <x v="3"/>
    <x v="3"/>
    <x v="3"/>
    <x v="4"/>
    <x v="90"/>
    <x v="95"/>
    <x v="100"/>
    <x v="107"/>
    <x v="48"/>
    <x v="98"/>
    <x v="0"/>
  </r>
  <r>
    <x v="0"/>
    <x v="6"/>
    <x v="6"/>
    <x v="5"/>
    <x v="5"/>
    <x v="5"/>
    <x v="5"/>
    <x v="72"/>
    <x v="5"/>
    <x v="53"/>
    <x v="108"/>
    <x v="45"/>
    <x v="99"/>
    <x v="0"/>
  </r>
  <r>
    <x v="0"/>
    <x v="6"/>
    <x v="6"/>
    <x v="12"/>
    <x v="12"/>
    <x v="12"/>
    <x v="6"/>
    <x v="91"/>
    <x v="96"/>
    <x v="84"/>
    <x v="109"/>
    <x v="76"/>
    <x v="79"/>
    <x v="0"/>
  </r>
  <r>
    <x v="0"/>
    <x v="6"/>
    <x v="6"/>
    <x v="6"/>
    <x v="6"/>
    <x v="6"/>
    <x v="6"/>
    <x v="91"/>
    <x v="96"/>
    <x v="93"/>
    <x v="66"/>
    <x v="46"/>
    <x v="100"/>
    <x v="0"/>
  </r>
  <r>
    <x v="0"/>
    <x v="6"/>
    <x v="6"/>
    <x v="26"/>
    <x v="26"/>
    <x v="26"/>
    <x v="8"/>
    <x v="84"/>
    <x v="86"/>
    <x v="76"/>
    <x v="110"/>
    <x v="69"/>
    <x v="17"/>
    <x v="4"/>
  </r>
  <r>
    <x v="0"/>
    <x v="6"/>
    <x v="6"/>
    <x v="9"/>
    <x v="9"/>
    <x v="9"/>
    <x v="9"/>
    <x v="85"/>
    <x v="28"/>
    <x v="101"/>
    <x v="111"/>
    <x v="79"/>
    <x v="101"/>
    <x v="0"/>
  </r>
  <r>
    <x v="0"/>
    <x v="6"/>
    <x v="6"/>
    <x v="16"/>
    <x v="16"/>
    <x v="16"/>
    <x v="10"/>
    <x v="92"/>
    <x v="97"/>
    <x v="83"/>
    <x v="112"/>
    <x v="31"/>
    <x v="102"/>
    <x v="0"/>
  </r>
  <r>
    <x v="0"/>
    <x v="6"/>
    <x v="6"/>
    <x v="27"/>
    <x v="27"/>
    <x v="27"/>
    <x v="11"/>
    <x v="78"/>
    <x v="98"/>
    <x v="70"/>
    <x v="113"/>
    <x v="67"/>
    <x v="103"/>
    <x v="0"/>
  </r>
  <r>
    <x v="0"/>
    <x v="6"/>
    <x v="6"/>
    <x v="13"/>
    <x v="13"/>
    <x v="13"/>
    <x v="11"/>
    <x v="78"/>
    <x v="98"/>
    <x v="50"/>
    <x v="114"/>
    <x v="78"/>
    <x v="40"/>
    <x v="0"/>
  </r>
  <r>
    <x v="0"/>
    <x v="6"/>
    <x v="6"/>
    <x v="8"/>
    <x v="8"/>
    <x v="8"/>
    <x v="11"/>
    <x v="78"/>
    <x v="98"/>
    <x v="76"/>
    <x v="110"/>
    <x v="61"/>
    <x v="96"/>
    <x v="0"/>
  </r>
  <r>
    <x v="0"/>
    <x v="6"/>
    <x v="6"/>
    <x v="14"/>
    <x v="14"/>
    <x v="14"/>
    <x v="19"/>
    <x v="93"/>
    <x v="99"/>
    <x v="78"/>
    <x v="115"/>
    <x v="77"/>
    <x v="104"/>
    <x v="0"/>
  </r>
  <r>
    <x v="0"/>
    <x v="6"/>
    <x v="6"/>
    <x v="2"/>
    <x v="2"/>
    <x v="2"/>
    <x v="14"/>
    <x v="94"/>
    <x v="33"/>
    <x v="35"/>
    <x v="106"/>
    <x v="26"/>
    <x v="44"/>
    <x v="0"/>
  </r>
  <r>
    <x v="0"/>
    <x v="6"/>
    <x v="6"/>
    <x v="11"/>
    <x v="11"/>
    <x v="11"/>
    <x v="15"/>
    <x v="95"/>
    <x v="76"/>
    <x v="102"/>
    <x v="116"/>
    <x v="66"/>
    <x v="105"/>
    <x v="0"/>
  </r>
  <r>
    <x v="0"/>
    <x v="6"/>
    <x v="6"/>
    <x v="35"/>
    <x v="35"/>
    <x v="35"/>
    <x v="15"/>
    <x v="95"/>
    <x v="76"/>
    <x v="83"/>
    <x v="112"/>
    <x v="71"/>
    <x v="106"/>
    <x v="0"/>
  </r>
  <r>
    <x v="0"/>
    <x v="6"/>
    <x v="6"/>
    <x v="19"/>
    <x v="19"/>
    <x v="19"/>
    <x v="15"/>
    <x v="95"/>
    <x v="76"/>
    <x v="103"/>
    <x v="10"/>
    <x v="45"/>
    <x v="99"/>
    <x v="0"/>
  </r>
  <r>
    <x v="0"/>
    <x v="7"/>
    <x v="7"/>
    <x v="0"/>
    <x v="0"/>
    <x v="0"/>
    <x v="0"/>
    <x v="93"/>
    <x v="100"/>
    <x v="52"/>
    <x v="117"/>
    <x v="67"/>
    <x v="0"/>
    <x v="0"/>
  </r>
  <r>
    <x v="0"/>
    <x v="7"/>
    <x v="7"/>
    <x v="2"/>
    <x v="2"/>
    <x v="2"/>
    <x v="1"/>
    <x v="96"/>
    <x v="38"/>
    <x v="49"/>
    <x v="78"/>
    <x v="61"/>
    <x v="53"/>
    <x v="0"/>
  </r>
  <r>
    <x v="0"/>
    <x v="7"/>
    <x v="7"/>
    <x v="9"/>
    <x v="9"/>
    <x v="9"/>
    <x v="2"/>
    <x v="97"/>
    <x v="101"/>
    <x v="104"/>
    <x v="118"/>
    <x v="61"/>
    <x v="53"/>
    <x v="0"/>
  </r>
  <r>
    <x v="0"/>
    <x v="7"/>
    <x v="7"/>
    <x v="7"/>
    <x v="7"/>
    <x v="7"/>
    <x v="3"/>
    <x v="98"/>
    <x v="102"/>
    <x v="105"/>
    <x v="15"/>
    <x v="75"/>
    <x v="107"/>
    <x v="0"/>
  </r>
  <r>
    <x v="0"/>
    <x v="7"/>
    <x v="7"/>
    <x v="10"/>
    <x v="10"/>
    <x v="10"/>
    <x v="3"/>
    <x v="98"/>
    <x v="102"/>
    <x v="54"/>
    <x v="119"/>
    <x v="42"/>
    <x v="37"/>
    <x v="0"/>
  </r>
  <r>
    <x v="0"/>
    <x v="7"/>
    <x v="7"/>
    <x v="1"/>
    <x v="1"/>
    <x v="1"/>
    <x v="3"/>
    <x v="98"/>
    <x v="102"/>
    <x v="83"/>
    <x v="120"/>
    <x v="78"/>
    <x v="96"/>
    <x v="0"/>
  </r>
  <r>
    <x v="0"/>
    <x v="7"/>
    <x v="7"/>
    <x v="3"/>
    <x v="3"/>
    <x v="3"/>
    <x v="3"/>
    <x v="98"/>
    <x v="102"/>
    <x v="61"/>
    <x v="121"/>
    <x v="80"/>
    <x v="108"/>
    <x v="0"/>
  </r>
  <r>
    <x v="0"/>
    <x v="7"/>
    <x v="7"/>
    <x v="36"/>
    <x v="36"/>
    <x v="36"/>
    <x v="6"/>
    <x v="99"/>
    <x v="103"/>
    <x v="102"/>
    <x v="43"/>
    <x v="52"/>
    <x v="49"/>
    <x v="0"/>
  </r>
  <r>
    <x v="0"/>
    <x v="7"/>
    <x v="7"/>
    <x v="5"/>
    <x v="5"/>
    <x v="5"/>
    <x v="6"/>
    <x v="99"/>
    <x v="103"/>
    <x v="82"/>
    <x v="122"/>
    <x v="78"/>
    <x v="96"/>
    <x v="0"/>
  </r>
  <r>
    <x v="0"/>
    <x v="7"/>
    <x v="7"/>
    <x v="31"/>
    <x v="31"/>
    <x v="31"/>
    <x v="8"/>
    <x v="100"/>
    <x v="8"/>
    <x v="106"/>
    <x v="123"/>
    <x v="42"/>
    <x v="37"/>
    <x v="0"/>
  </r>
  <r>
    <x v="0"/>
    <x v="7"/>
    <x v="7"/>
    <x v="26"/>
    <x v="26"/>
    <x v="26"/>
    <x v="8"/>
    <x v="100"/>
    <x v="8"/>
    <x v="104"/>
    <x v="118"/>
    <x v="78"/>
    <x v="96"/>
    <x v="0"/>
  </r>
  <r>
    <x v="0"/>
    <x v="7"/>
    <x v="7"/>
    <x v="8"/>
    <x v="8"/>
    <x v="8"/>
    <x v="10"/>
    <x v="101"/>
    <x v="104"/>
    <x v="102"/>
    <x v="43"/>
    <x v="78"/>
    <x v="96"/>
    <x v="0"/>
  </r>
  <r>
    <x v="0"/>
    <x v="7"/>
    <x v="7"/>
    <x v="37"/>
    <x v="37"/>
    <x v="37"/>
    <x v="11"/>
    <x v="102"/>
    <x v="105"/>
    <x v="78"/>
    <x v="124"/>
    <x v="78"/>
    <x v="96"/>
    <x v="0"/>
  </r>
  <r>
    <x v="0"/>
    <x v="7"/>
    <x v="7"/>
    <x v="16"/>
    <x v="16"/>
    <x v="16"/>
    <x v="11"/>
    <x v="102"/>
    <x v="105"/>
    <x v="80"/>
    <x v="125"/>
    <x v="61"/>
    <x v="53"/>
    <x v="0"/>
  </r>
  <r>
    <x v="0"/>
    <x v="7"/>
    <x v="7"/>
    <x v="12"/>
    <x v="12"/>
    <x v="12"/>
    <x v="13"/>
    <x v="103"/>
    <x v="34"/>
    <x v="80"/>
    <x v="125"/>
    <x v="52"/>
    <x v="49"/>
    <x v="0"/>
  </r>
  <r>
    <x v="0"/>
    <x v="7"/>
    <x v="7"/>
    <x v="38"/>
    <x v="38"/>
    <x v="38"/>
    <x v="13"/>
    <x v="103"/>
    <x v="34"/>
    <x v="107"/>
    <x v="126"/>
    <x v="61"/>
    <x v="53"/>
    <x v="0"/>
  </r>
  <r>
    <x v="0"/>
    <x v="7"/>
    <x v="7"/>
    <x v="39"/>
    <x v="39"/>
    <x v="39"/>
    <x v="13"/>
    <x v="103"/>
    <x v="34"/>
    <x v="108"/>
    <x v="99"/>
    <x v="42"/>
    <x v="37"/>
    <x v="0"/>
  </r>
  <r>
    <x v="0"/>
    <x v="7"/>
    <x v="7"/>
    <x v="40"/>
    <x v="40"/>
    <x v="40"/>
    <x v="13"/>
    <x v="103"/>
    <x v="34"/>
    <x v="80"/>
    <x v="125"/>
    <x v="52"/>
    <x v="49"/>
    <x v="0"/>
  </r>
  <r>
    <x v="0"/>
    <x v="7"/>
    <x v="7"/>
    <x v="6"/>
    <x v="6"/>
    <x v="6"/>
    <x v="13"/>
    <x v="103"/>
    <x v="34"/>
    <x v="80"/>
    <x v="125"/>
    <x v="52"/>
    <x v="49"/>
    <x v="0"/>
  </r>
  <r>
    <x v="0"/>
    <x v="7"/>
    <x v="7"/>
    <x v="41"/>
    <x v="41"/>
    <x v="41"/>
    <x v="13"/>
    <x v="103"/>
    <x v="34"/>
    <x v="108"/>
    <x v="99"/>
    <x v="42"/>
    <x v="37"/>
    <x v="0"/>
  </r>
  <r>
    <x v="0"/>
    <x v="7"/>
    <x v="7"/>
    <x v="42"/>
    <x v="42"/>
    <x v="42"/>
    <x v="13"/>
    <x v="103"/>
    <x v="34"/>
    <x v="107"/>
    <x v="126"/>
    <x v="61"/>
    <x v="53"/>
    <x v="0"/>
  </r>
  <r>
    <x v="0"/>
    <x v="7"/>
    <x v="7"/>
    <x v="13"/>
    <x v="13"/>
    <x v="13"/>
    <x v="13"/>
    <x v="103"/>
    <x v="34"/>
    <x v="106"/>
    <x v="123"/>
    <x v="80"/>
    <x v="108"/>
    <x v="0"/>
  </r>
  <r>
    <x v="0"/>
    <x v="7"/>
    <x v="7"/>
    <x v="4"/>
    <x v="4"/>
    <x v="4"/>
    <x v="13"/>
    <x v="103"/>
    <x v="34"/>
    <x v="78"/>
    <x v="124"/>
    <x v="48"/>
    <x v="103"/>
    <x v="0"/>
  </r>
  <r>
    <x v="0"/>
    <x v="8"/>
    <x v="8"/>
    <x v="17"/>
    <x v="17"/>
    <x v="17"/>
    <x v="0"/>
    <x v="104"/>
    <x v="106"/>
    <x v="72"/>
    <x v="120"/>
    <x v="72"/>
    <x v="109"/>
    <x v="0"/>
  </r>
  <r>
    <x v="0"/>
    <x v="8"/>
    <x v="8"/>
    <x v="1"/>
    <x v="1"/>
    <x v="1"/>
    <x v="1"/>
    <x v="73"/>
    <x v="107"/>
    <x v="109"/>
    <x v="127"/>
    <x v="42"/>
    <x v="8"/>
    <x v="0"/>
  </r>
  <r>
    <x v="0"/>
    <x v="8"/>
    <x v="8"/>
    <x v="0"/>
    <x v="0"/>
    <x v="0"/>
    <x v="2"/>
    <x v="91"/>
    <x v="108"/>
    <x v="92"/>
    <x v="128"/>
    <x v="52"/>
    <x v="110"/>
    <x v="0"/>
  </r>
  <r>
    <x v="0"/>
    <x v="8"/>
    <x v="8"/>
    <x v="3"/>
    <x v="3"/>
    <x v="3"/>
    <x v="3"/>
    <x v="105"/>
    <x v="109"/>
    <x v="81"/>
    <x v="129"/>
    <x v="48"/>
    <x v="13"/>
    <x v="0"/>
  </r>
  <r>
    <x v="0"/>
    <x v="8"/>
    <x v="8"/>
    <x v="5"/>
    <x v="5"/>
    <x v="5"/>
    <x v="18"/>
    <x v="106"/>
    <x v="110"/>
    <x v="101"/>
    <x v="130"/>
    <x v="45"/>
    <x v="45"/>
    <x v="0"/>
  </r>
  <r>
    <x v="0"/>
    <x v="8"/>
    <x v="8"/>
    <x v="7"/>
    <x v="7"/>
    <x v="7"/>
    <x v="4"/>
    <x v="107"/>
    <x v="111"/>
    <x v="48"/>
    <x v="112"/>
    <x v="46"/>
    <x v="111"/>
    <x v="0"/>
  </r>
  <r>
    <x v="0"/>
    <x v="8"/>
    <x v="8"/>
    <x v="10"/>
    <x v="10"/>
    <x v="10"/>
    <x v="5"/>
    <x v="108"/>
    <x v="112"/>
    <x v="61"/>
    <x v="131"/>
    <x v="59"/>
    <x v="112"/>
    <x v="0"/>
  </r>
  <r>
    <x v="0"/>
    <x v="8"/>
    <x v="8"/>
    <x v="6"/>
    <x v="6"/>
    <x v="6"/>
    <x v="5"/>
    <x v="108"/>
    <x v="112"/>
    <x v="49"/>
    <x v="132"/>
    <x v="26"/>
    <x v="113"/>
    <x v="0"/>
  </r>
  <r>
    <x v="0"/>
    <x v="8"/>
    <x v="8"/>
    <x v="2"/>
    <x v="2"/>
    <x v="2"/>
    <x v="5"/>
    <x v="108"/>
    <x v="112"/>
    <x v="104"/>
    <x v="124"/>
    <x v="71"/>
    <x v="114"/>
    <x v="0"/>
  </r>
  <r>
    <x v="0"/>
    <x v="8"/>
    <x v="8"/>
    <x v="4"/>
    <x v="4"/>
    <x v="4"/>
    <x v="8"/>
    <x v="109"/>
    <x v="113"/>
    <x v="110"/>
    <x v="133"/>
    <x v="80"/>
    <x v="108"/>
    <x v="0"/>
  </r>
  <r>
    <x v="0"/>
    <x v="8"/>
    <x v="8"/>
    <x v="9"/>
    <x v="9"/>
    <x v="9"/>
    <x v="9"/>
    <x v="110"/>
    <x v="114"/>
    <x v="83"/>
    <x v="134"/>
    <x v="61"/>
    <x v="115"/>
    <x v="4"/>
  </r>
  <r>
    <x v="0"/>
    <x v="8"/>
    <x v="8"/>
    <x v="19"/>
    <x v="19"/>
    <x v="19"/>
    <x v="10"/>
    <x v="111"/>
    <x v="115"/>
    <x v="54"/>
    <x v="135"/>
    <x v="74"/>
    <x v="14"/>
    <x v="0"/>
  </r>
  <r>
    <x v="0"/>
    <x v="8"/>
    <x v="8"/>
    <x v="8"/>
    <x v="8"/>
    <x v="8"/>
    <x v="11"/>
    <x v="112"/>
    <x v="116"/>
    <x v="82"/>
    <x v="32"/>
    <x v="52"/>
    <x v="110"/>
    <x v="4"/>
  </r>
  <r>
    <x v="0"/>
    <x v="8"/>
    <x v="8"/>
    <x v="18"/>
    <x v="18"/>
    <x v="18"/>
    <x v="12"/>
    <x v="113"/>
    <x v="117"/>
    <x v="83"/>
    <x v="134"/>
    <x v="42"/>
    <x v="8"/>
    <x v="0"/>
  </r>
  <r>
    <x v="0"/>
    <x v="8"/>
    <x v="8"/>
    <x v="43"/>
    <x v="43"/>
    <x v="43"/>
    <x v="13"/>
    <x v="97"/>
    <x v="118"/>
    <x v="78"/>
    <x v="136"/>
    <x v="59"/>
    <x v="112"/>
    <x v="0"/>
  </r>
  <r>
    <x v="0"/>
    <x v="8"/>
    <x v="8"/>
    <x v="28"/>
    <x v="28"/>
    <x v="28"/>
    <x v="19"/>
    <x v="98"/>
    <x v="119"/>
    <x v="79"/>
    <x v="99"/>
    <x v="59"/>
    <x v="112"/>
    <x v="0"/>
  </r>
  <r>
    <x v="0"/>
    <x v="8"/>
    <x v="8"/>
    <x v="13"/>
    <x v="13"/>
    <x v="13"/>
    <x v="19"/>
    <x v="98"/>
    <x v="119"/>
    <x v="49"/>
    <x v="132"/>
    <x v="48"/>
    <x v="13"/>
    <x v="0"/>
  </r>
  <r>
    <x v="0"/>
    <x v="8"/>
    <x v="8"/>
    <x v="44"/>
    <x v="44"/>
    <x v="44"/>
    <x v="15"/>
    <x v="99"/>
    <x v="30"/>
    <x v="48"/>
    <x v="112"/>
    <x v="59"/>
    <x v="112"/>
    <x v="0"/>
  </r>
  <r>
    <x v="0"/>
    <x v="8"/>
    <x v="8"/>
    <x v="14"/>
    <x v="14"/>
    <x v="14"/>
    <x v="15"/>
    <x v="99"/>
    <x v="30"/>
    <x v="80"/>
    <x v="7"/>
    <x v="69"/>
    <x v="116"/>
    <x v="0"/>
  </r>
  <r>
    <x v="0"/>
    <x v="8"/>
    <x v="8"/>
    <x v="45"/>
    <x v="45"/>
    <x v="45"/>
    <x v="15"/>
    <x v="99"/>
    <x v="30"/>
    <x v="54"/>
    <x v="135"/>
    <x v="67"/>
    <x v="117"/>
    <x v="0"/>
  </r>
  <r>
    <x v="0"/>
    <x v="9"/>
    <x v="9"/>
    <x v="0"/>
    <x v="0"/>
    <x v="0"/>
    <x v="0"/>
    <x v="114"/>
    <x v="120"/>
    <x v="111"/>
    <x v="137"/>
    <x v="59"/>
    <x v="118"/>
    <x v="0"/>
  </r>
  <r>
    <x v="0"/>
    <x v="9"/>
    <x v="9"/>
    <x v="1"/>
    <x v="1"/>
    <x v="1"/>
    <x v="1"/>
    <x v="46"/>
    <x v="121"/>
    <x v="112"/>
    <x v="138"/>
    <x v="78"/>
    <x v="119"/>
    <x v="0"/>
  </r>
  <r>
    <x v="0"/>
    <x v="9"/>
    <x v="9"/>
    <x v="6"/>
    <x v="6"/>
    <x v="6"/>
    <x v="2"/>
    <x v="115"/>
    <x v="122"/>
    <x v="113"/>
    <x v="139"/>
    <x v="66"/>
    <x v="120"/>
    <x v="0"/>
  </r>
  <r>
    <x v="0"/>
    <x v="9"/>
    <x v="9"/>
    <x v="3"/>
    <x v="3"/>
    <x v="3"/>
    <x v="3"/>
    <x v="72"/>
    <x v="123"/>
    <x v="88"/>
    <x v="140"/>
    <x v="48"/>
    <x v="121"/>
    <x v="0"/>
  </r>
  <r>
    <x v="0"/>
    <x v="9"/>
    <x v="9"/>
    <x v="46"/>
    <x v="46"/>
    <x v="46"/>
    <x v="18"/>
    <x v="104"/>
    <x v="3"/>
    <x v="69"/>
    <x v="141"/>
    <x v="74"/>
    <x v="19"/>
    <x v="0"/>
  </r>
  <r>
    <x v="0"/>
    <x v="9"/>
    <x v="9"/>
    <x v="4"/>
    <x v="4"/>
    <x v="4"/>
    <x v="4"/>
    <x v="91"/>
    <x v="124"/>
    <x v="66"/>
    <x v="142"/>
    <x v="78"/>
    <x v="119"/>
    <x v="0"/>
  </r>
  <r>
    <x v="0"/>
    <x v="9"/>
    <x v="9"/>
    <x v="20"/>
    <x v="20"/>
    <x v="20"/>
    <x v="5"/>
    <x v="77"/>
    <x v="125"/>
    <x v="101"/>
    <x v="143"/>
    <x v="71"/>
    <x v="122"/>
    <x v="0"/>
  </r>
  <r>
    <x v="0"/>
    <x v="9"/>
    <x v="9"/>
    <x v="8"/>
    <x v="8"/>
    <x v="8"/>
    <x v="6"/>
    <x v="92"/>
    <x v="114"/>
    <x v="52"/>
    <x v="144"/>
    <x v="74"/>
    <x v="19"/>
    <x v="0"/>
  </r>
  <r>
    <x v="0"/>
    <x v="9"/>
    <x v="9"/>
    <x v="2"/>
    <x v="2"/>
    <x v="2"/>
    <x v="7"/>
    <x v="116"/>
    <x v="96"/>
    <x v="54"/>
    <x v="145"/>
    <x v="46"/>
    <x v="123"/>
    <x v="0"/>
  </r>
  <r>
    <x v="0"/>
    <x v="9"/>
    <x v="9"/>
    <x v="18"/>
    <x v="18"/>
    <x v="18"/>
    <x v="8"/>
    <x v="106"/>
    <x v="116"/>
    <x v="52"/>
    <x v="144"/>
    <x v="52"/>
    <x v="96"/>
    <x v="0"/>
  </r>
  <r>
    <x v="0"/>
    <x v="9"/>
    <x v="9"/>
    <x v="7"/>
    <x v="7"/>
    <x v="7"/>
    <x v="9"/>
    <x v="94"/>
    <x v="74"/>
    <x v="48"/>
    <x v="146"/>
    <x v="24"/>
    <x v="124"/>
    <x v="0"/>
  </r>
  <r>
    <x v="0"/>
    <x v="9"/>
    <x v="9"/>
    <x v="5"/>
    <x v="5"/>
    <x v="5"/>
    <x v="9"/>
    <x v="94"/>
    <x v="74"/>
    <x v="93"/>
    <x v="134"/>
    <x v="61"/>
    <x v="125"/>
    <x v="0"/>
  </r>
  <r>
    <x v="0"/>
    <x v="9"/>
    <x v="9"/>
    <x v="23"/>
    <x v="23"/>
    <x v="23"/>
    <x v="9"/>
    <x v="94"/>
    <x v="74"/>
    <x v="84"/>
    <x v="147"/>
    <x v="26"/>
    <x v="101"/>
    <x v="0"/>
  </r>
  <r>
    <x v="0"/>
    <x v="9"/>
    <x v="9"/>
    <x v="47"/>
    <x v="47"/>
    <x v="47"/>
    <x v="12"/>
    <x v="95"/>
    <x v="43"/>
    <x v="83"/>
    <x v="10"/>
    <x v="71"/>
    <x v="122"/>
    <x v="0"/>
  </r>
  <r>
    <x v="0"/>
    <x v="9"/>
    <x v="9"/>
    <x v="12"/>
    <x v="12"/>
    <x v="12"/>
    <x v="13"/>
    <x v="108"/>
    <x v="98"/>
    <x v="79"/>
    <x v="70"/>
    <x v="31"/>
    <x v="126"/>
    <x v="0"/>
  </r>
  <r>
    <x v="0"/>
    <x v="9"/>
    <x v="9"/>
    <x v="11"/>
    <x v="11"/>
    <x v="11"/>
    <x v="19"/>
    <x v="117"/>
    <x v="45"/>
    <x v="48"/>
    <x v="146"/>
    <x v="31"/>
    <x v="126"/>
    <x v="0"/>
  </r>
  <r>
    <x v="0"/>
    <x v="9"/>
    <x v="9"/>
    <x v="9"/>
    <x v="9"/>
    <x v="9"/>
    <x v="19"/>
    <x v="117"/>
    <x v="45"/>
    <x v="103"/>
    <x v="148"/>
    <x v="42"/>
    <x v="127"/>
    <x v="0"/>
  </r>
  <r>
    <x v="0"/>
    <x v="9"/>
    <x v="9"/>
    <x v="13"/>
    <x v="13"/>
    <x v="13"/>
    <x v="15"/>
    <x v="110"/>
    <x v="16"/>
    <x v="103"/>
    <x v="148"/>
    <x v="48"/>
    <x v="121"/>
    <x v="0"/>
  </r>
  <r>
    <x v="0"/>
    <x v="9"/>
    <x v="9"/>
    <x v="44"/>
    <x v="44"/>
    <x v="44"/>
    <x v="16"/>
    <x v="111"/>
    <x v="64"/>
    <x v="79"/>
    <x v="70"/>
    <x v="71"/>
    <x v="122"/>
    <x v="0"/>
  </r>
  <r>
    <x v="0"/>
    <x v="9"/>
    <x v="9"/>
    <x v="38"/>
    <x v="38"/>
    <x v="38"/>
    <x v="16"/>
    <x v="111"/>
    <x v="64"/>
    <x v="107"/>
    <x v="149"/>
    <x v="66"/>
    <x v="120"/>
    <x v="0"/>
  </r>
  <r>
    <x v="0"/>
    <x v="9"/>
    <x v="9"/>
    <x v="16"/>
    <x v="16"/>
    <x v="16"/>
    <x v="16"/>
    <x v="111"/>
    <x v="64"/>
    <x v="48"/>
    <x v="146"/>
    <x v="71"/>
    <x v="122"/>
    <x v="0"/>
  </r>
  <r>
    <x v="0"/>
    <x v="10"/>
    <x v="10"/>
    <x v="0"/>
    <x v="0"/>
    <x v="0"/>
    <x v="0"/>
    <x v="114"/>
    <x v="126"/>
    <x v="89"/>
    <x v="150"/>
    <x v="45"/>
    <x v="72"/>
    <x v="0"/>
  </r>
  <r>
    <x v="0"/>
    <x v="10"/>
    <x v="10"/>
    <x v="1"/>
    <x v="1"/>
    <x v="1"/>
    <x v="1"/>
    <x v="90"/>
    <x v="50"/>
    <x v="98"/>
    <x v="151"/>
    <x v="52"/>
    <x v="128"/>
    <x v="4"/>
  </r>
  <r>
    <x v="0"/>
    <x v="10"/>
    <x v="10"/>
    <x v="3"/>
    <x v="3"/>
    <x v="3"/>
    <x v="2"/>
    <x v="75"/>
    <x v="127"/>
    <x v="69"/>
    <x v="152"/>
    <x v="78"/>
    <x v="74"/>
    <x v="0"/>
  </r>
  <r>
    <x v="0"/>
    <x v="10"/>
    <x v="10"/>
    <x v="4"/>
    <x v="4"/>
    <x v="4"/>
    <x v="2"/>
    <x v="75"/>
    <x v="127"/>
    <x v="92"/>
    <x v="153"/>
    <x v="67"/>
    <x v="127"/>
    <x v="0"/>
  </r>
  <r>
    <x v="0"/>
    <x v="10"/>
    <x v="10"/>
    <x v="10"/>
    <x v="10"/>
    <x v="10"/>
    <x v="18"/>
    <x v="84"/>
    <x v="128"/>
    <x v="76"/>
    <x v="154"/>
    <x v="79"/>
    <x v="129"/>
    <x v="0"/>
  </r>
  <r>
    <x v="0"/>
    <x v="10"/>
    <x v="10"/>
    <x v="2"/>
    <x v="2"/>
    <x v="2"/>
    <x v="18"/>
    <x v="84"/>
    <x v="128"/>
    <x v="52"/>
    <x v="155"/>
    <x v="71"/>
    <x v="104"/>
    <x v="0"/>
  </r>
  <r>
    <x v="0"/>
    <x v="10"/>
    <x v="10"/>
    <x v="6"/>
    <x v="6"/>
    <x v="6"/>
    <x v="5"/>
    <x v="92"/>
    <x v="40"/>
    <x v="72"/>
    <x v="6"/>
    <x v="54"/>
    <x v="130"/>
    <x v="0"/>
  </r>
  <r>
    <x v="0"/>
    <x v="10"/>
    <x v="10"/>
    <x v="7"/>
    <x v="7"/>
    <x v="7"/>
    <x v="6"/>
    <x v="116"/>
    <x v="129"/>
    <x v="79"/>
    <x v="156"/>
    <x v="65"/>
    <x v="131"/>
    <x v="0"/>
  </r>
  <r>
    <x v="0"/>
    <x v="10"/>
    <x v="10"/>
    <x v="9"/>
    <x v="9"/>
    <x v="9"/>
    <x v="6"/>
    <x v="116"/>
    <x v="129"/>
    <x v="103"/>
    <x v="114"/>
    <x v="79"/>
    <x v="129"/>
    <x v="0"/>
  </r>
  <r>
    <x v="0"/>
    <x v="10"/>
    <x v="10"/>
    <x v="5"/>
    <x v="5"/>
    <x v="5"/>
    <x v="8"/>
    <x v="118"/>
    <x v="130"/>
    <x v="52"/>
    <x v="155"/>
    <x v="42"/>
    <x v="132"/>
    <x v="0"/>
  </r>
  <r>
    <x v="0"/>
    <x v="10"/>
    <x v="10"/>
    <x v="14"/>
    <x v="14"/>
    <x v="14"/>
    <x v="9"/>
    <x v="94"/>
    <x v="131"/>
    <x v="54"/>
    <x v="157"/>
    <x v="43"/>
    <x v="133"/>
    <x v="0"/>
  </r>
  <r>
    <x v="0"/>
    <x v="10"/>
    <x v="10"/>
    <x v="13"/>
    <x v="13"/>
    <x v="13"/>
    <x v="10"/>
    <x v="95"/>
    <x v="96"/>
    <x v="76"/>
    <x v="154"/>
    <x v="80"/>
    <x v="108"/>
    <x v="0"/>
  </r>
  <r>
    <x v="0"/>
    <x v="10"/>
    <x v="10"/>
    <x v="16"/>
    <x v="16"/>
    <x v="16"/>
    <x v="11"/>
    <x v="117"/>
    <x v="132"/>
    <x v="79"/>
    <x v="156"/>
    <x v="43"/>
    <x v="133"/>
    <x v="0"/>
  </r>
  <r>
    <x v="0"/>
    <x v="10"/>
    <x v="10"/>
    <x v="8"/>
    <x v="8"/>
    <x v="8"/>
    <x v="11"/>
    <x v="117"/>
    <x v="132"/>
    <x v="93"/>
    <x v="158"/>
    <x v="78"/>
    <x v="74"/>
    <x v="0"/>
  </r>
  <r>
    <x v="0"/>
    <x v="10"/>
    <x v="10"/>
    <x v="12"/>
    <x v="12"/>
    <x v="12"/>
    <x v="13"/>
    <x v="109"/>
    <x v="28"/>
    <x v="54"/>
    <x v="157"/>
    <x v="69"/>
    <x v="134"/>
    <x v="0"/>
  </r>
  <r>
    <x v="0"/>
    <x v="10"/>
    <x v="10"/>
    <x v="19"/>
    <x v="19"/>
    <x v="19"/>
    <x v="19"/>
    <x v="96"/>
    <x v="119"/>
    <x v="84"/>
    <x v="159"/>
    <x v="42"/>
    <x v="132"/>
    <x v="0"/>
  </r>
  <r>
    <x v="0"/>
    <x v="10"/>
    <x v="10"/>
    <x v="11"/>
    <x v="11"/>
    <x v="11"/>
    <x v="14"/>
    <x v="110"/>
    <x v="12"/>
    <x v="105"/>
    <x v="160"/>
    <x v="30"/>
    <x v="135"/>
    <x v="0"/>
  </r>
  <r>
    <x v="0"/>
    <x v="10"/>
    <x v="10"/>
    <x v="26"/>
    <x v="26"/>
    <x v="26"/>
    <x v="14"/>
    <x v="110"/>
    <x v="12"/>
    <x v="61"/>
    <x v="161"/>
    <x v="52"/>
    <x v="128"/>
    <x v="0"/>
  </r>
  <r>
    <x v="0"/>
    <x v="10"/>
    <x v="10"/>
    <x v="48"/>
    <x v="48"/>
    <x v="48"/>
    <x v="16"/>
    <x v="112"/>
    <x v="133"/>
    <x v="108"/>
    <x v="162"/>
    <x v="75"/>
    <x v="116"/>
    <x v="0"/>
  </r>
  <r>
    <x v="0"/>
    <x v="10"/>
    <x v="10"/>
    <x v="15"/>
    <x v="15"/>
    <x v="15"/>
    <x v="16"/>
    <x v="112"/>
    <x v="133"/>
    <x v="48"/>
    <x v="163"/>
    <x v="71"/>
    <x v="104"/>
    <x v="0"/>
  </r>
  <r>
    <x v="0"/>
    <x v="11"/>
    <x v="11"/>
    <x v="0"/>
    <x v="0"/>
    <x v="0"/>
    <x v="0"/>
    <x v="65"/>
    <x v="134"/>
    <x v="100"/>
    <x v="164"/>
    <x v="61"/>
    <x v="136"/>
    <x v="0"/>
  </r>
  <r>
    <x v="0"/>
    <x v="11"/>
    <x v="11"/>
    <x v="2"/>
    <x v="2"/>
    <x v="2"/>
    <x v="1"/>
    <x v="47"/>
    <x v="135"/>
    <x v="114"/>
    <x v="165"/>
    <x v="31"/>
    <x v="137"/>
    <x v="0"/>
  </r>
  <r>
    <x v="0"/>
    <x v="11"/>
    <x v="11"/>
    <x v="1"/>
    <x v="1"/>
    <x v="1"/>
    <x v="2"/>
    <x v="49"/>
    <x v="136"/>
    <x v="115"/>
    <x v="166"/>
    <x v="42"/>
    <x v="138"/>
    <x v="0"/>
  </r>
  <r>
    <x v="0"/>
    <x v="11"/>
    <x v="11"/>
    <x v="6"/>
    <x v="6"/>
    <x v="6"/>
    <x v="3"/>
    <x v="74"/>
    <x v="137"/>
    <x v="52"/>
    <x v="78"/>
    <x v="31"/>
    <x v="137"/>
    <x v="0"/>
  </r>
  <r>
    <x v="0"/>
    <x v="11"/>
    <x v="11"/>
    <x v="4"/>
    <x v="4"/>
    <x v="4"/>
    <x v="18"/>
    <x v="91"/>
    <x v="94"/>
    <x v="71"/>
    <x v="105"/>
    <x v="67"/>
    <x v="139"/>
    <x v="0"/>
  </r>
  <r>
    <x v="0"/>
    <x v="11"/>
    <x v="11"/>
    <x v="3"/>
    <x v="3"/>
    <x v="3"/>
    <x v="4"/>
    <x v="75"/>
    <x v="38"/>
    <x v="69"/>
    <x v="167"/>
    <x v="78"/>
    <x v="29"/>
    <x v="0"/>
  </r>
  <r>
    <x v="0"/>
    <x v="11"/>
    <x v="11"/>
    <x v="8"/>
    <x v="8"/>
    <x v="8"/>
    <x v="4"/>
    <x v="75"/>
    <x v="38"/>
    <x v="67"/>
    <x v="168"/>
    <x v="74"/>
    <x v="140"/>
    <x v="0"/>
  </r>
  <r>
    <x v="0"/>
    <x v="11"/>
    <x v="11"/>
    <x v="7"/>
    <x v="7"/>
    <x v="7"/>
    <x v="6"/>
    <x v="84"/>
    <x v="69"/>
    <x v="79"/>
    <x v="169"/>
    <x v="51"/>
    <x v="141"/>
    <x v="0"/>
  </r>
  <r>
    <x v="0"/>
    <x v="11"/>
    <x v="11"/>
    <x v="14"/>
    <x v="14"/>
    <x v="14"/>
    <x v="6"/>
    <x v="84"/>
    <x v="69"/>
    <x v="103"/>
    <x v="170"/>
    <x v="30"/>
    <x v="142"/>
    <x v="0"/>
  </r>
  <r>
    <x v="0"/>
    <x v="11"/>
    <x v="11"/>
    <x v="13"/>
    <x v="13"/>
    <x v="13"/>
    <x v="8"/>
    <x v="105"/>
    <x v="138"/>
    <x v="67"/>
    <x v="168"/>
    <x v="67"/>
    <x v="139"/>
    <x v="0"/>
  </r>
  <r>
    <x v="0"/>
    <x v="11"/>
    <x v="11"/>
    <x v="5"/>
    <x v="5"/>
    <x v="5"/>
    <x v="9"/>
    <x v="78"/>
    <x v="139"/>
    <x v="55"/>
    <x v="171"/>
    <x v="52"/>
    <x v="143"/>
    <x v="0"/>
  </r>
  <r>
    <x v="0"/>
    <x v="11"/>
    <x v="11"/>
    <x v="12"/>
    <x v="12"/>
    <x v="12"/>
    <x v="10"/>
    <x v="108"/>
    <x v="62"/>
    <x v="104"/>
    <x v="172"/>
    <x v="75"/>
    <x v="144"/>
    <x v="0"/>
  </r>
  <r>
    <x v="0"/>
    <x v="11"/>
    <x v="11"/>
    <x v="18"/>
    <x v="18"/>
    <x v="18"/>
    <x v="11"/>
    <x v="109"/>
    <x v="140"/>
    <x v="94"/>
    <x v="173"/>
    <x v="78"/>
    <x v="29"/>
    <x v="0"/>
  </r>
  <r>
    <x v="0"/>
    <x v="11"/>
    <x v="11"/>
    <x v="9"/>
    <x v="9"/>
    <x v="9"/>
    <x v="12"/>
    <x v="110"/>
    <x v="10"/>
    <x v="104"/>
    <x v="172"/>
    <x v="26"/>
    <x v="27"/>
    <x v="0"/>
  </r>
  <r>
    <x v="0"/>
    <x v="11"/>
    <x v="11"/>
    <x v="21"/>
    <x v="21"/>
    <x v="21"/>
    <x v="13"/>
    <x v="111"/>
    <x v="98"/>
    <x v="61"/>
    <x v="174"/>
    <x v="42"/>
    <x v="138"/>
    <x v="0"/>
  </r>
  <r>
    <x v="0"/>
    <x v="11"/>
    <x v="11"/>
    <x v="23"/>
    <x v="23"/>
    <x v="23"/>
    <x v="13"/>
    <x v="111"/>
    <x v="98"/>
    <x v="102"/>
    <x v="175"/>
    <x v="26"/>
    <x v="27"/>
    <x v="0"/>
  </r>
  <r>
    <x v="0"/>
    <x v="11"/>
    <x v="11"/>
    <x v="10"/>
    <x v="10"/>
    <x v="10"/>
    <x v="14"/>
    <x v="112"/>
    <x v="141"/>
    <x v="107"/>
    <x v="176"/>
    <x v="43"/>
    <x v="145"/>
    <x v="0"/>
  </r>
  <r>
    <x v="0"/>
    <x v="11"/>
    <x v="11"/>
    <x v="35"/>
    <x v="35"/>
    <x v="35"/>
    <x v="15"/>
    <x v="113"/>
    <x v="13"/>
    <x v="104"/>
    <x v="172"/>
    <x v="45"/>
    <x v="70"/>
    <x v="0"/>
  </r>
  <r>
    <x v="0"/>
    <x v="11"/>
    <x v="11"/>
    <x v="16"/>
    <x v="16"/>
    <x v="16"/>
    <x v="15"/>
    <x v="113"/>
    <x v="13"/>
    <x v="108"/>
    <x v="177"/>
    <x v="79"/>
    <x v="146"/>
    <x v="0"/>
  </r>
  <r>
    <x v="0"/>
    <x v="11"/>
    <x v="11"/>
    <x v="11"/>
    <x v="11"/>
    <x v="11"/>
    <x v="17"/>
    <x v="97"/>
    <x v="90"/>
    <x v="105"/>
    <x v="178"/>
    <x v="54"/>
    <x v="147"/>
    <x v="0"/>
  </r>
  <r>
    <x v="0"/>
    <x v="11"/>
    <x v="11"/>
    <x v="38"/>
    <x v="38"/>
    <x v="38"/>
    <x v="17"/>
    <x v="97"/>
    <x v="90"/>
    <x v="79"/>
    <x v="169"/>
    <x v="26"/>
    <x v="27"/>
    <x v="0"/>
  </r>
  <r>
    <x v="0"/>
    <x v="11"/>
    <x v="11"/>
    <x v="15"/>
    <x v="15"/>
    <x v="15"/>
    <x v="17"/>
    <x v="97"/>
    <x v="90"/>
    <x v="80"/>
    <x v="179"/>
    <x v="71"/>
    <x v="148"/>
    <x v="0"/>
  </r>
  <r>
    <x v="0"/>
    <x v="12"/>
    <x v="12"/>
    <x v="17"/>
    <x v="17"/>
    <x v="17"/>
    <x v="0"/>
    <x v="119"/>
    <x v="142"/>
    <x v="116"/>
    <x v="180"/>
    <x v="81"/>
    <x v="149"/>
    <x v="0"/>
  </r>
  <r>
    <x v="0"/>
    <x v="12"/>
    <x v="12"/>
    <x v="28"/>
    <x v="28"/>
    <x v="28"/>
    <x v="1"/>
    <x v="42"/>
    <x v="143"/>
    <x v="53"/>
    <x v="133"/>
    <x v="38"/>
    <x v="150"/>
    <x v="0"/>
  </r>
  <r>
    <x v="0"/>
    <x v="12"/>
    <x v="12"/>
    <x v="0"/>
    <x v="0"/>
    <x v="0"/>
    <x v="2"/>
    <x v="120"/>
    <x v="144"/>
    <x v="45"/>
    <x v="181"/>
    <x v="67"/>
    <x v="74"/>
    <x v="0"/>
  </r>
  <r>
    <x v="0"/>
    <x v="12"/>
    <x v="12"/>
    <x v="1"/>
    <x v="1"/>
    <x v="1"/>
    <x v="3"/>
    <x v="115"/>
    <x v="145"/>
    <x v="88"/>
    <x v="182"/>
    <x v="67"/>
    <x v="74"/>
    <x v="0"/>
  </r>
  <r>
    <x v="0"/>
    <x v="12"/>
    <x v="12"/>
    <x v="49"/>
    <x v="49"/>
    <x v="49"/>
    <x v="18"/>
    <x v="49"/>
    <x v="124"/>
    <x v="49"/>
    <x v="183"/>
    <x v="82"/>
    <x v="151"/>
    <x v="0"/>
  </r>
  <r>
    <x v="0"/>
    <x v="12"/>
    <x v="12"/>
    <x v="3"/>
    <x v="3"/>
    <x v="3"/>
    <x v="4"/>
    <x v="104"/>
    <x v="41"/>
    <x v="53"/>
    <x v="133"/>
    <x v="78"/>
    <x v="152"/>
    <x v="0"/>
  </r>
  <r>
    <x v="0"/>
    <x v="12"/>
    <x v="12"/>
    <x v="4"/>
    <x v="4"/>
    <x v="4"/>
    <x v="5"/>
    <x v="74"/>
    <x v="146"/>
    <x v="114"/>
    <x v="171"/>
    <x v="78"/>
    <x v="152"/>
    <x v="0"/>
  </r>
  <r>
    <x v="0"/>
    <x v="12"/>
    <x v="12"/>
    <x v="7"/>
    <x v="7"/>
    <x v="7"/>
    <x v="6"/>
    <x v="75"/>
    <x v="7"/>
    <x v="82"/>
    <x v="184"/>
    <x v="72"/>
    <x v="153"/>
    <x v="0"/>
  </r>
  <r>
    <x v="0"/>
    <x v="12"/>
    <x v="12"/>
    <x v="5"/>
    <x v="5"/>
    <x v="5"/>
    <x v="7"/>
    <x v="84"/>
    <x v="147"/>
    <x v="117"/>
    <x v="185"/>
    <x v="61"/>
    <x v="154"/>
    <x v="0"/>
  </r>
  <r>
    <x v="0"/>
    <x v="12"/>
    <x v="12"/>
    <x v="10"/>
    <x v="10"/>
    <x v="10"/>
    <x v="8"/>
    <x v="92"/>
    <x v="9"/>
    <x v="61"/>
    <x v="186"/>
    <x v="31"/>
    <x v="57"/>
    <x v="0"/>
  </r>
  <r>
    <x v="0"/>
    <x v="12"/>
    <x v="12"/>
    <x v="12"/>
    <x v="12"/>
    <x v="12"/>
    <x v="9"/>
    <x v="107"/>
    <x v="89"/>
    <x v="82"/>
    <x v="184"/>
    <x v="71"/>
    <x v="155"/>
    <x v="0"/>
  </r>
  <r>
    <x v="0"/>
    <x v="12"/>
    <x v="12"/>
    <x v="19"/>
    <x v="19"/>
    <x v="19"/>
    <x v="9"/>
    <x v="107"/>
    <x v="89"/>
    <x v="61"/>
    <x v="186"/>
    <x v="26"/>
    <x v="156"/>
    <x v="0"/>
  </r>
  <r>
    <x v="0"/>
    <x v="12"/>
    <x v="12"/>
    <x v="6"/>
    <x v="6"/>
    <x v="6"/>
    <x v="9"/>
    <x v="107"/>
    <x v="89"/>
    <x v="35"/>
    <x v="187"/>
    <x v="59"/>
    <x v="5"/>
    <x v="0"/>
  </r>
  <r>
    <x v="0"/>
    <x v="12"/>
    <x v="12"/>
    <x v="2"/>
    <x v="2"/>
    <x v="2"/>
    <x v="12"/>
    <x v="117"/>
    <x v="76"/>
    <x v="102"/>
    <x v="94"/>
    <x v="75"/>
    <x v="27"/>
    <x v="0"/>
  </r>
  <r>
    <x v="0"/>
    <x v="12"/>
    <x v="12"/>
    <x v="9"/>
    <x v="9"/>
    <x v="9"/>
    <x v="13"/>
    <x v="109"/>
    <x v="148"/>
    <x v="35"/>
    <x v="187"/>
    <x v="61"/>
    <x v="154"/>
    <x v="0"/>
  </r>
  <r>
    <x v="0"/>
    <x v="12"/>
    <x v="12"/>
    <x v="38"/>
    <x v="38"/>
    <x v="38"/>
    <x v="19"/>
    <x v="96"/>
    <x v="149"/>
    <x v="54"/>
    <x v="96"/>
    <x v="26"/>
    <x v="156"/>
    <x v="0"/>
  </r>
  <r>
    <x v="0"/>
    <x v="12"/>
    <x v="12"/>
    <x v="50"/>
    <x v="50"/>
    <x v="50"/>
    <x v="19"/>
    <x v="96"/>
    <x v="149"/>
    <x v="54"/>
    <x v="96"/>
    <x v="26"/>
    <x v="156"/>
    <x v="0"/>
  </r>
  <r>
    <x v="0"/>
    <x v="12"/>
    <x v="12"/>
    <x v="8"/>
    <x v="8"/>
    <x v="8"/>
    <x v="19"/>
    <x v="96"/>
    <x v="149"/>
    <x v="84"/>
    <x v="188"/>
    <x v="42"/>
    <x v="157"/>
    <x v="0"/>
  </r>
  <r>
    <x v="0"/>
    <x v="12"/>
    <x v="12"/>
    <x v="11"/>
    <x v="11"/>
    <x v="11"/>
    <x v="16"/>
    <x v="111"/>
    <x v="150"/>
    <x v="78"/>
    <x v="189"/>
    <x v="79"/>
    <x v="9"/>
    <x v="0"/>
  </r>
  <r>
    <x v="0"/>
    <x v="12"/>
    <x v="12"/>
    <x v="35"/>
    <x v="35"/>
    <x v="35"/>
    <x v="16"/>
    <x v="111"/>
    <x v="150"/>
    <x v="78"/>
    <x v="189"/>
    <x v="79"/>
    <x v="9"/>
    <x v="0"/>
  </r>
  <r>
    <x v="0"/>
    <x v="12"/>
    <x v="12"/>
    <x v="15"/>
    <x v="15"/>
    <x v="15"/>
    <x v="16"/>
    <x v="111"/>
    <x v="150"/>
    <x v="118"/>
    <x v="190"/>
    <x v="31"/>
    <x v="57"/>
    <x v="0"/>
  </r>
  <r>
    <x v="0"/>
    <x v="13"/>
    <x v="13"/>
    <x v="0"/>
    <x v="0"/>
    <x v="0"/>
    <x v="0"/>
    <x v="121"/>
    <x v="151"/>
    <x v="119"/>
    <x v="191"/>
    <x v="66"/>
    <x v="110"/>
    <x v="0"/>
  </r>
  <r>
    <x v="0"/>
    <x v="13"/>
    <x v="13"/>
    <x v="4"/>
    <x v="4"/>
    <x v="4"/>
    <x v="1"/>
    <x v="56"/>
    <x v="152"/>
    <x v="37"/>
    <x v="192"/>
    <x v="61"/>
    <x v="158"/>
    <x v="0"/>
  </r>
  <r>
    <x v="0"/>
    <x v="13"/>
    <x v="13"/>
    <x v="6"/>
    <x v="6"/>
    <x v="6"/>
    <x v="2"/>
    <x v="122"/>
    <x v="153"/>
    <x v="98"/>
    <x v="193"/>
    <x v="55"/>
    <x v="75"/>
    <x v="0"/>
  </r>
  <r>
    <x v="0"/>
    <x v="13"/>
    <x v="13"/>
    <x v="1"/>
    <x v="1"/>
    <x v="1"/>
    <x v="3"/>
    <x v="41"/>
    <x v="94"/>
    <x v="120"/>
    <x v="194"/>
    <x v="69"/>
    <x v="159"/>
    <x v="0"/>
  </r>
  <r>
    <x v="0"/>
    <x v="13"/>
    <x v="13"/>
    <x v="8"/>
    <x v="8"/>
    <x v="8"/>
    <x v="18"/>
    <x v="123"/>
    <x v="154"/>
    <x v="121"/>
    <x v="195"/>
    <x v="24"/>
    <x v="160"/>
    <x v="0"/>
  </r>
  <r>
    <x v="0"/>
    <x v="13"/>
    <x v="13"/>
    <x v="5"/>
    <x v="5"/>
    <x v="5"/>
    <x v="4"/>
    <x v="68"/>
    <x v="155"/>
    <x v="122"/>
    <x v="182"/>
    <x v="54"/>
    <x v="161"/>
    <x v="0"/>
  </r>
  <r>
    <x v="0"/>
    <x v="13"/>
    <x v="13"/>
    <x v="3"/>
    <x v="3"/>
    <x v="3"/>
    <x v="5"/>
    <x v="120"/>
    <x v="156"/>
    <x v="123"/>
    <x v="196"/>
    <x v="78"/>
    <x v="121"/>
    <x v="0"/>
  </r>
  <r>
    <x v="0"/>
    <x v="13"/>
    <x v="13"/>
    <x v="2"/>
    <x v="2"/>
    <x v="2"/>
    <x v="6"/>
    <x v="124"/>
    <x v="157"/>
    <x v="103"/>
    <x v="197"/>
    <x v="83"/>
    <x v="162"/>
    <x v="0"/>
  </r>
  <r>
    <x v="0"/>
    <x v="13"/>
    <x v="13"/>
    <x v="7"/>
    <x v="7"/>
    <x v="7"/>
    <x v="7"/>
    <x v="125"/>
    <x v="25"/>
    <x v="102"/>
    <x v="115"/>
    <x v="84"/>
    <x v="163"/>
    <x v="0"/>
  </r>
  <r>
    <x v="0"/>
    <x v="13"/>
    <x v="13"/>
    <x v="51"/>
    <x v="51"/>
    <x v="51"/>
    <x v="8"/>
    <x v="71"/>
    <x v="8"/>
    <x v="114"/>
    <x v="198"/>
    <x v="71"/>
    <x v="164"/>
    <x v="0"/>
  </r>
  <r>
    <x v="0"/>
    <x v="13"/>
    <x v="13"/>
    <x v="13"/>
    <x v="13"/>
    <x v="13"/>
    <x v="9"/>
    <x v="82"/>
    <x v="117"/>
    <x v="98"/>
    <x v="193"/>
    <x v="48"/>
    <x v="165"/>
    <x v="0"/>
  </r>
  <r>
    <x v="0"/>
    <x v="13"/>
    <x v="13"/>
    <x v="23"/>
    <x v="23"/>
    <x v="23"/>
    <x v="10"/>
    <x v="83"/>
    <x v="132"/>
    <x v="95"/>
    <x v="199"/>
    <x v="66"/>
    <x v="110"/>
    <x v="0"/>
  </r>
  <r>
    <x v="0"/>
    <x v="13"/>
    <x v="13"/>
    <x v="14"/>
    <x v="14"/>
    <x v="14"/>
    <x v="11"/>
    <x v="50"/>
    <x v="119"/>
    <x v="101"/>
    <x v="187"/>
    <x v="76"/>
    <x v="166"/>
    <x v="0"/>
  </r>
  <r>
    <x v="0"/>
    <x v="13"/>
    <x v="13"/>
    <x v="33"/>
    <x v="33"/>
    <x v="33"/>
    <x v="12"/>
    <x v="51"/>
    <x v="88"/>
    <x v="54"/>
    <x v="7"/>
    <x v="56"/>
    <x v="15"/>
    <x v="0"/>
  </r>
  <r>
    <x v="0"/>
    <x v="13"/>
    <x v="13"/>
    <x v="38"/>
    <x v="38"/>
    <x v="38"/>
    <x v="13"/>
    <x v="73"/>
    <x v="158"/>
    <x v="61"/>
    <x v="200"/>
    <x v="47"/>
    <x v="167"/>
    <x v="0"/>
  </r>
  <r>
    <x v="0"/>
    <x v="13"/>
    <x v="13"/>
    <x v="11"/>
    <x v="11"/>
    <x v="11"/>
    <x v="19"/>
    <x v="74"/>
    <x v="141"/>
    <x v="79"/>
    <x v="201"/>
    <x v="85"/>
    <x v="67"/>
    <x v="0"/>
  </r>
  <r>
    <x v="0"/>
    <x v="13"/>
    <x v="13"/>
    <x v="9"/>
    <x v="9"/>
    <x v="9"/>
    <x v="19"/>
    <x v="74"/>
    <x v="141"/>
    <x v="93"/>
    <x v="109"/>
    <x v="24"/>
    <x v="160"/>
    <x v="0"/>
  </r>
  <r>
    <x v="0"/>
    <x v="13"/>
    <x v="13"/>
    <x v="18"/>
    <x v="18"/>
    <x v="18"/>
    <x v="19"/>
    <x v="74"/>
    <x v="141"/>
    <x v="117"/>
    <x v="110"/>
    <x v="69"/>
    <x v="159"/>
    <x v="0"/>
  </r>
  <r>
    <x v="0"/>
    <x v="13"/>
    <x v="13"/>
    <x v="12"/>
    <x v="12"/>
    <x v="12"/>
    <x v="16"/>
    <x v="126"/>
    <x v="105"/>
    <x v="78"/>
    <x v="202"/>
    <x v="56"/>
    <x v="15"/>
    <x v="0"/>
  </r>
  <r>
    <x v="0"/>
    <x v="13"/>
    <x v="13"/>
    <x v="22"/>
    <x v="22"/>
    <x v="22"/>
    <x v="16"/>
    <x v="126"/>
    <x v="105"/>
    <x v="93"/>
    <x v="109"/>
    <x v="77"/>
    <x v="168"/>
    <x v="0"/>
  </r>
  <r>
    <x v="0"/>
    <x v="14"/>
    <x v="14"/>
    <x v="0"/>
    <x v="0"/>
    <x v="0"/>
    <x v="0"/>
    <x v="38"/>
    <x v="159"/>
    <x v="124"/>
    <x v="203"/>
    <x v="75"/>
    <x v="169"/>
    <x v="0"/>
  </r>
  <r>
    <x v="0"/>
    <x v="14"/>
    <x v="14"/>
    <x v="1"/>
    <x v="1"/>
    <x v="1"/>
    <x v="1"/>
    <x v="120"/>
    <x v="160"/>
    <x v="46"/>
    <x v="103"/>
    <x v="45"/>
    <x v="143"/>
    <x v="0"/>
  </r>
  <r>
    <x v="0"/>
    <x v="14"/>
    <x v="14"/>
    <x v="8"/>
    <x v="8"/>
    <x v="8"/>
    <x v="2"/>
    <x v="65"/>
    <x v="161"/>
    <x v="125"/>
    <x v="204"/>
    <x v="26"/>
    <x v="17"/>
    <x v="0"/>
  </r>
  <r>
    <x v="0"/>
    <x v="14"/>
    <x v="14"/>
    <x v="3"/>
    <x v="3"/>
    <x v="3"/>
    <x v="3"/>
    <x v="48"/>
    <x v="162"/>
    <x v="126"/>
    <x v="205"/>
    <x v="61"/>
    <x v="154"/>
    <x v="0"/>
  </r>
  <r>
    <x v="0"/>
    <x v="14"/>
    <x v="14"/>
    <x v="4"/>
    <x v="4"/>
    <x v="4"/>
    <x v="18"/>
    <x v="71"/>
    <x v="163"/>
    <x v="63"/>
    <x v="206"/>
    <x v="80"/>
    <x v="108"/>
    <x v="0"/>
  </r>
  <r>
    <x v="0"/>
    <x v="14"/>
    <x v="14"/>
    <x v="5"/>
    <x v="5"/>
    <x v="5"/>
    <x v="4"/>
    <x v="72"/>
    <x v="164"/>
    <x v="66"/>
    <x v="207"/>
    <x v="69"/>
    <x v="170"/>
    <x v="0"/>
  </r>
  <r>
    <x v="0"/>
    <x v="14"/>
    <x v="14"/>
    <x v="2"/>
    <x v="2"/>
    <x v="2"/>
    <x v="5"/>
    <x v="49"/>
    <x v="155"/>
    <x v="110"/>
    <x v="208"/>
    <x v="73"/>
    <x v="75"/>
    <x v="0"/>
  </r>
  <r>
    <x v="0"/>
    <x v="14"/>
    <x v="14"/>
    <x v="7"/>
    <x v="7"/>
    <x v="7"/>
    <x v="6"/>
    <x v="73"/>
    <x v="165"/>
    <x v="80"/>
    <x v="209"/>
    <x v="86"/>
    <x v="171"/>
    <x v="0"/>
  </r>
  <r>
    <x v="0"/>
    <x v="14"/>
    <x v="14"/>
    <x v="12"/>
    <x v="12"/>
    <x v="12"/>
    <x v="7"/>
    <x v="105"/>
    <x v="131"/>
    <x v="48"/>
    <x v="62"/>
    <x v="47"/>
    <x v="172"/>
    <x v="0"/>
  </r>
  <r>
    <x v="0"/>
    <x v="14"/>
    <x v="14"/>
    <x v="6"/>
    <x v="6"/>
    <x v="6"/>
    <x v="7"/>
    <x v="105"/>
    <x v="131"/>
    <x v="61"/>
    <x v="210"/>
    <x v="30"/>
    <x v="173"/>
    <x v="0"/>
  </r>
  <r>
    <x v="0"/>
    <x v="14"/>
    <x v="14"/>
    <x v="9"/>
    <x v="9"/>
    <x v="9"/>
    <x v="9"/>
    <x v="92"/>
    <x v="166"/>
    <x v="93"/>
    <x v="211"/>
    <x v="79"/>
    <x v="174"/>
    <x v="0"/>
  </r>
  <r>
    <x v="0"/>
    <x v="14"/>
    <x v="14"/>
    <x v="16"/>
    <x v="16"/>
    <x v="16"/>
    <x v="10"/>
    <x v="78"/>
    <x v="62"/>
    <x v="83"/>
    <x v="187"/>
    <x v="30"/>
    <x v="173"/>
    <x v="0"/>
  </r>
  <r>
    <x v="0"/>
    <x v="14"/>
    <x v="14"/>
    <x v="11"/>
    <x v="11"/>
    <x v="11"/>
    <x v="11"/>
    <x v="93"/>
    <x v="167"/>
    <x v="80"/>
    <x v="209"/>
    <x v="65"/>
    <x v="137"/>
    <x v="0"/>
  </r>
  <r>
    <x v="0"/>
    <x v="14"/>
    <x v="14"/>
    <x v="10"/>
    <x v="10"/>
    <x v="10"/>
    <x v="11"/>
    <x v="93"/>
    <x v="167"/>
    <x v="78"/>
    <x v="212"/>
    <x v="77"/>
    <x v="175"/>
    <x v="0"/>
  </r>
  <r>
    <x v="0"/>
    <x v="14"/>
    <x v="14"/>
    <x v="15"/>
    <x v="15"/>
    <x v="15"/>
    <x v="13"/>
    <x v="108"/>
    <x v="168"/>
    <x v="80"/>
    <x v="209"/>
    <x v="77"/>
    <x v="175"/>
    <x v="0"/>
  </r>
  <r>
    <x v="0"/>
    <x v="14"/>
    <x v="14"/>
    <x v="22"/>
    <x v="22"/>
    <x v="22"/>
    <x v="19"/>
    <x v="117"/>
    <x v="169"/>
    <x v="102"/>
    <x v="213"/>
    <x v="75"/>
    <x v="169"/>
    <x v="0"/>
  </r>
  <r>
    <x v="0"/>
    <x v="14"/>
    <x v="14"/>
    <x v="14"/>
    <x v="14"/>
    <x v="14"/>
    <x v="14"/>
    <x v="109"/>
    <x v="170"/>
    <x v="54"/>
    <x v="214"/>
    <x v="69"/>
    <x v="170"/>
    <x v="0"/>
  </r>
  <r>
    <x v="0"/>
    <x v="14"/>
    <x v="14"/>
    <x v="52"/>
    <x v="52"/>
    <x v="52"/>
    <x v="14"/>
    <x v="109"/>
    <x v="170"/>
    <x v="80"/>
    <x v="209"/>
    <x v="30"/>
    <x v="173"/>
    <x v="0"/>
  </r>
  <r>
    <x v="0"/>
    <x v="14"/>
    <x v="14"/>
    <x v="13"/>
    <x v="13"/>
    <x v="13"/>
    <x v="14"/>
    <x v="109"/>
    <x v="170"/>
    <x v="110"/>
    <x v="208"/>
    <x v="80"/>
    <x v="108"/>
    <x v="0"/>
  </r>
  <r>
    <x v="0"/>
    <x v="14"/>
    <x v="14"/>
    <x v="53"/>
    <x v="53"/>
    <x v="53"/>
    <x v="14"/>
    <x v="109"/>
    <x v="170"/>
    <x v="49"/>
    <x v="68"/>
    <x v="74"/>
    <x v="176"/>
    <x v="0"/>
  </r>
  <r>
    <x v="0"/>
    <x v="14"/>
    <x v="14"/>
    <x v="23"/>
    <x v="23"/>
    <x v="23"/>
    <x v="14"/>
    <x v="109"/>
    <x v="170"/>
    <x v="82"/>
    <x v="136"/>
    <x v="26"/>
    <x v="17"/>
    <x v="0"/>
  </r>
  <r>
    <x v="0"/>
    <x v="15"/>
    <x v="15"/>
    <x v="7"/>
    <x v="7"/>
    <x v="7"/>
    <x v="0"/>
    <x v="105"/>
    <x v="171"/>
    <x v="82"/>
    <x v="215"/>
    <x v="24"/>
    <x v="177"/>
    <x v="0"/>
  </r>
  <r>
    <x v="0"/>
    <x v="15"/>
    <x v="15"/>
    <x v="10"/>
    <x v="10"/>
    <x v="10"/>
    <x v="1"/>
    <x v="118"/>
    <x v="121"/>
    <x v="103"/>
    <x v="216"/>
    <x v="26"/>
    <x v="178"/>
    <x v="0"/>
  </r>
  <r>
    <x v="0"/>
    <x v="15"/>
    <x v="15"/>
    <x v="0"/>
    <x v="0"/>
    <x v="0"/>
    <x v="1"/>
    <x v="118"/>
    <x v="121"/>
    <x v="127"/>
    <x v="217"/>
    <x v="52"/>
    <x v="179"/>
    <x v="0"/>
  </r>
  <r>
    <x v="0"/>
    <x v="15"/>
    <x v="15"/>
    <x v="20"/>
    <x v="20"/>
    <x v="20"/>
    <x v="3"/>
    <x v="94"/>
    <x v="172"/>
    <x v="103"/>
    <x v="216"/>
    <x v="74"/>
    <x v="130"/>
    <x v="0"/>
  </r>
  <r>
    <x v="0"/>
    <x v="15"/>
    <x v="15"/>
    <x v="11"/>
    <x v="11"/>
    <x v="11"/>
    <x v="18"/>
    <x v="110"/>
    <x v="173"/>
    <x v="54"/>
    <x v="218"/>
    <x v="59"/>
    <x v="180"/>
    <x v="0"/>
  </r>
  <r>
    <x v="0"/>
    <x v="15"/>
    <x v="15"/>
    <x v="6"/>
    <x v="6"/>
    <x v="6"/>
    <x v="18"/>
    <x v="110"/>
    <x v="173"/>
    <x v="49"/>
    <x v="219"/>
    <x v="61"/>
    <x v="10"/>
    <x v="0"/>
  </r>
  <r>
    <x v="0"/>
    <x v="15"/>
    <x v="15"/>
    <x v="54"/>
    <x v="54"/>
    <x v="54"/>
    <x v="5"/>
    <x v="111"/>
    <x v="23"/>
    <x v="82"/>
    <x v="215"/>
    <x v="45"/>
    <x v="15"/>
    <x v="0"/>
  </r>
  <r>
    <x v="0"/>
    <x v="15"/>
    <x v="15"/>
    <x v="55"/>
    <x v="55"/>
    <x v="55"/>
    <x v="5"/>
    <x v="111"/>
    <x v="23"/>
    <x v="104"/>
    <x v="174"/>
    <x v="59"/>
    <x v="180"/>
    <x v="0"/>
  </r>
  <r>
    <x v="0"/>
    <x v="15"/>
    <x v="15"/>
    <x v="44"/>
    <x v="44"/>
    <x v="44"/>
    <x v="7"/>
    <x v="112"/>
    <x v="174"/>
    <x v="83"/>
    <x v="220"/>
    <x v="52"/>
    <x v="179"/>
    <x v="0"/>
  </r>
  <r>
    <x v="0"/>
    <x v="15"/>
    <x v="15"/>
    <x v="1"/>
    <x v="1"/>
    <x v="1"/>
    <x v="7"/>
    <x v="112"/>
    <x v="174"/>
    <x v="72"/>
    <x v="221"/>
    <x v="80"/>
    <x v="108"/>
    <x v="0"/>
  </r>
  <r>
    <x v="0"/>
    <x v="15"/>
    <x v="15"/>
    <x v="12"/>
    <x v="12"/>
    <x v="12"/>
    <x v="9"/>
    <x v="97"/>
    <x v="175"/>
    <x v="54"/>
    <x v="218"/>
    <x v="52"/>
    <x v="179"/>
    <x v="0"/>
  </r>
  <r>
    <x v="0"/>
    <x v="15"/>
    <x v="15"/>
    <x v="56"/>
    <x v="56"/>
    <x v="56"/>
    <x v="9"/>
    <x v="97"/>
    <x v="175"/>
    <x v="54"/>
    <x v="218"/>
    <x v="52"/>
    <x v="179"/>
    <x v="0"/>
  </r>
  <r>
    <x v="0"/>
    <x v="15"/>
    <x v="15"/>
    <x v="3"/>
    <x v="3"/>
    <x v="3"/>
    <x v="9"/>
    <x v="97"/>
    <x v="175"/>
    <x v="61"/>
    <x v="222"/>
    <x v="48"/>
    <x v="103"/>
    <x v="0"/>
  </r>
  <r>
    <x v="0"/>
    <x v="15"/>
    <x v="15"/>
    <x v="5"/>
    <x v="5"/>
    <x v="5"/>
    <x v="12"/>
    <x v="98"/>
    <x v="61"/>
    <x v="82"/>
    <x v="215"/>
    <x v="67"/>
    <x v="161"/>
    <x v="0"/>
  </r>
  <r>
    <x v="0"/>
    <x v="15"/>
    <x v="15"/>
    <x v="40"/>
    <x v="40"/>
    <x v="40"/>
    <x v="13"/>
    <x v="100"/>
    <x v="43"/>
    <x v="48"/>
    <x v="223"/>
    <x v="45"/>
    <x v="15"/>
    <x v="0"/>
  </r>
  <r>
    <x v="0"/>
    <x v="15"/>
    <x v="15"/>
    <x v="57"/>
    <x v="57"/>
    <x v="57"/>
    <x v="13"/>
    <x v="100"/>
    <x v="43"/>
    <x v="108"/>
    <x v="125"/>
    <x v="74"/>
    <x v="130"/>
    <x v="0"/>
  </r>
  <r>
    <x v="0"/>
    <x v="15"/>
    <x v="15"/>
    <x v="9"/>
    <x v="9"/>
    <x v="9"/>
    <x v="13"/>
    <x v="100"/>
    <x v="43"/>
    <x v="106"/>
    <x v="224"/>
    <x v="42"/>
    <x v="170"/>
    <x v="0"/>
  </r>
  <r>
    <x v="0"/>
    <x v="15"/>
    <x v="15"/>
    <x v="18"/>
    <x v="18"/>
    <x v="18"/>
    <x v="15"/>
    <x v="101"/>
    <x v="98"/>
    <x v="79"/>
    <x v="225"/>
    <x v="52"/>
    <x v="179"/>
    <x v="0"/>
  </r>
  <r>
    <x v="0"/>
    <x v="15"/>
    <x v="15"/>
    <x v="58"/>
    <x v="58"/>
    <x v="58"/>
    <x v="16"/>
    <x v="127"/>
    <x v="32"/>
    <x v="78"/>
    <x v="226"/>
    <x v="67"/>
    <x v="161"/>
    <x v="0"/>
  </r>
  <r>
    <x v="0"/>
    <x v="15"/>
    <x v="15"/>
    <x v="41"/>
    <x v="41"/>
    <x v="41"/>
    <x v="16"/>
    <x v="127"/>
    <x v="32"/>
    <x v="48"/>
    <x v="223"/>
    <x v="52"/>
    <x v="179"/>
    <x v="0"/>
  </r>
  <r>
    <x v="0"/>
    <x v="15"/>
    <x v="15"/>
    <x v="23"/>
    <x v="23"/>
    <x v="23"/>
    <x v="16"/>
    <x v="127"/>
    <x v="32"/>
    <x v="78"/>
    <x v="226"/>
    <x v="67"/>
    <x v="161"/>
    <x v="0"/>
  </r>
  <r>
    <x v="0"/>
    <x v="15"/>
    <x v="15"/>
    <x v="8"/>
    <x v="8"/>
    <x v="8"/>
    <x v="16"/>
    <x v="127"/>
    <x v="32"/>
    <x v="102"/>
    <x v="227"/>
    <x v="48"/>
    <x v="103"/>
    <x v="0"/>
  </r>
  <r>
    <x v="0"/>
    <x v="15"/>
    <x v="15"/>
    <x v="4"/>
    <x v="4"/>
    <x v="4"/>
    <x v="16"/>
    <x v="127"/>
    <x v="32"/>
    <x v="104"/>
    <x v="174"/>
    <x v="80"/>
    <x v="108"/>
    <x v="0"/>
  </r>
  <r>
    <x v="0"/>
    <x v="16"/>
    <x v="16"/>
    <x v="2"/>
    <x v="2"/>
    <x v="2"/>
    <x v="0"/>
    <x v="128"/>
    <x v="176"/>
    <x v="77"/>
    <x v="228"/>
    <x v="77"/>
    <x v="181"/>
    <x v="0"/>
  </r>
  <r>
    <x v="0"/>
    <x v="16"/>
    <x v="16"/>
    <x v="0"/>
    <x v="0"/>
    <x v="0"/>
    <x v="1"/>
    <x v="50"/>
    <x v="177"/>
    <x v="128"/>
    <x v="229"/>
    <x v="48"/>
    <x v="3"/>
    <x v="0"/>
  </r>
  <r>
    <x v="0"/>
    <x v="16"/>
    <x v="16"/>
    <x v="4"/>
    <x v="4"/>
    <x v="4"/>
    <x v="2"/>
    <x v="77"/>
    <x v="178"/>
    <x v="117"/>
    <x v="230"/>
    <x v="42"/>
    <x v="18"/>
    <x v="0"/>
  </r>
  <r>
    <x v="0"/>
    <x v="16"/>
    <x v="16"/>
    <x v="1"/>
    <x v="1"/>
    <x v="1"/>
    <x v="3"/>
    <x v="106"/>
    <x v="179"/>
    <x v="70"/>
    <x v="74"/>
    <x v="48"/>
    <x v="3"/>
    <x v="0"/>
  </r>
  <r>
    <x v="0"/>
    <x v="16"/>
    <x v="16"/>
    <x v="3"/>
    <x v="3"/>
    <x v="3"/>
    <x v="18"/>
    <x v="95"/>
    <x v="80"/>
    <x v="76"/>
    <x v="41"/>
    <x v="80"/>
    <x v="108"/>
    <x v="0"/>
  </r>
  <r>
    <x v="0"/>
    <x v="16"/>
    <x v="16"/>
    <x v="7"/>
    <x v="7"/>
    <x v="7"/>
    <x v="4"/>
    <x v="108"/>
    <x v="82"/>
    <x v="107"/>
    <x v="177"/>
    <x v="24"/>
    <x v="182"/>
    <x v="0"/>
  </r>
  <r>
    <x v="0"/>
    <x v="16"/>
    <x v="16"/>
    <x v="8"/>
    <x v="8"/>
    <x v="8"/>
    <x v="4"/>
    <x v="108"/>
    <x v="82"/>
    <x v="35"/>
    <x v="78"/>
    <x v="45"/>
    <x v="183"/>
    <x v="4"/>
  </r>
  <r>
    <x v="0"/>
    <x v="16"/>
    <x v="16"/>
    <x v="14"/>
    <x v="14"/>
    <x v="14"/>
    <x v="6"/>
    <x v="96"/>
    <x v="113"/>
    <x v="108"/>
    <x v="231"/>
    <x v="66"/>
    <x v="178"/>
    <x v="0"/>
  </r>
  <r>
    <x v="0"/>
    <x v="16"/>
    <x v="16"/>
    <x v="15"/>
    <x v="15"/>
    <x v="15"/>
    <x v="7"/>
    <x v="111"/>
    <x v="114"/>
    <x v="79"/>
    <x v="232"/>
    <x v="71"/>
    <x v="184"/>
    <x v="0"/>
  </r>
  <r>
    <x v="0"/>
    <x v="16"/>
    <x v="16"/>
    <x v="24"/>
    <x v="24"/>
    <x v="24"/>
    <x v="7"/>
    <x v="111"/>
    <x v="114"/>
    <x v="35"/>
    <x v="78"/>
    <x v="67"/>
    <x v="185"/>
    <x v="0"/>
  </r>
  <r>
    <x v="0"/>
    <x v="16"/>
    <x v="16"/>
    <x v="6"/>
    <x v="6"/>
    <x v="6"/>
    <x v="9"/>
    <x v="97"/>
    <x v="9"/>
    <x v="82"/>
    <x v="170"/>
    <x v="42"/>
    <x v="18"/>
    <x v="0"/>
  </r>
  <r>
    <x v="0"/>
    <x v="16"/>
    <x v="16"/>
    <x v="18"/>
    <x v="18"/>
    <x v="18"/>
    <x v="9"/>
    <x v="97"/>
    <x v="9"/>
    <x v="54"/>
    <x v="233"/>
    <x v="52"/>
    <x v="0"/>
    <x v="0"/>
  </r>
  <r>
    <x v="0"/>
    <x v="16"/>
    <x v="16"/>
    <x v="11"/>
    <x v="11"/>
    <x v="11"/>
    <x v="11"/>
    <x v="98"/>
    <x v="28"/>
    <x v="105"/>
    <x v="234"/>
    <x v="75"/>
    <x v="186"/>
    <x v="0"/>
  </r>
  <r>
    <x v="0"/>
    <x v="16"/>
    <x v="16"/>
    <x v="10"/>
    <x v="10"/>
    <x v="10"/>
    <x v="11"/>
    <x v="98"/>
    <x v="28"/>
    <x v="80"/>
    <x v="235"/>
    <x v="79"/>
    <x v="187"/>
    <x v="0"/>
  </r>
  <r>
    <x v="0"/>
    <x v="16"/>
    <x v="16"/>
    <x v="5"/>
    <x v="5"/>
    <x v="5"/>
    <x v="11"/>
    <x v="98"/>
    <x v="28"/>
    <x v="104"/>
    <x v="6"/>
    <x v="52"/>
    <x v="0"/>
    <x v="0"/>
  </r>
  <r>
    <x v="0"/>
    <x v="16"/>
    <x v="16"/>
    <x v="20"/>
    <x v="20"/>
    <x v="20"/>
    <x v="19"/>
    <x v="99"/>
    <x v="97"/>
    <x v="48"/>
    <x v="214"/>
    <x v="59"/>
    <x v="188"/>
    <x v="0"/>
  </r>
  <r>
    <x v="0"/>
    <x v="16"/>
    <x v="16"/>
    <x v="9"/>
    <x v="9"/>
    <x v="9"/>
    <x v="19"/>
    <x v="99"/>
    <x v="97"/>
    <x v="79"/>
    <x v="232"/>
    <x v="74"/>
    <x v="155"/>
    <x v="0"/>
  </r>
  <r>
    <x v="0"/>
    <x v="16"/>
    <x v="16"/>
    <x v="34"/>
    <x v="34"/>
    <x v="34"/>
    <x v="15"/>
    <x v="129"/>
    <x v="45"/>
    <x v="107"/>
    <x v="177"/>
    <x v="69"/>
    <x v="189"/>
    <x v="0"/>
  </r>
  <r>
    <x v="0"/>
    <x v="16"/>
    <x v="16"/>
    <x v="23"/>
    <x v="23"/>
    <x v="23"/>
    <x v="15"/>
    <x v="129"/>
    <x v="45"/>
    <x v="79"/>
    <x v="232"/>
    <x v="45"/>
    <x v="183"/>
    <x v="0"/>
  </r>
  <r>
    <x v="0"/>
    <x v="16"/>
    <x v="16"/>
    <x v="22"/>
    <x v="22"/>
    <x v="22"/>
    <x v="17"/>
    <x v="100"/>
    <x v="14"/>
    <x v="79"/>
    <x v="232"/>
    <x v="61"/>
    <x v="70"/>
    <x v="0"/>
  </r>
  <r>
    <x v="0"/>
    <x v="17"/>
    <x v="17"/>
    <x v="0"/>
    <x v="0"/>
    <x v="0"/>
    <x v="0"/>
    <x v="115"/>
    <x v="180"/>
    <x v="126"/>
    <x v="236"/>
    <x v="48"/>
    <x v="29"/>
    <x v="0"/>
  </r>
  <r>
    <x v="0"/>
    <x v="17"/>
    <x v="17"/>
    <x v="4"/>
    <x v="4"/>
    <x v="4"/>
    <x v="1"/>
    <x v="76"/>
    <x v="181"/>
    <x v="69"/>
    <x v="237"/>
    <x v="80"/>
    <x v="108"/>
    <x v="0"/>
  </r>
  <r>
    <x v="0"/>
    <x v="17"/>
    <x v="17"/>
    <x v="13"/>
    <x v="13"/>
    <x v="13"/>
    <x v="2"/>
    <x v="106"/>
    <x v="182"/>
    <x v="50"/>
    <x v="238"/>
    <x v="80"/>
    <x v="108"/>
    <x v="0"/>
  </r>
  <r>
    <x v="0"/>
    <x v="17"/>
    <x v="17"/>
    <x v="8"/>
    <x v="8"/>
    <x v="8"/>
    <x v="2"/>
    <x v="106"/>
    <x v="182"/>
    <x v="70"/>
    <x v="239"/>
    <x v="48"/>
    <x v="29"/>
    <x v="0"/>
  </r>
  <r>
    <x v="0"/>
    <x v="17"/>
    <x v="17"/>
    <x v="25"/>
    <x v="25"/>
    <x v="25"/>
    <x v="18"/>
    <x v="94"/>
    <x v="183"/>
    <x v="127"/>
    <x v="240"/>
    <x v="67"/>
    <x v="31"/>
    <x v="0"/>
  </r>
  <r>
    <x v="0"/>
    <x v="17"/>
    <x v="17"/>
    <x v="3"/>
    <x v="3"/>
    <x v="3"/>
    <x v="18"/>
    <x v="94"/>
    <x v="183"/>
    <x v="76"/>
    <x v="241"/>
    <x v="48"/>
    <x v="29"/>
    <x v="0"/>
  </r>
  <r>
    <x v="0"/>
    <x v="17"/>
    <x v="17"/>
    <x v="5"/>
    <x v="5"/>
    <x v="5"/>
    <x v="5"/>
    <x v="108"/>
    <x v="164"/>
    <x v="93"/>
    <x v="58"/>
    <x v="67"/>
    <x v="31"/>
    <x v="0"/>
  </r>
  <r>
    <x v="0"/>
    <x v="17"/>
    <x v="17"/>
    <x v="10"/>
    <x v="10"/>
    <x v="10"/>
    <x v="6"/>
    <x v="109"/>
    <x v="57"/>
    <x v="49"/>
    <x v="198"/>
    <x v="74"/>
    <x v="58"/>
    <x v="0"/>
  </r>
  <r>
    <x v="0"/>
    <x v="17"/>
    <x v="17"/>
    <x v="21"/>
    <x v="21"/>
    <x v="21"/>
    <x v="7"/>
    <x v="96"/>
    <x v="165"/>
    <x v="94"/>
    <x v="242"/>
    <x v="48"/>
    <x v="29"/>
    <x v="0"/>
  </r>
  <r>
    <x v="0"/>
    <x v="17"/>
    <x v="17"/>
    <x v="1"/>
    <x v="1"/>
    <x v="1"/>
    <x v="8"/>
    <x v="110"/>
    <x v="184"/>
    <x v="103"/>
    <x v="243"/>
    <x v="48"/>
    <x v="29"/>
    <x v="0"/>
  </r>
  <r>
    <x v="0"/>
    <x v="17"/>
    <x v="17"/>
    <x v="16"/>
    <x v="16"/>
    <x v="16"/>
    <x v="9"/>
    <x v="113"/>
    <x v="175"/>
    <x v="107"/>
    <x v="11"/>
    <x v="75"/>
    <x v="190"/>
    <x v="0"/>
  </r>
  <r>
    <x v="0"/>
    <x v="17"/>
    <x v="17"/>
    <x v="11"/>
    <x v="11"/>
    <x v="11"/>
    <x v="10"/>
    <x v="97"/>
    <x v="131"/>
    <x v="48"/>
    <x v="244"/>
    <x v="69"/>
    <x v="191"/>
    <x v="0"/>
  </r>
  <r>
    <x v="0"/>
    <x v="17"/>
    <x v="17"/>
    <x v="14"/>
    <x v="14"/>
    <x v="14"/>
    <x v="10"/>
    <x v="97"/>
    <x v="131"/>
    <x v="104"/>
    <x v="147"/>
    <x v="61"/>
    <x v="112"/>
    <x v="0"/>
  </r>
  <r>
    <x v="0"/>
    <x v="17"/>
    <x v="17"/>
    <x v="7"/>
    <x v="7"/>
    <x v="7"/>
    <x v="12"/>
    <x v="98"/>
    <x v="62"/>
    <x v="107"/>
    <x v="11"/>
    <x v="71"/>
    <x v="192"/>
    <x v="0"/>
  </r>
  <r>
    <x v="0"/>
    <x v="17"/>
    <x v="17"/>
    <x v="19"/>
    <x v="19"/>
    <x v="19"/>
    <x v="12"/>
    <x v="98"/>
    <x v="62"/>
    <x v="83"/>
    <x v="233"/>
    <x v="78"/>
    <x v="117"/>
    <x v="0"/>
  </r>
  <r>
    <x v="0"/>
    <x v="17"/>
    <x v="17"/>
    <x v="41"/>
    <x v="41"/>
    <x v="41"/>
    <x v="19"/>
    <x v="100"/>
    <x v="88"/>
    <x v="79"/>
    <x v="214"/>
    <x v="61"/>
    <x v="112"/>
    <x v="0"/>
  </r>
  <r>
    <x v="0"/>
    <x v="17"/>
    <x v="17"/>
    <x v="48"/>
    <x v="48"/>
    <x v="48"/>
    <x v="19"/>
    <x v="100"/>
    <x v="88"/>
    <x v="118"/>
    <x v="245"/>
    <x v="79"/>
    <x v="151"/>
    <x v="0"/>
  </r>
  <r>
    <x v="0"/>
    <x v="17"/>
    <x v="17"/>
    <x v="9"/>
    <x v="9"/>
    <x v="9"/>
    <x v="19"/>
    <x v="100"/>
    <x v="88"/>
    <x v="54"/>
    <x v="174"/>
    <x v="48"/>
    <x v="29"/>
    <x v="0"/>
  </r>
  <r>
    <x v="0"/>
    <x v="17"/>
    <x v="17"/>
    <x v="23"/>
    <x v="23"/>
    <x v="23"/>
    <x v="19"/>
    <x v="100"/>
    <x v="88"/>
    <x v="54"/>
    <x v="174"/>
    <x v="48"/>
    <x v="29"/>
    <x v="0"/>
  </r>
  <r>
    <x v="0"/>
    <x v="17"/>
    <x v="17"/>
    <x v="59"/>
    <x v="59"/>
    <x v="59"/>
    <x v="17"/>
    <x v="101"/>
    <x v="168"/>
    <x v="102"/>
    <x v="246"/>
    <x v="78"/>
    <x v="117"/>
    <x v="0"/>
  </r>
  <r>
    <x v="0"/>
    <x v="17"/>
    <x v="17"/>
    <x v="26"/>
    <x v="26"/>
    <x v="26"/>
    <x v="17"/>
    <x v="101"/>
    <x v="168"/>
    <x v="106"/>
    <x v="247"/>
    <x v="67"/>
    <x v="31"/>
    <x v="0"/>
  </r>
  <r>
    <x v="0"/>
    <x v="18"/>
    <x v="18"/>
    <x v="7"/>
    <x v="7"/>
    <x v="7"/>
    <x v="0"/>
    <x v="130"/>
    <x v="185"/>
    <x v="106"/>
    <x v="248"/>
    <x v="51"/>
    <x v="193"/>
    <x v="0"/>
  </r>
  <r>
    <x v="0"/>
    <x v="18"/>
    <x v="18"/>
    <x v="1"/>
    <x v="1"/>
    <x v="1"/>
    <x v="1"/>
    <x v="92"/>
    <x v="126"/>
    <x v="117"/>
    <x v="249"/>
    <x v="48"/>
    <x v="194"/>
    <x v="0"/>
  </r>
  <r>
    <x v="0"/>
    <x v="18"/>
    <x v="18"/>
    <x v="0"/>
    <x v="0"/>
    <x v="0"/>
    <x v="2"/>
    <x v="94"/>
    <x v="171"/>
    <x v="101"/>
    <x v="250"/>
    <x v="42"/>
    <x v="195"/>
    <x v="0"/>
  </r>
  <r>
    <x v="0"/>
    <x v="18"/>
    <x v="18"/>
    <x v="4"/>
    <x v="4"/>
    <x v="4"/>
    <x v="3"/>
    <x v="109"/>
    <x v="1"/>
    <x v="94"/>
    <x v="251"/>
    <x v="78"/>
    <x v="196"/>
    <x v="0"/>
  </r>
  <r>
    <x v="0"/>
    <x v="18"/>
    <x v="18"/>
    <x v="3"/>
    <x v="3"/>
    <x v="3"/>
    <x v="18"/>
    <x v="111"/>
    <x v="52"/>
    <x v="84"/>
    <x v="252"/>
    <x v="78"/>
    <x v="196"/>
    <x v="0"/>
  </r>
  <r>
    <x v="0"/>
    <x v="18"/>
    <x v="18"/>
    <x v="5"/>
    <x v="5"/>
    <x v="5"/>
    <x v="4"/>
    <x v="112"/>
    <x v="69"/>
    <x v="49"/>
    <x v="253"/>
    <x v="42"/>
    <x v="195"/>
    <x v="0"/>
  </r>
  <r>
    <x v="0"/>
    <x v="18"/>
    <x v="18"/>
    <x v="6"/>
    <x v="6"/>
    <x v="6"/>
    <x v="5"/>
    <x v="97"/>
    <x v="138"/>
    <x v="78"/>
    <x v="254"/>
    <x v="59"/>
    <x v="197"/>
    <x v="0"/>
  </r>
  <r>
    <x v="0"/>
    <x v="18"/>
    <x v="18"/>
    <x v="18"/>
    <x v="18"/>
    <x v="18"/>
    <x v="5"/>
    <x v="97"/>
    <x v="138"/>
    <x v="54"/>
    <x v="255"/>
    <x v="52"/>
    <x v="106"/>
    <x v="0"/>
  </r>
  <r>
    <x v="0"/>
    <x v="18"/>
    <x v="18"/>
    <x v="11"/>
    <x v="11"/>
    <x v="11"/>
    <x v="7"/>
    <x v="129"/>
    <x v="6"/>
    <x v="105"/>
    <x v="256"/>
    <x v="79"/>
    <x v="198"/>
    <x v="0"/>
  </r>
  <r>
    <x v="0"/>
    <x v="18"/>
    <x v="18"/>
    <x v="10"/>
    <x v="10"/>
    <x v="10"/>
    <x v="7"/>
    <x v="129"/>
    <x v="6"/>
    <x v="107"/>
    <x v="257"/>
    <x v="69"/>
    <x v="75"/>
    <x v="0"/>
  </r>
  <r>
    <x v="0"/>
    <x v="18"/>
    <x v="18"/>
    <x v="35"/>
    <x v="35"/>
    <x v="35"/>
    <x v="7"/>
    <x v="129"/>
    <x v="6"/>
    <x v="105"/>
    <x v="256"/>
    <x v="79"/>
    <x v="198"/>
    <x v="0"/>
  </r>
  <r>
    <x v="0"/>
    <x v="18"/>
    <x v="18"/>
    <x v="44"/>
    <x v="44"/>
    <x v="44"/>
    <x v="10"/>
    <x v="101"/>
    <x v="62"/>
    <x v="48"/>
    <x v="135"/>
    <x v="61"/>
    <x v="199"/>
    <x v="0"/>
  </r>
  <r>
    <x v="0"/>
    <x v="18"/>
    <x v="18"/>
    <x v="2"/>
    <x v="2"/>
    <x v="2"/>
    <x v="10"/>
    <x v="101"/>
    <x v="62"/>
    <x v="102"/>
    <x v="258"/>
    <x v="78"/>
    <x v="196"/>
    <x v="0"/>
  </r>
  <r>
    <x v="0"/>
    <x v="18"/>
    <x v="18"/>
    <x v="12"/>
    <x v="12"/>
    <x v="12"/>
    <x v="12"/>
    <x v="127"/>
    <x v="140"/>
    <x v="80"/>
    <x v="259"/>
    <x v="45"/>
    <x v="200"/>
    <x v="0"/>
  </r>
  <r>
    <x v="0"/>
    <x v="18"/>
    <x v="18"/>
    <x v="38"/>
    <x v="38"/>
    <x v="38"/>
    <x v="12"/>
    <x v="127"/>
    <x v="140"/>
    <x v="118"/>
    <x v="260"/>
    <x v="26"/>
    <x v="201"/>
    <x v="0"/>
  </r>
  <r>
    <x v="0"/>
    <x v="18"/>
    <x v="18"/>
    <x v="20"/>
    <x v="20"/>
    <x v="20"/>
    <x v="19"/>
    <x v="102"/>
    <x v="10"/>
    <x v="80"/>
    <x v="259"/>
    <x v="61"/>
    <x v="199"/>
    <x v="0"/>
  </r>
  <r>
    <x v="0"/>
    <x v="18"/>
    <x v="18"/>
    <x v="9"/>
    <x v="9"/>
    <x v="9"/>
    <x v="19"/>
    <x v="102"/>
    <x v="10"/>
    <x v="108"/>
    <x v="261"/>
    <x v="52"/>
    <x v="106"/>
    <x v="0"/>
  </r>
  <r>
    <x v="0"/>
    <x v="18"/>
    <x v="18"/>
    <x v="8"/>
    <x v="8"/>
    <x v="8"/>
    <x v="19"/>
    <x v="102"/>
    <x v="10"/>
    <x v="106"/>
    <x v="248"/>
    <x v="48"/>
    <x v="194"/>
    <x v="0"/>
  </r>
  <r>
    <x v="0"/>
    <x v="18"/>
    <x v="18"/>
    <x v="60"/>
    <x v="60"/>
    <x v="60"/>
    <x v="16"/>
    <x v="103"/>
    <x v="141"/>
    <x v="118"/>
    <x v="260"/>
    <x v="74"/>
    <x v="173"/>
    <x v="0"/>
  </r>
  <r>
    <x v="0"/>
    <x v="18"/>
    <x v="18"/>
    <x v="41"/>
    <x v="41"/>
    <x v="41"/>
    <x v="16"/>
    <x v="103"/>
    <x v="141"/>
    <x v="48"/>
    <x v="135"/>
    <x v="67"/>
    <x v="202"/>
    <x v="0"/>
  </r>
  <r>
    <x v="0"/>
    <x v="19"/>
    <x v="19"/>
    <x v="0"/>
    <x v="0"/>
    <x v="0"/>
    <x v="0"/>
    <x v="123"/>
    <x v="186"/>
    <x v="120"/>
    <x v="262"/>
    <x v="78"/>
    <x v="42"/>
    <x v="0"/>
  </r>
  <r>
    <x v="0"/>
    <x v="19"/>
    <x v="19"/>
    <x v="1"/>
    <x v="1"/>
    <x v="1"/>
    <x v="1"/>
    <x v="131"/>
    <x v="143"/>
    <x v="25"/>
    <x v="263"/>
    <x v="48"/>
    <x v="203"/>
    <x v="4"/>
  </r>
  <r>
    <x v="0"/>
    <x v="19"/>
    <x v="19"/>
    <x v="25"/>
    <x v="25"/>
    <x v="25"/>
    <x v="2"/>
    <x v="124"/>
    <x v="187"/>
    <x v="91"/>
    <x v="57"/>
    <x v="45"/>
    <x v="170"/>
    <x v="4"/>
  </r>
  <r>
    <x v="0"/>
    <x v="19"/>
    <x v="19"/>
    <x v="10"/>
    <x v="10"/>
    <x v="10"/>
    <x v="3"/>
    <x v="46"/>
    <x v="188"/>
    <x v="53"/>
    <x v="264"/>
    <x v="66"/>
    <x v="47"/>
    <x v="0"/>
  </r>
  <r>
    <x v="0"/>
    <x v="19"/>
    <x v="19"/>
    <x v="5"/>
    <x v="5"/>
    <x v="5"/>
    <x v="18"/>
    <x v="115"/>
    <x v="37"/>
    <x v="128"/>
    <x v="139"/>
    <x v="61"/>
    <x v="195"/>
    <x v="0"/>
  </r>
  <r>
    <x v="0"/>
    <x v="19"/>
    <x v="19"/>
    <x v="7"/>
    <x v="7"/>
    <x v="7"/>
    <x v="4"/>
    <x v="83"/>
    <x v="189"/>
    <x v="103"/>
    <x v="36"/>
    <x v="51"/>
    <x v="204"/>
    <x v="0"/>
  </r>
  <r>
    <x v="0"/>
    <x v="19"/>
    <x v="19"/>
    <x v="3"/>
    <x v="3"/>
    <x v="3"/>
    <x v="5"/>
    <x v="50"/>
    <x v="3"/>
    <x v="77"/>
    <x v="2"/>
    <x v="78"/>
    <x v="42"/>
    <x v="0"/>
  </r>
  <r>
    <x v="0"/>
    <x v="19"/>
    <x v="19"/>
    <x v="4"/>
    <x v="4"/>
    <x v="4"/>
    <x v="6"/>
    <x v="73"/>
    <x v="22"/>
    <x v="53"/>
    <x v="264"/>
    <x v="48"/>
    <x v="203"/>
    <x v="0"/>
  </r>
  <r>
    <x v="0"/>
    <x v="19"/>
    <x v="19"/>
    <x v="8"/>
    <x v="8"/>
    <x v="8"/>
    <x v="7"/>
    <x v="130"/>
    <x v="190"/>
    <x v="66"/>
    <x v="265"/>
    <x v="48"/>
    <x v="203"/>
    <x v="0"/>
  </r>
  <r>
    <x v="0"/>
    <x v="19"/>
    <x v="19"/>
    <x v="13"/>
    <x v="13"/>
    <x v="13"/>
    <x v="8"/>
    <x v="85"/>
    <x v="191"/>
    <x v="113"/>
    <x v="248"/>
    <x v="80"/>
    <x v="108"/>
    <x v="0"/>
  </r>
  <r>
    <x v="0"/>
    <x v="19"/>
    <x v="19"/>
    <x v="9"/>
    <x v="9"/>
    <x v="9"/>
    <x v="9"/>
    <x v="105"/>
    <x v="192"/>
    <x v="93"/>
    <x v="266"/>
    <x v="71"/>
    <x v="67"/>
    <x v="0"/>
  </r>
  <r>
    <x v="0"/>
    <x v="19"/>
    <x v="19"/>
    <x v="11"/>
    <x v="11"/>
    <x v="11"/>
    <x v="10"/>
    <x v="106"/>
    <x v="27"/>
    <x v="106"/>
    <x v="7"/>
    <x v="24"/>
    <x v="205"/>
    <x v="0"/>
  </r>
  <r>
    <x v="0"/>
    <x v="19"/>
    <x v="19"/>
    <x v="26"/>
    <x v="26"/>
    <x v="26"/>
    <x v="11"/>
    <x v="93"/>
    <x v="104"/>
    <x v="76"/>
    <x v="267"/>
    <x v="78"/>
    <x v="42"/>
    <x v="0"/>
  </r>
  <r>
    <x v="0"/>
    <x v="19"/>
    <x v="19"/>
    <x v="21"/>
    <x v="21"/>
    <x v="21"/>
    <x v="11"/>
    <x v="93"/>
    <x v="104"/>
    <x v="55"/>
    <x v="218"/>
    <x v="48"/>
    <x v="203"/>
    <x v="0"/>
  </r>
  <r>
    <x v="0"/>
    <x v="19"/>
    <x v="19"/>
    <x v="12"/>
    <x v="12"/>
    <x v="12"/>
    <x v="13"/>
    <x v="94"/>
    <x v="193"/>
    <x v="54"/>
    <x v="200"/>
    <x v="43"/>
    <x v="206"/>
    <x v="0"/>
  </r>
  <r>
    <x v="0"/>
    <x v="19"/>
    <x v="19"/>
    <x v="19"/>
    <x v="19"/>
    <x v="19"/>
    <x v="13"/>
    <x v="94"/>
    <x v="193"/>
    <x v="72"/>
    <x v="226"/>
    <x v="59"/>
    <x v="199"/>
    <x v="0"/>
  </r>
  <r>
    <x v="0"/>
    <x v="19"/>
    <x v="19"/>
    <x v="61"/>
    <x v="61"/>
    <x v="61"/>
    <x v="14"/>
    <x v="95"/>
    <x v="194"/>
    <x v="93"/>
    <x v="266"/>
    <x v="52"/>
    <x v="78"/>
    <x v="0"/>
  </r>
  <r>
    <x v="0"/>
    <x v="19"/>
    <x v="19"/>
    <x v="18"/>
    <x v="18"/>
    <x v="18"/>
    <x v="15"/>
    <x v="117"/>
    <x v="32"/>
    <x v="61"/>
    <x v="183"/>
    <x v="74"/>
    <x v="207"/>
    <x v="0"/>
  </r>
  <r>
    <x v="0"/>
    <x v="19"/>
    <x v="19"/>
    <x v="45"/>
    <x v="45"/>
    <x v="45"/>
    <x v="16"/>
    <x v="109"/>
    <x v="99"/>
    <x v="35"/>
    <x v="19"/>
    <x v="61"/>
    <x v="195"/>
    <x v="0"/>
  </r>
  <r>
    <x v="0"/>
    <x v="19"/>
    <x v="19"/>
    <x v="62"/>
    <x v="62"/>
    <x v="62"/>
    <x v="16"/>
    <x v="109"/>
    <x v="99"/>
    <x v="105"/>
    <x v="268"/>
    <x v="67"/>
    <x v="196"/>
    <x v="0"/>
  </r>
  <r>
    <x v="0"/>
    <x v="20"/>
    <x v="20"/>
    <x v="0"/>
    <x v="0"/>
    <x v="0"/>
    <x v="0"/>
    <x v="132"/>
    <x v="195"/>
    <x v="64"/>
    <x v="269"/>
    <x v="78"/>
    <x v="208"/>
    <x v="0"/>
  </r>
  <r>
    <x v="0"/>
    <x v="20"/>
    <x v="20"/>
    <x v="1"/>
    <x v="1"/>
    <x v="1"/>
    <x v="1"/>
    <x v="133"/>
    <x v="196"/>
    <x v="51"/>
    <x v="270"/>
    <x v="48"/>
    <x v="209"/>
    <x v="0"/>
  </r>
  <r>
    <x v="0"/>
    <x v="20"/>
    <x v="20"/>
    <x v="2"/>
    <x v="2"/>
    <x v="2"/>
    <x v="2"/>
    <x v="49"/>
    <x v="178"/>
    <x v="115"/>
    <x v="271"/>
    <x v="42"/>
    <x v="143"/>
    <x v="0"/>
  </r>
  <r>
    <x v="0"/>
    <x v="20"/>
    <x v="20"/>
    <x v="3"/>
    <x v="3"/>
    <x v="3"/>
    <x v="3"/>
    <x v="126"/>
    <x v="137"/>
    <x v="109"/>
    <x v="272"/>
    <x v="78"/>
    <x v="208"/>
    <x v="0"/>
  </r>
  <r>
    <x v="0"/>
    <x v="20"/>
    <x v="20"/>
    <x v="5"/>
    <x v="5"/>
    <x v="5"/>
    <x v="18"/>
    <x v="105"/>
    <x v="197"/>
    <x v="50"/>
    <x v="273"/>
    <x v="42"/>
    <x v="143"/>
    <x v="0"/>
  </r>
  <r>
    <x v="0"/>
    <x v="20"/>
    <x v="20"/>
    <x v="4"/>
    <x v="4"/>
    <x v="4"/>
    <x v="18"/>
    <x v="105"/>
    <x v="197"/>
    <x v="95"/>
    <x v="274"/>
    <x v="80"/>
    <x v="108"/>
    <x v="0"/>
  </r>
  <r>
    <x v="0"/>
    <x v="20"/>
    <x v="20"/>
    <x v="10"/>
    <x v="10"/>
    <x v="10"/>
    <x v="5"/>
    <x v="92"/>
    <x v="198"/>
    <x v="94"/>
    <x v="215"/>
    <x v="71"/>
    <x v="210"/>
    <x v="0"/>
  </r>
  <r>
    <x v="0"/>
    <x v="20"/>
    <x v="20"/>
    <x v="7"/>
    <x v="7"/>
    <x v="7"/>
    <x v="6"/>
    <x v="116"/>
    <x v="23"/>
    <x v="78"/>
    <x v="275"/>
    <x v="76"/>
    <x v="211"/>
    <x v="0"/>
  </r>
  <r>
    <x v="0"/>
    <x v="20"/>
    <x v="20"/>
    <x v="8"/>
    <x v="8"/>
    <x v="8"/>
    <x v="7"/>
    <x v="95"/>
    <x v="191"/>
    <x v="52"/>
    <x v="276"/>
    <x v="48"/>
    <x v="209"/>
    <x v="0"/>
  </r>
  <r>
    <x v="0"/>
    <x v="20"/>
    <x v="20"/>
    <x v="41"/>
    <x v="41"/>
    <x v="41"/>
    <x v="8"/>
    <x v="107"/>
    <x v="147"/>
    <x v="83"/>
    <x v="66"/>
    <x v="79"/>
    <x v="147"/>
    <x v="0"/>
  </r>
  <r>
    <x v="0"/>
    <x v="20"/>
    <x v="20"/>
    <x v="6"/>
    <x v="6"/>
    <x v="6"/>
    <x v="9"/>
    <x v="108"/>
    <x v="96"/>
    <x v="83"/>
    <x v="66"/>
    <x v="69"/>
    <x v="212"/>
    <x v="0"/>
  </r>
  <r>
    <x v="0"/>
    <x v="20"/>
    <x v="20"/>
    <x v="16"/>
    <x v="16"/>
    <x v="16"/>
    <x v="10"/>
    <x v="117"/>
    <x v="85"/>
    <x v="48"/>
    <x v="7"/>
    <x v="66"/>
    <x v="213"/>
    <x v="0"/>
  </r>
  <r>
    <x v="0"/>
    <x v="20"/>
    <x v="20"/>
    <x v="25"/>
    <x v="25"/>
    <x v="25"/>
    <x v="10"/>
    <x v="117"/>
    <x v="85"/>
    <x v="83"/>
    <x v="66"/>
    <x v="26"/>
    <x v="214"/>
    <x v="0"/>
  </r>
  <r>
    <x v="0"/>
    <x v="20"/>
    <x v="20"/>
    <x v="11"/>
    <x v="11"/>
    <x v="11"/>
    <x v="12"/>
    <x v="96"/>
    <x v="199"/>
    <x v="107"/>
    <x v="277"/>
    <x v="30"/>
    <x v="215"/>
    <x v="0"/>
  </r>
  <r>
    <x v="0"/>
    <x v="20"/>
    <x v="20"/>
    <x v="13"/>
    <x v="13"/>
    <x v="13"/>
    <x v="12"/>
    <x v="96"/>
    <x v="199"/>
    <x v="72"/>
    <x v="6"/>
    <x v="67"/>
    <x v="216"/>
    <x v="0"/>
  </r>
  <r>
    <x v="0"/>
    <x v="20"/>
    <x v="20"/>
    <x v="21"/>
    <x v="21"/>
    <x v="21"/>
    <x v="12"/>
    <x v="96"/>
    <x v="199"/>
    <x v="93"/>
    <x v="278"/>
    <x v="80"/>
    <x v="108"/>
    <x v="0"/>
  </r>
  <r>
    <x v="0"/>
    <x v="20"/>
    <x v="20"/>
    <x v="26"/>
    <x v="26"/>
    <x v="26"/>
    <x v="14"/>
    <x v="111"/>
    <x v="97"/>
    <x v="82"/>
    <x v="279"/>
    <x v="45"/>
    <x v="84"/>
    <x v="0"/>
  </r>
  <r>
    <x v="0"/>
    <x v="20"/>
    <x v="20"/>
    <x v="12"/>
    <x v="12"/>
    <x v="12"/>
    <x v="15"/>
    <x v="112"/>
    <x v="158"/>
    <x v="78"/>
    <x v="275"/>
    <x v="69"/>
    <x v="212"/>
    <x v="0"/>
  </r>
  <r>
    <x v="0"/>
    <x v="20"/>
    <x v="20"/>
    <x v="19"/>
    <x v="19"/>
    <x v="19"/>
    <x v="15"/>
    <x v="112"/>
    <x v="158"/>
    <x v="106"/>
    <x v="231"/>
    <x v="26"/>
    <x v="214"/>
    <x v="0"/>
  </r>
  <r>
    <x v="0"/>
    <x v="20"/>
    <x v="20"/>
    <x v="45"/>
    <x v="45"/>
    <x v="45"/>
    <x v="15"/>
    <x v="112"/>
    <x v="158"/>
    <x v="61"/>
    <x v="280"/>
    <x v="67"/>
    <x v="216"/>
    <x v="0"/>
  </r>
  <r>
    <x v="0"/>
    <x v="21"/>
    <x v="21"/>
    <x v="0"/>
    <x v="0"/>
    <x v="0"/>
    <x v="0"/>
    <x v="91"/>
    <x v="200"/>
    <x v="71"/>
    <x v="281"/>
    <x v="67"/>
    <x v="128"/>
    <x v="0"/>
  </r>
  <r>
    <x v="0"/>
    <x v="21"/>
    <x v="21"/>
    <x v="6"/>
    <x v="6"/>
    <x v="6"/>
    <x v="1"/>
    <x v="105"/>
    <x v="201"/>
    <x v="55"/>
    <x v="282"/>
    <x v="45"/>
    <x v="217"/>
    <x v="0"/>
  </r>
  <r>
    <x v="0"/>
    <x v="21"/>
    <x v="21"/>
    <x v="3"/>
    <x v="3"/>
    <x v="3"/>
    <x v="2"/>
    <x v="106"/>
    <x v="202"/>
    <x v="50"/>
    <x v="283"/>
    <x v="80"/>
    <x v="108"/>
    <x v="0"/>
  </r>
  <r>
    <x v="0"/>
    <x v="21"/>
    <x v="21"/>
    <x v="26"/>
    <x v="26"/>
    <x v="26"/>
    <x v="3"/>
    <x v="107"/>
    <x v="163"/>
    <x v="93"/>
    <x v="284"/>
    <x v="42"/>
    <x v="118"/>
    <x v="0"/>
  </r>
  <r>
    <x v="0"/>
    <x v="21"/>
    <x v="21"/>
    <x v="1"/>
    <x v="1"/>
    <x v="1"/>
    <x v="3"/>
    <x v="107"/>
    <x v="163"/>
    <x v="127"/>
    <x v="285"/>
    <x v="48"/>
    <x v="4"/>
    <x v="0"/>
  </r>
  <r>
    <x v="0"/>
    <x v="21"/>
    <x v="21"/>
    <x v="19"/>
    <x v="19"/>
    <x v="19"/>
    <x v="4"/>
    <x v="117"/>
    <x v="20"/>
    <x v="104"/>
    <x v="286"/>
    <x v="71"/>
    <x v="218"/>
    <x v="0"/>
  </r>
  <r>
    <x v="0"/>
    <x v="21"/>
    <x v="21"/>
    <x v="5"/>
    <x v="5"/>
    <x v="5"/>
    <x v="5"/>
    <x v="111"/>
    <x v="112"/>
    <x v="84"/>
    <x v="121"/>
    <x v="78"/>
    <x v="219"/>
    <x v="0"/>
  </r>
  <r>
    <x v="0"/>
    <x v="21"/>
    <x v="21"/>
    <x v="7"/>
    <x v="7"/>
    <x v="7"/>
    <x v="6"/>
    <x v="112"/>
    <x v="203"/>
    <x v="80"/>
    <x v="235"/>
    <x v="54"/>
    <x v="220"/>
    <x v="0"/>
  </r>
  <r>
    <x v="0"/>
    <x v="21"/>
    <x v="21"/>
    <x v="4"/>
    <x v="4"/>
    <x v="4"/>
    <x v="7"/>
    <x v="113"/>
    <x v="59"/>
    <x v="35"/>
    <x v="287"/>
    <x v="48"/>
    <x v="4"/>
    <x v="0"/>
  </r>
  <r>
    <x v="0"/>
    <x v="21"/>
    <x v="21"/>
    <x v="48"/>
    <x v="48"/>
    <x v="48"/>
    <x v="8"/>
    <x v="97"/>
    <x v="103"/>
    <x v="79"/>
    <x v="232"/>
    <x v="26"/>
    <x v="221"/>
    <x v="0"/>
  </r>
  <r>
    <x v="0"/>
    <x v="21"/>
    <x v="21"/>
    <x v="9"/>
    <x v="9"/>
    <x v="9"/>
    <x v="8"/>
    <x v="97"/>
    <x v="103"/>
    <x v="83"/>
    <x v="219"/>
    <x v="67"/>
    <x v="128"/>
    <x v="0"/>
  </r>
  <r>
    <x v="0"/>
    <x v="21"/>
    <x v="21"/>
    <x v="34"/>
    <x v="34"/>
    <x v="34"/>
    <x v="10"/>
    <x v="99"/>
    <x v="204"/>
    <x v="107"/>
    <x v="177"/>
    <x v="79"/>
    <x v="222"/>
    <x v="0"/>
  </r>
  <r>
    <x v="0"/>
    <x v="21"/>
    <x v="21"/>
    <x v="11"/>
    <x v="11"/>
    <x v="11"/>
    <x v="11"/>
    <x v="129"/>
    <x v="205"/>
    <x v="105"/>
    <x v="234"/>
    <x v="79"/>
    <x v="222"/>
    <x v="0"/>
  </r>
  <r>
    <x v="0"/>
    <x v="21"/>
    <x v="21"/>
    <x v="10"/>
    <x v="10"/>
    <x v="10"/>
    <x v="11"/>
    <x v="129"/>
    <x v="205"/>
    <x v="104"/>
    <x v="286"/>
    <x v="67"/>
    <x v="128"/>
    <x v="0"/>
  </r>
  <r>
    <x v="0"/>
    <x v="21"/>
    <x v="21"/>
    <x v="16"/>
    <x v="16"/>
    <x v="16"/>
    <x v="13"/>
    <x v="100"/>
    <x v="87"/>
    <x v="79"/>
    <x v="232"/>
    <x v="67"/>
    <x v="128"/>
    <x v="0"/>
  </r>
  <r>
    <x v="0"/>
    <x v="21"/>
    <x v="21"/>
    <x v="41"/>
    <x v="41"/>
    <x v="41"/>
    <x v="19"/>
    <x v="101"/>
    <x v="30"/>
    <x v="102"/>
    <x v="27"/>
    <x v="78"/>
    <x v="219"/>
    <x v="0"/>
  </r>
  <r>
    <x v="0"/>
    <x v="21"/>
    <x v="21"/>
    <x v="8"/>
    <x v="8"/>
    <x v="8"/>
    <x v="19"/>
    <x v="101"/>
    <x v="30"/>
    <x v="78"/>
    <x v="66"/>
    <x v="42"/>
    <x v="118"/>
    <x v="0"/>
  </r>
  <r>
    <x v="0"/>
    <x v="21"/>
    <x v="21"/>
    <x v="47"/>
    <x v="47"/>
    <x v="47"/>
    <x v="15"/>
    <x v="127"/>
    <x v="13"/>
    <x v="80"/>
    <x v="235"/>
    <x v="45"/>
    <x v="217"/>
    <x v="0"/>
  </r>
  <r>
    <x v="0"/>
    <x v="21"/>
    <x v="21"/>
    <x v="12"/>
    <x v="12"/>
    <x v="12"/>
    <x v="16"/>
    <x v="103"/>
    <x v="149"/>
    <x v="108"/>
    <x v="288"/>
    <x v="42"/>
    <x v="118"/>
    <x v="0"/>
  </r>
  <r>
    <x v="0"/>
    <x v="21"/>
    <x v="21"/>
    <x v="20"/>
    <x v="20"/>
    <x v="20"/>
    <x v="16"/>
    <x v="103"/>
    <x v="149"/>
    <x v="79"/>
    <x v="232"/>
    <x v="78"/>
    <x v="219"/>
    <x v="0"/>
  </r>
  <r>
    <x v="0"/>
    <x v="21"/>
    <x v="21"/>
    <x v="59"/>
    <x v="59"/>
    <x v="59"/>
    <x v="16"/>
    <x v="103"/>
    <x v="149"/>
    <x v="78"/>
    <x v="66"/>
    <x v="48"/>
    <x v="4"/>
    <x v="0"/>
  </r>
  <r>
    <x v="0"/>
    <x v="21"/>
    <x v="21"/>
    <x v="63"/>
    <x v="63"/>
    <x v="63"/>
    <x v="16"/>
    <x v="103"/>
    <x v="149"/>
    <x v="79"/>
    <x v="232"/>
    <x v="78"/>
    <x v="219"/>
    <x v="0"/>
  </r>
  <r>
    <x v="0"/>
    <x v="22"/>
    <x v="22"/>
    <x v="2"/>
    <x v="2"/>
    <x v="2"/>
    <x v="0"/>
    <x v="48"/>
    <x v="206"/>
    <x v="66"/>
    <x v="289"/>
    <x v="31"/>
    <x v="223"/>
    <x v="0"/>
  </r>
  <r>
    <x v="0"/>
    <x v="22"/>
    <x v="22"/>
    <x v="15"/>
    <x v="15"/>
    <x v="15"/>
    <x v="1"/>
    <x v="126"/>
    <x v="207"/>
    <x v="66"/>
    <x v="289"/>
    <x v="67"/>
    <x v="159"/>
    <x v="0"/>
  </r>
  <r>
    <x v="0"/>
    <x v="22"/>
    <x v="22"/>
    <x v="6"/>
    <x v="6"/>
    <x v="6"/>
    <x v="2"/>
    <x v="75"/>
    <x v="208"/>
    <x v="93"/>
    <x v="238"/>
    <x v="31"/>
    <x v="223"/>
    <x v="0"/>
  </r>
  <r>
    <x v="0"/>
    <x v="22"/>
    <x v="22"/>
    <x v="0"/>
    <x v="0"/>
    <x v="0"/>
    <x v="3"/>
    <x v="107"/>
    <x v="209"/>
    <x v="94"/>
    <x v="44"/>
    <x v="52"/>
    <x v="17"/>
    <x v="0"/>
  </r>
  <r>
    <x v="0"/>
    <x v="22"/>
    <x v="22"/>
    <x v="1"/>
    <x v="1"/>
    <x v="1"/>
    <x v="18"/>
    <x v="108"/>
    <x v="210"/>
    <x v="101"/>
    <x v="290"/>
    <x v="48"/>
    <x v="152"/>
    <x v="0"/>
  </r>
  <r>
    <x v="0"/>
    <x v="22"/>
    <x v="22"/>
    <x v="4"/>
    <x v="4"/>
    <x v="4"/>
    <x v="4"/>
    <x v="109"/>
    <x v="211"/>
    <x v="93"/>
    <x v="238"/>
    <x v="48"/>
    <x v="152"/>
    <x v="0"/>
  </r>
  <r>
    <x v="0"/>
    <x v="22"/>
    <x v="22"/>
    <x v="20"/>
    <x v="20"/>
    <x v="20"/>
    <x v="5"/>
    <x v="110"/>
    <x v="198"/>
    <x v="79"/>
    <x v="266"/>
    <x v="75"/>
    <x v="224"/>
    <x v="0"/>
  </r>
  <r>
    <x v="0"/>
    <x v="22"/>
    <x v="22"/>
    <x v="18"/>
    <x v="18"/>
    <x v="18"/>
    <x v="6"/>
    <x v="98"/>
    <x v="147"/>
    <x v="104"/>
    <x v="291"/>
    <x v="52"/>
    <x v="17"/>
    <x v="0"/>
  </r>
  <r>
    <x v="0"/>
    <x v="22"/>
    <x v="22"/>
    <x v="34"/>
    <x v="34"/>
    <x v="34"/>
    <x v="7"/>
    <x v="99"/>
    <x v="212"/>
    <x v="48"/>
    <x v="226"/>
    <x v="59"/>
    <x v="148"/>
    <x v="0"/>
  </r>
  <r>
    <x v="0"/>
    <x v="22"/>
    <x v="22"/>
    <x v="8"/>
    <x v="8"/>
    <x v="8"/>
    <x v="7"/>
    <x v="99"/>
    <x v="212"/>
    <x v="54"/>
    <x v="122"/>
    <x v="67"/>
    <x v="159"/>
    <x v="0"/>
  </r>
  <r>
    <x v="0"/>
    <x v="22"/>
    <x v="22"/>
    <x v="11"/>
    <x v="11"/>
    <x v="11"/>
    <x v="9"/>
    <x v="100"/>
    <x v="28"/>
    <x v="118"/>
    <x v="277"/>
    <x v="79"/>
    <x v="124"/>
    <x v="0"/>
  </r>
  <r>
    <x v="0"/>
    <x v="22"/>
    <x v="22"/>
    <x v="3"/>
    <x v="3"/>
    <x v="3"/>
    <x v="10"/>
    <x v="101"/>
    <x v="11"/>
    <x v="104"/>
    <x v="291"/>
    <x v="48"/>
    <x v="152"/>
    <x v="0"/>
  </r>
  <r>
    <x v="0"/>
    <x v="22"/>
    <x v="22"/>
    <x v="44"/>
    <x v="44"/>
    <x v="44"/>
    <x v="11"/>
    <x v="127"/>
    <x v="105"/>
    <x v="107"/>
    <x v="212"/>
    <x v="74"/>
    <x v="33"/>
    <x v="0"/>
  </r>
  <r>
    <x v="0"/>
    <x v="22"/>
    <x v="22"/>
    <x v="32"/>
    <x v="32"/>
    <x v="32"/>
    <x v="11"/>
    <x v="127"/>
    <x v="105"/>
    <x v="129"/>
    <x v="292"/>
    <x v="69"/>
    <x v="225"/>
    <x v="0"/>
  </r>
  <r>
    <x v="0"/>
    <x v="22"/>
    <x v="22"/>
    <x v="58"/>
    <x v="58"/>
    <x v="58"/>
    <x v="13"/>
    <x v="102"/>
    <x v="33"/>
    <x v="107"/>
    <x v="212"/>
    <x v="45"/>
    <x v="51"/>
    <x v="0"/>
  </r>
  <r>
    <x v="0"/>
    <x v="22"/>
    <x v="22"/>
    <x v="38"/>
    <x v="38"/>
    <x v="38"/>
    <x v="13"/>
    <x v="102"/>
    <x v="33"/>
    <x v="105"/>
    <x v="293"/>
    <x v="74"/>
    <x v="33"/>
    <x v="0"/>
  </r>
  <r>
    <x v="0"/>
    <x v="22"/>
    <x v="22"/>
    <x v="5"/>
    <x v="5"/>
    <x v="5"/>
    <x v="13"/>
    <x v="102"/>
    <x v="33"/>
    <x v="78"/>
    <x v="9"/>
    <x v="78"/>
    <x v="226"/>
    <x v="0"/>
  </r>
  <r>
    <x v="0"/>
    <x v="22"/>
    <x v="22"/>
    <x v="22"/>
    <x v="22"/>
    <x v="22"/>
    <x v="13"/>
    <x v="102"/>
    <x v="33"/>
    <x v="80"/>
    <x v="288"/>
    <x v="61"/>
    <x v="84"/>
    <x v="0"/>
  </r>
  <r>
    <x v="0"/>
    <x v="22"/>
    <x v="22"/>
    <x v="54"/>
    <x v="54"/>
    <x v="54"/>
    <x v="16"/>
    <x v="103"/>
    <x v="213"/>
    <x v="105"/>
    <x v="293"/>
    <x v="45"/>
    <x v="51"/>
    <x v="0"/>
  </r>
  <r>
    <x v="0"/>
    <x v="22"/>
    <x v="22"/>
    <x v="12"/>
    <x v="12"/>
    <x v="12"/>
    <x v="16"/>
    <x v="103"/>
    <x v="213"/>
    <x v="129"/>
    <x v="292"/>
    <x v="59"/>
    <x v="148"/>
    <x v="0"/>
  </r>
  <r>
    <x v="0"/>
    <x v="22"/>
    <x v="22"/>
    <x v="64"/>
    <x v="64"/>
    <x v="64"/>
    <x v="16"/>
    <x v="103"/>
    <x v="213"/>
    <x v="48"/>
    <x v="226"/>
    <x v="67"/>
    <x v="159"/>
    <x v="0"/>
  </r>
  <r>
    <x v="0"/>
    <x v="22"/>
    <x v="22"/>
    <x v="65"/>
    <x v="65"/>
    <x v="65"/>
    <x v="16"/>
    <x v="103"/>
    <x v="213"/>
    <x v="105"/>
    <x v="293"/>
    <x v="45"/>
    <x v="51"/>
    <x v="0"/>
  </r>
  <r>
    <x v="0"/>
    <x v="22"/>
    <x v="22"/>
    <x v="66"/>
    <x v="66"/>
    <x v="66"/>
    <x v="16"/>
    <x v="103"/>
    <x v="213"/>
    <x v="105"/>
    <x v="293"/>
    <x v="52"/>
    <x v="17"/>
    <x v="5"/>
  </r>
  <r>
    <x v="0"/>
    <x v="23"/>
    <x v="23"/>
    <x v="0"/>
    <x v="0"/>
    <x v="0"/>
    <x v="0"/>
    <x v="95"/>
    <x v="214"/>
    <x v="110"/>
    <x v="294"/>
    <x v="42"/>
    <x v="80"/>
    <x v="0"/>
  </r>
  <r>
    <x v="0"/>
    <x v="23"/>
    <x v="23"/>
    <x v="1"/>
    <x v="1"/>
    <x v="1"/>
    <x v="1"/>
    <x v="113"/>
    <x v="215"/>
    <x v="61"/>
    <x v="295"/>
    <x v="78"/>
    <x v="227"/>
    <x v="0"/>
  </r>
  <r>
    <x v="0"/>
    <x v="23"/>
    <x v="23"/>
    <x v="4"/>
    <x v="4"/>
    <x v="4"/>
    <x v="2"/>
    <x v="99"/>
    <x v="37"/>
    <x v="49"/>
    <x v="252"/>
    <x v="80"/>
    <x v="108"/>
    <x v="0"/>
  </r>
  <r>
    <x v="0"/>
    <x v="23"/>
    <x v="23"/>
    <x v="18"/>
    <x v="18"/>
    <x v="18"/>
    <x v="2"/>
    <x v="99"/>
    <x v="37"/>
    <x v="104"/>
    <x v="296"/>
    <x v="42"/>
    <x v="80"/>
    <x v="0"/>
  </r>
  <r>
    <x v="0"/>
    <x v="23"/>
    <x v="23"/>
    <x v="6"/>
    <x v="6"/>
    <x v="6"/>
    <x v="18"/>
    <x v="100"/>
    <x v="70"/>
    <x v="48"/>
    <x v="233"/>
    <x v="45"/>
    <x v="228"/>
    <x v="0"/>
  </r>
  <r>
    <x v="0"/>
    <x v="23"/>
    <x v="23"/>
    <x v="3"/>
    <x v="3"/>
    <x v="3"/>
    <x v="18"/>
    <x v="100"/>
    <x v="70"/>
    <x v="82"/>
    <x v="297"/>
    <x v="80"/>
    <x v="108"/>
    <x v="0"/>
  </r>
  <r>
    <x v="0"/>
    <x v="23"/>
    <x v="23"/>
    <x v="2"/>
    <x v="2"/>
    <x v="2"/>
    <x v="5"/>
    <x v="101"/>
    <x v="83"/>
    <x v="129"/>
    <x v="298"/>
    <x v="79"/>
    <x v="229"/>
    <x v="0"/>
  </r>
  <r>
    <x v="0"/>
    <x v="23"/>
    <x v="23"/>
    <x v="20"/>
    <x v="20"/>
    <x v="20"/>
    <x v="6"/>
    <x v="127"/>
    <x v="129"/>
    <x v="108"/>
    <x v="299"/>
    <x v="61"/>
    <x v="230"/>
    <x v="0"/>
  </r>
  <r>
    <x v="0"/>
    <x v="23"/>
    <x v="23"/>
    <x v="26"/>
    <x v="26"/>
    <x v="26"/>
    <x v="6"/>
    <x v="127"/>
    <x v="129"/>
    <x v="106"/>
    <x v="300"/>
    <x v="78"/>
    <x v="227"/>
    <x v="0"/>
  </r>
  <r>
    <x v="0"/>
    <x v="23"/>
    <x v="23"/>
    <x v="15"/>
    <x v="15"/>
    <x v="15"/>
    <x v="6"/>
    <x v="127"/>
    <x v="129"/>
    <x v="129"/>
    <x v="298"/>
    <x v="69"/>
    <x v="131"/>
    <x v="0"/>
  </r>
  <r>
    <x v="0"/>
    <x v="23"/>
    <x v="23"/>
    <x v="8"/>
    <x v="8"/>
    <x v="8"/>
    <x v="9"/>
    <x v="103"/>
    <x v="212"/>
    <x v="108"/>
    <x v="299"/>
    <x v="42"/>
    <x v="80"/>
    <x v="0"/>
  </r>
  <r>
    <x v="0"/>
    <x v="23"/>
    <x v="23"/>
    <x v="9"/>
    <x v="9"/>
    <x v="9"/>
    <x v="10"/>
    <x v="134"/>
    <x v="199"/>
    <x v="108"/>
    <x v="299"/>
    <x v="67"/>
    <x v="17"/>
    <x v="0"/>
  </r>
  <r>
    <x v="0"/>
    <x v="23"/>
    <x v="23"/>
    <x v="11"/>
    <x v="11"/>
    <x v="11"/>
    <x v="11"/>
    <x v="135"/>
    <x v="12"/>
    <x v="118"/>
    <x v="301"/>
    <x v="61"/>
    <x v="230"/>
    <x v="0"/>
  </r>
  <r>
    <x v="0"/>
    <x v="23"/>
    <x v="23"/>
    <x v="56"/>
    <x v="56"/>
    <x v="56"/>
    <x v="11"/>
    <x v="135"/>
    <x v="12"/>
    <x v="48"/>
    <x v="233"/>
    <x v="48"/>
    <x v="158"/>
    <x v="0"/>
  </r>
  <r>
    <x v="0"/>
    <x v="23"/>
    <x v="23"/>
    <x v="19"/>
    <x v="19"/>
    <x v="19"/>
    <x v="11"/>
    <x v="135"/>
    <x v="12"/>
    <x v="48"/>
    <x v="233"/>
    <x v="48"/>
    <x v="158"/>
    <x v="0"/>
  </r>
  <r>
    <x v="0"/>
    <x v="23"/>
    <x v="23"/>
    <x v="41"/>
    <x v="41"/>
    <x v="41"/>
    <x v="11"/>
    <x v="135"/>
    <x v="12"/>
    <x v="80"/>
    <x v="302"/>
    <x v="67"/>
    <x v="17"/>
    <x v="0"/>
  </r>
  <r>
    <x v="0"/>
    <x v="23"/>
    <x v="23"/>
    <x v="14"/>
    <x v="14"/>
    <x v="14"/>
    <x v="11"/>
    <x v="135"/>
    <x v="12"/>
    <x v="118"/>
    <x v="301"/>
    <x v="61"/>
    <x v="230"/>
    <x v="0"/>
  </r>
  <r>
    <x v="0"/>
    <x v="23"/>
    <x v="23"/>
    <x v="48"/>
    <x v="48"/>
    <x v="48"/>
    <x v="11"/>
    <x v="135"/>
    <x v="12"/>
    <x v="118"/>
    <x v="301"/>
    <x v="61"/>
    <x v="230"/>
    <x v="0"/>
  </r>
  <r>
    <x v="0"/>
    <x v="23"/>
    <x v="23"/>
    <x v="22"/>
    <x v="22"/>
    <x v="22"/>
    <x v="11"/>
    <x v="135"/>
    <x v="12"/>
    <x v="48"/>
    <x v="233"/>
    <x v="48"/>
    <x v="158"/>
    <x v="0"/>
  </r>
  <r>
    <x v="0"/>
    <x v="23"/>
    <x v="23"/>
    <x v="23"/>
    <x v="23"/>
    <x v="23"/>
    <x v="11"/>
    <x v="135"/>
    <x v="12"/>
    <x v="48"/>
    <x v="233"/>
    <x v="48"/>
    <x v="158"/>
    <x v="0"/>
  </r>
  <r>
    <x v="0"/>
    <x v="24"/>
    <x v="24"/>
    <x v="0"/>
    <x v="0"/>
    <x v="0"/>
    <x v="0"/>
    <x v="108"/>
    <x v="216"/>
    <x v="93"/>
    <x v="303"/>
    <x v="67"/>
    <x v="231"/>
    <x v="0"/>
  </r>
  <r>
    <x v="0"/>
    <x v="24"/>
    <x v="24"/>
    <x v="3"/>
    <x v="3"/>
    <x v="3"/>
    <x v="1"/>
    <x v="109"/>
    <x v="50"/>
    <x v="110"/>
    <x v="304"/>
    <x v="80"/>
    <x v="108"/>
    <x v="0"/>
  </r>
  <r>
    <x v="0"/>
    <x v="24"/>
    <x v="24"/>
    <x v="7"/>
    <x v="7"/>
    <x v="7"/>
    <x v="2"/>
    <x v="112"/>
    <x v="217"/>
    <x v="129"/>
    <x v="305"/>
    <x v="30"/>
    <x v="232"/>
    <x v="0"/>
  </r>
  <r>
    <x v="0"/>
    <x v="24"/>
    <x v="24"/>
    <x v="9"/>
    <x v="9"/>
    <x v="9"/>
    <x v="3"/>
    <x v="97"/>
    <x v="79"/>
    <x v="61"/>
    <x v="306"/>
    <x v="48"/>
    <x v="233"/>
    <x v="0"/>
  </r>
  <r>
    <x v="0"/>
    <x v="24"/>
    <x v="24"/>
    <x v="10"/>
    <x v="10"/>
    <x v="10"/>
    <x v="18"/>
    <x v="98"/>
    <x v="218"/>
    <x v="102"/>
    <x v="307"/>
    <x v="61"/>
    <x v="234"/>
    <x v="0"/>
  </r>
  <r>
    <x v="0"/>
    <x v="24"/>
    <x v="24"/>
    <x v="12"/>
    <x v="12"/>
    <x v="12"/>
    <x v="18"/>
    <x v="98"/>
    <x v="218"/>
    <x v="108"/>
    <x v="308"/>
    <x v="69"/>
    <x v="235"/>
    <x v="0"/>
  </r>
  <r>
    <x v="0"/>
    <x v="24"/>
    <x v="24"/>
    <x v="6"/>
    <x v="6"/>
    <x v="6"/>
    <x v="18"/>
    <x v="98"/>
    <x v="218"/>
    <x v="106"/>
    <x v="309"/>
    <x v="45"/>
    <x v="236"/>
    <x v="0"/>
  </r>
  <r>
    <x v="0"/>
    <x v="24"/>
    <x v="24"/>
    <x v="1"/>
    <x v="1"/>
    <x v="1"/>
    <x v="18"/>
    <x v="98"/>
    <x v="218"/>
    <x v="61"/>
    <x v="306"/>
    <x v="80"/>
    <x v="108"/>
    <x v="0"/>
  </r>
  <r>
    <x v="0"/>
    <x v="24"/>
    <x v="24"/>
    <x v="19"/>
    <x v="19"/>
    <x v="19"/>
    <x v="7"/>
    <x v="100"/>
    <x v="40"/>
    <x v="102"/>
    <x v="307"/>
    <x v="67"/>
    <x v="231"/>
    <x v="0"/>
  </r>
  <r>
    <x v="0"/>
    <x v="24"/>
    <x v="24"/>
    <x v="26"/>
    <x v="26"/>
    <x v="26"/>
    <x v="8"/>
    <x v="101"/>
    <x v="157"/>
    <x v="106"/>
    <x v="309"/>
    <x v="67"/>
    <x v="231"/>
    <x v="0"/>
  </r>
  <r>
    <x v="0"/>
    <x v="24"/>
    <x v="24"/>
    <x v="5"/>
    <x v="5"/>
    <x v="5"/>
    <x v="8"/>
    <x v="101"/>
    <x v="157"/>
    <x v="102"/>
    <x v="307"/>
    <x v="78"/>
    <x v="227"/>
    <x v="0"/>
  </r>
  <r>
    <x v="0"/>
    <x v="24"/>
    <x v="24"/>
    <x v="34"/>
    <x v="34"/>
    <x v="34"/>
    <x v="10"/>
    <x v="102"/>
    <x v="62"/>
    <x v="118"/>
    <x v="310"/>
    <x v="59"/>
    <x v="237"/>
    <x v="0"/>
  </r>
  <r>
    <x v="0"/>
    <x v="24"/>
    <x v="24"/>
    <x v="4"/>
    <x v="4"/>
    <x v="4"/>
    <x v="10"/>
    <x v="102"/>
    <x v="62"/>
    <x v="102"/>
    <x v="307"/>
    <x v="80"/>
    <x v="108"/>
    <x v="0"/>
  </r>
  <r>
    <x v="0"/>
    <x v="24"/>
    <x v="24"/>
    <x v="11"/>
    <x v="11"/>
    <x v="11"/>
    <x v="12"/>
    <x v="103"/>
    <x v="132"/>
    <x v="107"/>
    <x v="311"/>
    <x v="61"/>
    <x v="234"/>
    <x v="0"/>
  </r>
  <r>
    <x v="0"/>
    <x v="24"/>
    <x v="24"/>
    <x v="18"/>
    <x v="18"/>
    <x v="18"/>
    <x v="12"/>
    <x v="103"/>
    <x v="132"/>
    <x v="78"/>
    <x v="131"/>
    <x v="48"/>
    <x v="233"/>
    <x v="0"/>
  </r>
  <r>
    <x v="0"/>
    <x v="24"/>
    <x v="24"/>
    <x v="67"/>
    <x v="67"/>
    <x v="67"/>
    <x v="19"/>
    <x v="134"/>
    <x v="44"/>
    <x v="118"/>
    <x v="310"/>
    <x v="45"/>
    <x v="236"/>
    <x v="0"/>
  </r>
  <r>
    <x v="0"/>
    <x v="24"/>
    <x v="24"/>
    <x v="48"/>
    <x v="48"/>
    <x v="48"/>
    <x v="19"/>
    <x v="134"/>
    <x v="44"/>
    <x v="108"/>
    <x v="308"/>
    <x v="67"/>
    <x v="231"/>
    <x v="0"/>
  </r>
  <r>
    <x v="0"/>
    <x v="24"/>
    <x v="24"/>
    <x v="62"/>
    <x v="62"/>
    <x v="62"/>
    <x v="19"/>
    <x v="134"/>
    <x v="44"/>
    <x v="130"/>
    <x v="312"/>
    <x v="80"/>
    <x v="108"/>
    <x v="0"/>
  </r>
  <r>
    <x v="0"/>
    <x v="24"/>
    <x v="24"/>
    <x v="32"/>
    <x v="32"/>
    <x v="32"/>
    <x v="16"/>
    <x v="135"/>
    <x v="133"/>
    <x v="118"/>
    <x v="310"/>
    <x v="61"/>
    <x v="234"/>
    <x v="0"/>
  </r>
  <r>
    <x v="0"/>
    <x v="24"/>
    <x v="24"/>
    <x v="59"/>
    <x v="59"/>
    <x v="59"/>
    <x v="16"/>
    <x v="135"/>
    <x v="133"/>
    <x v="79"/>
    <x v="313"/>
    <x v="80"/>
    <x v="108"/>
    <x v="0"/>
  </r>
  <r>
    <x v="0"/>
    <x v="25"/>
    <x v="25"/>
    <x v="0"/>
    <x v="0"/>
    <x v="0"/>
    <x v="0"/>
    <x v="116"/>
    <x v="219"/>
    <x v="70"/>
    <x v="314"/>
    <x v="78"/>
    <x v="55"/>
    <x v="0"/>
  </r>
  <r>
    <x v="0"/>
    <x v="25"/>
    <x v="25"/>
    <x v="3"/>
    <x v="3"/>
    <x v="3"/>
    <x v="1"/>
    <x v="112"/>
    <x v="220"/>
    <x v="72"/>
    <x v="315"/>
    <x v="80"/>
    <x v="108"/>
    <x v="0"/>
  </r>
  <r>
    <x v="0"/>
    <x v="25"/>
    <x v="25"/>
    <x v="7"/>
    <x v="7"/>
    <x v="7"/>
    <x v="2"/>
    <x v="98"/>
    <x v="221"/>
    <x v="118"/>
    <x v="50"/>
    <x v="54"/>
    <x v="238"/>
    <x v="0"/>
  </r>
  <r>
    <x v="0"/>
    <x v="25"/>
    <x v="25"/>
    <x v="6"/>
    <x v="6"/>
    <x v="6"/>
    <x v="3"/>
    <x v="99"/>
    <x v="51"/>
    <x v="48"/>
    <x v="316"/>
    <x v="59"/>
    <x v="239"/>
    <x v="0"/>
  </r>
  <r>
    <x v="0"/>
    <x v="25"/>
    <x v="25"/>
    <x v="1"/>
    <x v="1"/>
    <x v="1"/>
    <x v="3"/>
    <x v="99"/>
    <x v="51"/>
    <x v="49"/>
    <x v="117"/>
    <x v="80"/>
    <x v="108"/>
    <x v="0"/>
  </r>
  <r>
    <x v="0"/>
    <x v="25"/>
    <x v="25"/>
    <x v="11"/>
    <x v="11"/>
    <x v="11"/>
    <x v="4"/>
    <x v="129"/>
    <x v="38"/>
    <x v="129"/>
    <x v="298"/>
    <x v="75"/>
    <x v="240"/>
    <x v="0"/>
  </r>
  <r>
    <x v="0"/>
    <x v="25"/>
    <x v="25"/>
    <x v="4"/>
    <x v="4"/>
    <x v="4"/>
    <x v="5"/>
    <x v="100"/>
    <x v="155"/>
    <x v="54"/>
    <x v="42"/>
    <x v="48"/>
    <x v="241"/>
    <x v="0"/>
  </r>
  <r>
    <x v="0"/>
    <x v="25"/>
    <x v="25"/>
    <x v="34"/>
    <x v="34"/>
    <x v="34"/>
    <x v="6"/>
    <x v="101"/>
    <x v="173"/>
    <x v="105"/>
    <x v="317"/>
    <x v="26"/>
    <x v="242"/>
    <x v="0"/>
  </r>
  <r>
    <x v="0"/>
    <x v="25"/>
    <x v="25"/>
    <x v="12"/>
    <x v="12"/>
    <x v="12"/>
    <x v="7"/>
    <x v="127"/>
    <x v="222"/>
    <x v="48"/>
    <x v="316"/>
    <x v="52"/>
    <x v="15"/>
    <x v="0"/>
  </r>
  <r>
    <x v="0"/>
    <x v="25"/>
    <x v="25"/>
    <x v="10"/>
    <x v="10"/>
    <x v="10"/>
    <x v="8"/>
    <x v="102"/>
    <x v="6"/>
    <x v="80"/>
    <x v="318"/>
    <x v="61"/>
    <x v="243"/>
    <x v="0"/>
  </r>
  <r>
    <x v="0"/>
    <x v="25"/>
    <x v="25"/>
    <x v="5"/>
    <x v="5"/>
    <x v="5"/>
    <x v="8"/>
    <x v="102"/>
    <x v="6"/>
    <x v="106"/>
    <x v="264"/>
    <x v="48"/>
    <x v="241"/>
    <x v="0"/>
  </r>
  <r>
    <x v="0"/>
    <x v="25"/>
    <x v="25"/>
    <x v="8"/>
    <x v="8"/>
    <x v="8"/>
    <x v="10"/>
    <x v="103"/>
    <x v="223"/>
    <x v="108"/>
    <x v="159"/>
    <x v="42"/>
    <x v="244"/>
    <x v="0"/>
  </r>
  <r>
    <x v="0"/>
    <x v="25"/>
    <x v="25"/>
    <x v="9"/>
    <x v="9"/>
    <x v="9"/>
    <x v="11"/>
    <x v="134"/>
    <x v="86"/>
    <x v="108"/>
    <x v="159"/>
    <x v="67"/>
    <x v="168"/>
    <x v="0"/>
  </r>
  <r>
    <x v="0"/>
    <x v="25"/>
    <x v="25"/>
    <x v="22"/>
    <x v="22"/>
    <x v="22"/>
    <x v="11"/>
    <x v="134"/>
    <x v="86"/>
    <x v="48"/>
    <x v="316"/>
    <x v="78"/>
    <x v="55"/>
    <x v="0"/>
  </r>
  <r>
    <x v="0"/>
    <x v="25"/>
    <x v="25"/>
    <x v="68"/>
    <x v="68"/>
    <x v="68"/>
    <x v="13"/>
    <x v="135"/>
    <x v="119"/>
    <x v="129"/>
    <x v="298"/>
    <x v="45"/>
    <x v="245"/>
    <x v="0"/>
  </r>
  <r>
    <x v="0"/>
    <x v="25"/>
    <x v="25"/>
    <x v="69"/>
    <x v="69"/>
    <x v="69"/>
    <x v="13"/>
    <x v="135"/>
    <x v="119"/>
    <x v="48"/>
    <x v="316"/>
    <x v="48"/>
    <x v="241"/>
    <x v="0"/>
  </r>
  <r>
    <x v="0"/>
    <x v="25"/>
    <x v="25"/>
    <x v="26"/>
    <x v="26"/>
    <x v="26"/>
    <x v="13"/>
    <x v="135"/>
    <x v="119"/>
    <x v="80"/>
    <x v="318"/>
    <x v="67"/>
    <x v="168"/>
    <x v="0"/>
  </r>
  <r>
    <x v="0"/>
    <x v="25"/>
    <x v="25"/>
    <x v="62"/>
    <x v="62"/>
    <x v="62"/>
    <x v="13"/>
    <x v="135"/>
    <x v="119"/>
    <x v="130"/>
    <x v="312"/>
    <x v="80"/>
    <x v="108"/>
    <x v="0"/>
  </r>
  <r>
    <x v="0"/>
    <x v="25"/>
    <x v="25"/>
    <x v="44"/>
    <x v="44"/>
    <x v="44"/>
    <x v="16"/>
    <x v="136"/>
    <x v="169"/>
    <x v="107"/>
    <x v="136"/>
    <x v="67"/>
    <x v="168"/>
    <x v="0"/>
  </r>
  <r>
    <x v="0"/>
    <x v="25"/>
    <x v="25"/>
    <x v="16"/>
    <x v="16"/>
    <x v="16"/>
    <x v="16"/>
    <x v="136"/>
    <x v="169"/>
    <x v="129"/>
    <x v="298"/>
    <x v="61"/>
    <x v="243"/>
    <x v="0"/>
  </r>
  <r>
    <x v="0"/>
    <x v="25"/>
    <x v="25"/>
    <x v="23"/>
    <x v="23"/>
    <x v="23"/>
    <x v="16"/>
    <x v="136"/>
    <x v="169"/>
    <x v="108"/>
    <x v="159"/>
    <x v="48"/>
    <x v="241"/>
    <x v="0"/>
  </r>
  <r>
    <x v="0"/>
    <x v="26"/>
    <x v="26"/>
    <x v="10"/>
    <x v="10"/>
    <x v="10"/>
    <x v="0"/>
    <x v="135"/>
    <x v="224"/>
    <x v="108"/>
    <x v="319"/>
    <x v="78"/>
    <x v="246"/>
    <x v="0"/>
  </r>
  <r>
    <x v="0"/>
    <x v="26"/>
    <x v="26"/>
    <x v="1"/>
    <x v="1"/>
    <x v="1"/>
    <x v="0"/>
    <x v="135"/>
    <x v="224"/>
    <x v="48"/>
    <x v="320"/>
    <x v="48"/>
    <x v="45"/>
    <x v="0"/>
  </r>
  <r>
    <x v="0"/>
    <x v="26"/>
    <x v="26"/>
    <x v="0"/>
    <x v="0"/>
    <x v="0"/>
    <x v="0"/>
    <x v="135"/>
    <x v="224"/>
    <x v="79"/>
    <x v="321"/>
    <x v="80"/>
    <x v="108"/>
    <x v="0"/>
  </r>
  <r>
    <x v="0"/>
    <x v="26"/>
    <x v="26"/>
    <x v="7"/>
    <x v="7"/>
    <x v="7"/>
    <x v="3"/>
    <x v="137"/>
    <x v="225"/>
    <x v="130"/>
    <x v="312"/>
    <x v="61"/>
    <x v="247"/>
    <x v="0"/>
  </r>
  <r>
    <x v="0"/>
    <x v="26"/>
    <x v="26"/>
    <x v="55"/>
    <x v="55"/>
    <x v="55"/>
    <x v="18"/>
    <x v="138"/>
    <x v="226"/>
    <x v="80"/>
    <x v="322"/>
    <x v="80"/>
    <x v="108"/>
    <x v="0"/>
  </r>
  <r>
    <x v="0"/>
    <x v="26"/>
    <x v="26"/>
    <x v="34"/>
    <x v="34"/>
    <x v="34"/>
    <x v="4"/>
    <x v="139"/>
    <x v="157"/>
    <x v="130"/>
    <x v="312"/>
    <x v="42"/>
    <x v="248"/>
    <x v="0"/>
  </r>
  <r>
    <x v="0"/>
    <x v="26"/>
    <x v="26"/>
    <x v="29"/>
    <x v="29"/>
    <x v="29"/>
    <x v="4"/>
    <x v="139"/>
    <x v="157"/>
    <x v="105"/>
    <x v="254"/>
    <x v="48"/>
    <x v="45"/>
    <x v="0"/>
  </r>
  <r>
    <x v="0"/>
    <x v="26"/>
    <x v="26"/>
    <x v="19"/>
    <x v="19"/>
    <x v="19"/>
    <x v="4"/>
    <x v="139"/>
    <x v="157"/>
    <x v="107"/>
    <x v="45"/>
    <x v="80"/>
    <x v="108"/>
    <x v="0"/>
  </r>
  <r>
    <x v="0"/>
    <x v="26"/>
    <x v="26"/>
    <x v="6"/>
    <x v="6"/>
    <x v="6"/>
    <x v="4"/>
    <x v="139"/>
    <x v="157"/>
    <x v="105"/>
    <x v="254"/>
    <x v="48"/>
    <x v="45"/>
    <x v="0"/>
  </r>
  <r>
    <x v="0"/>
    <x v="26"/>
    <x v="26"/>
    <x v="9"/>
    <x v="9"/>
    <x v="9"/>
    <x v="4"/>
    <x v="139"/>
    <x v="157"/>
    <x v="118"/>
    <x v="261"/>
    <x v="78"/>
    <x v="246"/>
    <x v="0"/>
  </r>
  <r>
    <x v="0"/>
    <x v="26"/>
    <x v="26"/>
    <x v="62"/>
    <x v="62"/>
    <x v="62"/>
    <x v="4"/>
    <x v="139"/>
    <x v="157"/>
    <x v="130"/>
    <x v="312"/>
    <x v="80"/>
    <x v="108"/>
    <x v="0"/>
  </r>
  <r>
    <x v="0"/>
    <x v="26"/>
    <x v="26"/>
    <x v="4"/>
    <x v="4"/>
    <x v="4"/>
    <x v="4"/>
    <x v="139"/>
    <x v="157"/>
    <x v="107"/>
    <x v="45"/>
    <x v="80"/>
    <x v="108"/>
    <x v="0"/>
  </r>
  <r>
    <x v="0"/>
    <x v="26"/>
    <x v="26"/>
    <x v="70"/>
    <x v="70"/>
    <x v="70"/>
    <x v="11"/>
    <x v="140"/>
    <x v="118"/>
    <x v="118"/>
    <x v="261"/>
    <x v="48"/>
    <x v="45"/>
    <x v="0"/>
  </r>
  <r>
    <x v="0"/>
    <x v="26"/>
    <x v="26"/>
    <x v="44"/>
    <x v="44"/>
    <x v="44"/>
    <x v="11"/>
    <x v="140"/>
    <x v="118"/>
    <x v="118"/>
    <x v="261"/>
    <x v="48"/>
    <x v="45"/>
    <x v="0"/>
  </r>
  <r>
    <x v="0"/>
    <x v="26"/>
    <x v="26"/>
    <x v="12"/>
    <x v="12"/>
    <x v="12"/>
    <x v="11"/>
    <x v="140"/>
    <x v="118"/>
    <x v="129"/>
    <x v="256"/>
    <x v="78"/>
    <x v="246"/>
    <x v="0"/>
  </r>
  <r>
    <x v="0"/>
    <x v="26"/>
    <x v="26"/>
    <x v="39"/>
    <x v="39"/>
    <x v="39"/>
    <x v="11"/>
    <x v="140"/>
    <x v="118"/>
    <x v="118"/>
    <x v="261"/>
    <x v="48"/>
    <x v="45"/>
    <x v="0"/>
  </r>
  <r>
    <x v="0"/>
    <x v="26"/>
    <x v="26"/>
    <x v="59"/>
    <x v="59"/>
    <x v="59"/>
    <x v="11"/>
    <x v="140"/>
    <x v="118"/>
    <x v="105"/>
    <x v="254"/>
    <x v="80"/>
    <x v="108"/>
    <x v="0"/>
  </r>
  <r>
    <x v="0"/>
    <x v="26"/>
    <x v="26"/>
    <x v="41"/>
    <x v="41"/>
    <x v="41"/>
    <x v="11"/>
    <x v="140"/>
    <x v="118"/>
    <x v="105"/>
    <x v="254"/>
    <x v="80"/>
    <x v="108"/>
    <x v="0"/>
  </r>
  <r>
    <x v="0"/>
    <x v="26"/>
    <x v="26"/>
    <x v="14"/>
    <x v="14"/>
    <x v="14"/>
    <x v="11"/>
    <x v="140"/>
    <x v="118"/>
    <x v="129"/>
    <x v="256"/>
    <x v="78"/>
    <x v="246"/>
    <x v="0"/>
  </r>
  <r>
    <x v="0"/>
    <x v="26"/>
    <x v="26"/>
    <x v="2"/>
    <x v="2"/>
    <x v="2"/>
    <x v="11"/>
    <x v="140"/>
    <x v="118"/>
    <x v="118"/>
    <x v="261"/>
    <x v="48"/>
    <x v="45"/>
    <x v="0"/>
  </r>
  <r>
    <x v="0"/>
    <x v="26"/>
    <x v="26"/>
    <x v="22"/>
    <x v="22"/>
    <x v="22"/>
    <x v="11"/>
    <x v="140"/>
    <x v="118"/>
    <x v="105"/>
    <x v="254"/>
    <x v="80"/>
    <x v="108"/>
    <x v="0"/>
  </r>
  <r>
    <x v="0"/>
    <x v="26"/>
    <x v="26"/>
    <x v="3"/>
    <x v="3"/>
    <x v="3"/>
    <x v="11"/>
    <x v="140"/>
    <x v="118"/>
    <x v="105"/>
    <x v="254"/>
    <x v="80"/>
    <x v="108"/>
    <x v="0"/>
  </r>
  <r>
    <x v="0"/>
    <x v="26"/>
    <x v="26"/>
    <x v="23"/>
    <x v="23"/>
    <x v="23"/>
    <x v="11"/>
    <x v="140"/>
    <x v="118"/>
    <x v="105"/>
    <x v="254"/>
    <x v="80"/>
    <x v="108"/>
    <x v="0"/>
  </r>
  <r>
    <x v="0"/>
    <x v="26"/>
    <x v="26"/>
    <x v="8"/>
    <x v="8"/>
    <x v="8"/>
    <x v="11"/>
    <x v="140"/>
    <x v="118"/>
    <x v="118"/>
    <x v="261"/>
    <x v="80"/>
    <x v="108"/>
    <x v="4"/>
  </r>
  <r>
    <x v="0"/>
    <x v="27"/>
    <x v="27"/>
    <x v="0"/>
    <x v="0"/>
    <x v="0"/>
    <x v="0"/>
    <x v="110"/>
    <x v="227"/>
    <x v="84"/>
    <x v="323"/>
    <x v="67"/>
    <x v="249"/>
    <x v="0"/>
  </r>
  <r>
    <x v="0"/>
    <x v="27"/>
    <x v="27"/>
    <x v="3"/>
    <x v="3"/>
    <x v="3"/>
    <x v="1"/>
    <x v="113"/>
    <x v="228"/>
    <x v="84"/>
    <x v="323"/>
    <x v="80"/>
    <x v="108"/>
    <x v="0"/>
  </r>
  <r>
    <x v="0"/>
    <x v="27"/>
    <x v="27"/>
    <x v="4"/>
    <x v="4"/>
    <x v="4"/>
    <x v="2"/>
    <x v="98"/>
    <x v="229"/>
    <x v="61"/>
    <x v="324"/>
    <x v="80"/>
    <x v="108"/>
    <x v="0"/>
  </r>
  <r>
    <x v="0"/>
    <x v="27"/>
    <x v="27"/>
    <x v="1"/>
    <x v="1"/>
    <x v="1"/>
    <x v="3"/>
    <x v="99"/>
    <x v="19"/>
    <x v="49"/>
    <x v="325"/>
    <x v="80"/>
    <x v="108"/>
    <x v="0"/>
  </r>
  <r>
    <x v="0"/>
    <x v="27"/>
    <x v="27"/>
    <x v="18"/>
    <x v="18"/>
    <x v="18"/>
    <x v="18"/>
    <x v="129"/>
    <x v="217"/>
    <x v="82"/>
    <x v="326"/>
    <x v="48"/>
    <x v="1"/>
    <x v="0"/>
  </r>
  <r>
    <x v="0"/>
    <x v="27"/>
    <x v="27"/>
    <x v="6"/>
    <x v="6"/>
    <x v="6"/>
    <x v="4"/>
    <x v="101"/>
    <x v="38"/>
    <x v="106"/>
    <x v="327"/>
    <x v="67"/>
    <x v="249"/>
    <x v="0"/>
  </r>
  <r>
    <x v="0"/>
    <x v="27"/>
    <x v="27"/>
    <x v="5"/>
    <x v="5"/>
    <x v="5"/>
    <x v="5"/>
    <x v="127"/>
    <x v="128"/>
    <x v="106"/>
    <x v="327"/>
    <x v="78"/>
    <x v="250"/>
    <x v="0"/>
  </r>
  <r>
    <x v="0"/>
    <x v="27"/>
    <x v="27"/>
    <x v="20"/>
    <x v="20"/>
    <x v="20"/>
    <x v="6"/>
    <x v="103"/>
    <x v="230"/>
    <x v="80"/>
    <x v="328"/>
    <x v="52"/>
    <x v="124"/>
    <x v="0"/>
  </r>
  <r>
    <x v="0"/>
    <x v="27"/>
    <x v="27"/>
    <x v="7"/>
    <x v="7"/>
    <x v="7"/>
    <x v="7"/>
    <x v="134"/>
    <x v="103"/>
    <x v="118"/>
    <x v="329"/>
    <x v="45"/>
    <x v="251"/>
    <x v="0"/>
  </r>
  <r>
    <x v="0"/>
    <x v="27"/>
    <x v="27"/>
    <x v="44"/>
    <x v="44"/>
    <x v="44"/>
    <x v="7"/>
    <x v="134"/>
    <x v="103"/>
    <x v="80"/>
    <x v="328"/>
    <x v="42"/>
    <x v="15"/>
    <x v="0"/>
  </r>
  <r>
    <x v="0"/>
    <x v="27"/>
    <x v="27"/>
    <x v="34"/>
    <x v="34"/>
    <x v="34"/>
    <x v="9"/>
    <x v="135"/>
    <x v="25"/>
    <x v="107"/>
    <x v="330"/>
    <x v="42"/>
    <x v="15"/>
    <x v="0"/>
  </r>
  <r>
    <x v="0"/>
    <x v="27"/>
    <x v="27"/>
    <x v="13"/>
    <x v="13"/>
    <x v="13"/>
    <x v="9"/>
    <x v="135"/>
    <x v="25"/>
    <x v="48"/>
    <x v="158"/>
    <x v="48"/>
    <x v="1"/>
    <x v="0"/>
  </r>
  <r>
    <x v="0"/>
    <x v="27"/>
    <x v="27"/>
    <x v="8"/>
    <x v="8"/>
    <x v="8"/>
    <x v="9"/>
    <x v="135"/>
    <x v="25"/>
    <x v="48"/>
    <x v="158"/>
    <x v="48"/>
    <x v="1"/>
    <x v="0"/>
  </r>
  <r>
    <x v="0"/>
    <x v="27"/>
    <x v="27"/>
    <x v="56"/>
    <x v="56"/>
    <x v="56"/>
    <x v="12"/>
    <x v="136"/>
    <x v="231"/>
    <x v="105"/>
    <x v="112"/>
    <x v="42"/>
    <x v="15"/>
    <x v="0"/>
  </r>
  <r>
    <x v="0"/>
    <x v="27"/>
    <x v="27"/>
    <x v="9"/>
    <x v="9"/>
    <x v="9"/>
    <x v="12"/>
    <x v="136"/>
    <x v="231"/>
    <x v="80"/>
    <x v="328"/>
    <x v="78"/>
    <x v="250"/>
    <x v="0"/>
  </r>
  <r>
    <x v="0"/>
    <x v="27"/>
    <x v="27"/>
    <x v="23"/>
    <x v="23"/>
    <x v="23"/>
    <x v="12"/>
    <x v="136"/>
    <x v="231"/>
    <x v="80"/>
    <x v="328"/>
    <x v="78"/>
    <x v="250"/>
    <x v="0"/>
  </r>
  <r>
    <x v="0"/>
    <x v="27"/>
    <x v="27"/>
    <x v="11"/>
    <x v="11"/>
    <x v="11"/>
    <x v="14"/>
    <x v="137"/>
    <x v="133"/>
    <x v="129"/>
    <x v="178"/>
    <x v="52"/>
    <x v="124"/>
    <x v="0"/>
  </r>
  <r>
    <x v="0"/>
    <x v="27"/>
    <x v="27"/>
    <x v="19"/>
    <x v="19"/>
    <x v="19"/>
    <x v="14"/>
    <x v="137"/>
    <x v="133"/>
    <x v="108"/>
    <x v="32"/>
    <x v="80"/>
    <x v="108"/>
    <x v="0"/>
  </r>
  <r>
    <x v="0"/>
    <x v="27"/>
    <x v="27"/>
    <x v="58"/>
    <x v="58"/>
    <x v="58"/>
    <x v="16"/>
    <x v="138"/>
    <x v="149"/>
    <x v="118"/>
    <x v="329"/>
    <x v="67"/>
    <x v="249"/>
    <x v="0"/>
  </r>
  <r>
    <x v="0"/>
    <x v="27"/>
    <x v="27"/>
    <x v="54"/>
    <x v="54"/>
    <x v="54"/>
    <x v="16"/>
    <x v="138"/>
    <x v="149"/>
    <x v="105"/>
    <x v="112"/>
    <x v="78"/>
    <x v="250"/>
    <x v="0"/>
  </r>
  <r>
    <x v="0"/>
    <x v="27"/>
    <x v="27"/>
    <x v="71"/>
    <x v="71"/>
    <x v="71"/>
    <x v="16"/>
    <x v="138"/>
    <x v="149"/>
    <x v="105"/>
    <x v="112"/>
    <x v="78"/>
    <x v="250"/>
    <x v="0"/>
  </r>
  <r>
    <x v="0"/>
    <x v="27"/>
    <x v="27"/>
    <x v="57"/>
    <x v="57"/>
    <x v="57"/>
    <x v="16"/>
    <x v="138"/>
    <x v="149"/>
    <x v="118"/>
    <x v="329"/>
    <x v="67"/>
    <x v="249"/>
    <x v="0"/>
  </r>
  <r>
    <x v="0"/>
    <x v="27"/>
    <x v="27"/>
    <x v="41"/>
    <x v="41"/>
    <x v="41"/>
    <x v="16"/>
    <x v="138"/>
    <x v="149"/>
    <x v="80"/>
    <x v="328"/>
    <x v="80"/>
    <x v="108"/>
    <x v="0"/>
  </r>
  <r>
    <x v="0"/>
    <x v="27"/>
    <x v="27"/>
    <x v="2"/>
    <x v="2"/>
    <x v="2"/>
    <x v="16"/>
    <x v="138"/>
    <x v="149"/>
    <x v="118"/>
    <x v="329"/>
    <x v="67"/>
    <x v="249"/>
    <x v="0"/>
  </r>
  <r>
    <x v="0"/>
    <x v="27"/>
    <x v="27"/>
    <x v="16"/>
    <x v="16"/>
    <x v="16"/>
    <x v="16"/>
    <x v="138"/>
    <x v="149"/>
    <x v="107"/>
    <x v="330"/>
    <x v="48"/>
    <x v="1"/>
    <x v="0"/>
  </r>
  <r>
    <x v="0"/>
    <x v="28"/>
    <x v="28"/>
    <x v="6"/>
    <x v="6"/>
    <x v="6"/>
    <x v="0"/>
    <x v="103"/>
    <x v="232"/>
    <x v="48"/>
    <x v="166"/>
    <x v="67"/>
    <x v="252"/>
    <x v="0"/>
  </r>
  <r>
    <x v="0"/>
    <x v="28"/>
    <x v="28"/>
    <x v="7"/>
    <x v="7"/>
    <x v="7"/>
    <x v="1"/>
    <x v="136"/>
    <x v="233"/>
    <x v="118"/>
    <x v="97"/>
    <x v="52"/>
    <x v="253"/>
    <x v="0"/>
  </r>
  <r>
    <x v="0"/>
    <x v="28"/>
    <x v="28"/>
    <x v="11"/>
    <x v="11"/>
    <x v="11"/>
    <x v="1"/>
    <x v="136"/>
    <x v="233"/>
    <x v="105"/>
    <x v="95"/>
    <x v="42"/>
    <x v="254"/>
    <x v="0"/>
  </r>
  <r>
    <x v="0"/>
    <x v="28"/>
    <x v="28"/>
    <x v="3"/>
    <x v="3"/>
    <x v="3"/>
    <x v="1"/>
    <x v="136"/>
    <x v="233"/>
    <x v="48"/>
    <x v="166"/>
    <x v="80"/>
    <x v="108"/>
    <x v="0"/>
  </r>
  <r>
    <x v="0"/>
    <x v="28"/>
    <x v="28"/>
    <x v="1"/>
    <x v="1"/>
    <x v="1"/>
    <x v="18"/>
    <x v="137"/>
    <x v="53"/>
    <x v="108"/>
    <x v="331"/>
    <x v="80"/>
    <x v="108"/>
    <x v="0"/>
  </r>
  <r>
    <x v="0"/>
    <x v="28"/>
    <x v="28"/>
    <x v="10"/>
    <x v="10"/>
    <x v="10"/>
    <x v="4"/>
    <x v="138"/>
    <x v="234"/>
    <x v="107"/>
    <x v="307"/>
    <x v="48"/>
    <x v="101"/>
    <x v="0"/>
  </r>
  <r>
    <x v="0"/>
    <x v="28"/>
    <x v="28"/>
    <x v="27"/>
    <x v="27"/>
    <x v="27"/>
    <x v="4"/>
    <x v="138"/>
    <x v="234"/>
    <x v="107"/>
    <x v="307"/>
    <x v="48"/>
    <x v="101"/>
    <x v="0"/>
  </r>
  <r>
    <x v="0"/>
    <x v="28"/>
    <x v="28"/>
    <x v="46"/>
    <x v="46"/>
    <x v="46"/>
    <x v="4"/>
    <x v="138"/>
    <x v="234"/>
    <x v="107"/>
    <x v="307"/>
    <x v="48"/>
    <x v="101"/>
    <x v="0"/>
  </r>
  <r>
    <x v="0"/>
    <x v="28"/>
    <x v="28"/>
    <x v="20"/>
    <x v="20"/>
    <x v="20"/>
    <x v="4"/>
    <x v="138"/>
    <x v="234"/>
    <x v="105"/>
    <x v="95"/>
    <x v="78"/>
    <x v="79"/>
    <x v="0"/>
  </r>
  <r>
    <x v="0"/>
    <x v="28"/>
    <x v="28"/>
    <x v="26"/>
    <x v="26"/>
    <x v="26"/>
    <x v="4"/>
    <x v="138"/>
    <x v="234"/>
    <x v="107"/>
    <x v="307"/>
    <x v="48"/>
    <x v="101"/>
    <x v="0"/>
  </r>
  <r>
    <x v="0"/>
    <x v="28"/>
    <x v="28"/>
    <x v="47"/>
    <x v="47"/>
    <x v="47"/>
    <x v="9"/>
    <x v="139"/>
    <x v="131"/>
    <x v="105"/>
    <x v="95"/>
    <x v="48"/>
    <x v="101"/>
    <x v="0"/>
  </r>
  <r>
    <x v="0"/>
    <x v="28"/>
    <x v="28"/>
    <x v="0"/>
    <x v="0"/>
    <x v="0"/>
    <x v="9"/>
    <x v="139"/>
    <x v="131"/>
    <x v="105"/>
    <x v="95"/>
    <x v="48"/>
    <x v="101"/>
    <x v="0"/>
  </r>
  <r>
    <x v="0"/>
    <x v="28"/>
    <x v="28"/>
    <x v="23"/>
    <x v="23"/>
    <x v="23"/>
    <x v="9"/>
    <x v="139"/>
    <x v="131"/>
    <x v="107"/>
    <x v="307"/>
    <x v="80"/>
    <x v="108"/>
    <x v="0"/>
  </r>
  <r>
    <x v="0"/>
    <x v="28"/>
    <x v="28"/>
    <x v="4"/>
    <x v="4"/>
    <x v="4"/>
    <x v="9"/>
    <x v="139"/>
    <x v="131"/>
    <x v="107"/>
    <x v="307"/>
    <x v="80"/>
    <x v="108"/>
    <x v="0"/>
  </r>
  <r>
    <x v="0"/>
    <x v="28"/>
    <x v="28"/>
    <x v="18"/>
    <x v="18"/>
    <x v="18"/>
    <x v="9"/>
    <x v="139"/>
    <x v="131"/>
    <x v="107"/>
    <x v="307"/>
    <x v="80"/>
    <x v="108"/>
    <x v="0"/>
  </r>
  <r>
    <x v="0"/>
    <x v="28"/>
    <x v="28"/>
    <x v="54"/>
    <x v="54"/>
    <x v="54"/>
    <x v="19"/>
    <x v="140"/>
    <x v="29"/>
    <x v="129"/>
    <x v="70"/>
    <x v="78"/>
    <x v="79"/>
    <x v="0"/>
  </r>
  <r>
    <x v="0"/>
    <x v="28"/>
    <x v="28"/>
    <x v="44"/>
    <x v="44"/>
    <x v="44"/>
    <x v="19"/>
    <x v="140"/>
    <x v="29"/>
    <x v="118"/>
    <x v="97"/>
    <x v="48"/>
    <x v="101"/>
    <x v="0"/>
  </r>
  <r>
    <x v="0"/>
    <x v="28"/>
    <x v="28"/>
    <x v="51"/>
    <x v="51"/>
    <x v="51"/>
    <x v="19"/>
    <x v="140"/>
    <x v="29"/>
    <x v="129"/>
    <x v="70"/>
    <x v="78"/>
    <x v="79"/>
    <x v="0"/>
  </r>
  <r>
    <x v="0"/>
    <x v="28"/>
    <x v="28"/>
    <x v="34"/>
    <x v="34"/>
    <x v="34"/>
    <x v="19"/>
    <x v="140"/>
    <x v="29"/>
    <x v="130"/>
    <x v="312"/>
    <x v="67"/>
    <x v="252"/>
    <x v="0"/>
  </r>
  <r>
    <x v="0"/>
    <x v="28"/>
    <x v="28"/>
    <x v="72"/>
    <x v="72"/>
    <x v="72"/>
    <x v="19"/>
    <x v="140"/>
    <x v="29"/>
    <x v="129"/>
    <x v="70"/>
    <x v="78"/>
    <x v="79"/>
    <x v="0"/>
  </r>
  <r>
    <x v="0"/>
    <x v="28"/>
    <x v="28"/>
    <x v="59"/>
    <x v="59"/>
    <x v="59"/>
    <x v="19"/>
    <x v="140"/>
    <x v="29"/>
    <x v="105"/>
    <x v="95"/>
    <x v="80"/>
    <x v="108"/>
    <x v="0"/>
  </r>
  <r>
    <x v="0"/>
    <x v="28"/>
    <x v="28"/>
    <x v="19"/>
    <x v="19"/>
    <x v="19"/>
    <x v="19"/>
    <x v="140"/>
    <x v="29"/>
    <x v="118"/>
    <x v="97"/>
    <x v="48"/>
    <x v="101"/>
    <x v="0"/>
  </r>
  <r>
    <x v="0"/>
    <x v="28"/>
    <x v="28"/>
    <x v="15"/>
    <x v="15"/>
    <x v="15"/>
    <x v="19"/>
    <x v="140"/>
    <x v="29"/>
    <x v="129"/>
    <x v="70"/>
    <x v="78"/>
    <x v="79"/>
    <x v="0"/>
  </r>
  <r>
    <x v="0"/>
    <x v="28"/>
    <x v="28"/>
    <x v="5"/>
    <x v="5"/>
    <x v="5"/>
    <x v="19"/>
    <x v="140"/>
    <x v="29"/>
    <x v="105"/>
    <x v="95"/>
    <x v="80"/>
    <x v="108"/>
    <x v="0"/>
  </r>
  <r>
    <x v="0"/>
    <x v="28"/>
    <x v="28"/>
    <x v="73"/>
    <x v="73"/>
    <x v="73"/>
    <x v="19"/>
    <x v="140"/>
    <x v="29"/>
    <x v="118"/>
    <x v="97"/>
    <x v="80"/>
    <x v="108"/>
    <x v="0"/>
  </r>
  <r>
    <x v="0"/>
    <x v="28"/>
    <x v="28"/>
    <x v="74"/>
    <x v="74"/>
    <x v="74"/>
    <x v="19"/>
    <x v="140"/>
    <x v="29"/>
    <x v="130"/>
    <x v="312"/>
    <x v="48"/>
    <x v="101"/>
    <x v="0"/>
  </r>
  <r>
    <x v="0"/>
    <x v="29"/>
    <x v="29"/>
    <x v="0"/>
    <x v="0"/>
    <x v="0"/>
    <x v="0"/>
    <x v="100"/>
    <x v="78"/>
    <x v="54"/>
    <x v="332"/>
    <x v="48"/>
    <x v="227"/>
    <x v="0"/>
  </r>
  <r>
    <x v="0"/>
    <x v="29"/>
    <x v="29"/>
    <x v="1"/>
    <x v="1"/>
    <x v="1"/>
    <x v="1"/>
    <x v="101"/>
    <x v="181"/>
    <x v="54"/>
    <x v="332"/>
    <x v="80"/>
    <x v="108"/>
    <x v="0"/>
  </r>
  <r>
    <x v="0"/>
    <x v="29"/>
    <x v="29"/>
    <x v="7"/>
    <x v="7"/>
    <x v="7"/>
    <x v="2"/>
    <x v="127"/>
    <x v="108"/>
    <x v="105"/>
    <x v="36"/>
    <x v="59"/>
    <x v="255"/>
    <x v="0"/>
  </r>
  <r>
    <x v="0"/>
    <x v="29"/>
    <x v="29"/>
    <x v="51"/>
    <x v="51"/>
    <x v="51"/>
    <x v="3"/>
    <x v="103"/>
    <x v="225"/>
    <x v="106"/>
    <x v="204"/>
    <x v="80"/>
    <x v="108"/>
    <x v="0"/>
  </r>
  <r>
    <x v="0"/>
    <x v="29"/>
    <x v="29"/>
    <x v="20"/>
    <x v="20"/>
    <x v="20"/>
    <x v="3"/>
    <x v="103"/>
    <x v="225"/>
    <x v="79"/>
    <x v="333"/>
    <x v="78"/>
    <x v="256"/>
    <x v="0"/>
  </r>
  <r>
    <x v="0"/>
    <x v="29"/>
    <x v="29"/>
    <x v="3"/>
    <x v="3"/>
    <x v="3"/>
    <x v="3"/>
    <x v="103"/>
    <x v="225"/>
    <x v="106"/>
    <x v="204"/>
    <x v="80"/>
    <x v="108"/>
    <x v="0"/>
  </r>
  <r>
    <x v="0"/>
    <x v="29"/>
    <x v="29"/>
    <x v="6"/>
    <x v="6"/>
    <x v="6"/>
    <x v="5"/>
    <x v="134"/>
    <x v="235"/>
    <x v="108"/>
    <x v="46"/>
    <x v="67"/>
    <x v="234"/>
    <x v="0"/>
  </r>
  <r>
    <x v="0"/>
    <x v="29"/>
    <x v="29"/>
    <x v="54"/>
    <x v="54"/>
    <x v="54"/>
    <x v="6"/>
    <x v="136"/>
    <x v="174"/>
    <x v="105"/>
    <x v="36"/>
    <x v="42"/>
    <x v="257"/>
    <x v="0"/>
  </r>
  <r>
    <x v="0"/>
    <x v="29"/>
    <x v="29"/>
    <x v="34"/>
    <x v="34"/>
    <x v="34"/>
    <x v="6"/>
    <x v="136"/>
    <x v="174"/>
    <x v="107"/>
    <x v="267"/>
    <x v="67"/>
    <x v="234"/>
    <x v="0"/>
  </r>
  <r>
    <x v="0"/>
    <x v="29"/>
    <x v="29"/>
    <x v="11"/>
    <x v="11"/>
    <x v="11"/>
    <x v="8"/>
    <x v="137"/>
    <x v="147"/>
    <x v="118"/>
    <x v="213"/>
    <x v="42"/>
    <x v="257"/>
    <x v="0"/>
  </r>
  <r>
    <x v="0"/>
    <x v="29"/>
    <x v="29"/>
    <x v="38"/>
    <x v="38"/>
    <x v="38"/>
    <x v="8"/>
    <x v="137"/>
    <x v="147"/>
    <x v="105"/>
    <x v="36"/>
    <x v="67"/>
    <x v="234"/>
    <x v="0"/>
  </r>
  <r>
    <x v="0"/>
    <x v="29"/>
    <x v="29"/>
    <x v="4"/>
    <x v="4"/>
    <x v="4"/>
    <x v="8"/>
    <x v="137"/>
    <x v="147"/>
    <x v="108"/>
    <x v="46"/>
    <x v="80"/>
    <x v="108"/>
    <x v="0"/>
  </r>
  <r>
    <x v="0"/>
    <x v="29"/>
    <x v="29"/>
    <x v="44"/>
    <x v="44"/>
    <x v="44"/>
    <x v="11"/>
    <x v="138"/>
    <x v="118"/>
    <x v="107"/>
    <x v="267"/>
    <x v="48"/>
    <x v="227"/>
    <x v="0"/>
  </r>
  <r>
    <x v="0"/>
    <x v="29"/>
    <x v="29"/>
    <x v="12"/>
    <x v="12"/>
    <x v="12"/>
    <x v="11"/>
    <x v="138"/>
    <x v="118"/>
    <x v="105"/>
    <x v="36"/>
    <x v="78"/>
    <x v="256"/>
    <x v="0"/>
  </r>
  <r>
    <x v="0"/>
    <x v="29"/>
    <x v="29"/>
    <x v="18"/>
    <x v="18"/>
    <x v="18"/>
    <x v="11"/>
    <x v="138"/>
    <x v="118"/>
    <x v="105"/>
    <x v="36"/>
    <x v="78"/>
    <x v="256"/>
    <x v="0"/>
  </r>
  <r>
    <x v="0"/>
    <x v="29"/>
    <x v="29"/>
    <x v="10"/>
    <x v="10"/>
    <x v="10"/>
    <x v="19"/>
    <x v="139"/>
    <x v="170"/>
    <x v="118"/>
    <x v="213"/>
    <x v="78"/>
    <x v="256"/>
    <x v="0"/>
  </r>
  <r>
    <x v="0"/>
    <x v="29"/>
    <x v="29"/>
    <x v="70"/>
    <x v="70"/>
    <x v="70"/>
    <x v="19"/>
    <x v="139"/>
    <x v="170"/>
    <x v="107"/>
    <x v="267"/>
    <x v="80"/>
    <x v="108"/>
    <x v="0"/>
  </r>
  <r>
    <x v="0"/>
    <x v="29"/>
    <x v="29"/>
    <x v="33"/>
    <x v="33"/>
    <x v="33"/>
    <x v="19"/>
    <x v="139"/>
    <x v="170"/>
    <x v="107"/>
    <x v="267"/>
    <x v="80"/>
    <x v="108"/>
    <x v="0"/>
  </r>
  <r>
    <x v="0"/>
    <x v="29"/>
    <x v="29"/>
    <x v="75"/>
    <x v="75"/>
    <x v="75"/>
    <x v="19"/>
    <x v="139"/>
    <x v="170"/>
    <x v="118"/>
    <x v="213"/>
    <x v="78"/>
    <x v="256"/>
    <x v="0"/>
  </r>
  <r>
    <x v="0"/>
    <x v="29"/>
    <x v="29"/>
    <x v="5"/>
    <x v="5"/>
    <x v="5"/>
    <x v="19"/>
    <x v="139"/>
    <x v="170"/>
    <x v="107"/>
    <x v="267"/>
    <x v="80"/>
    <x v="108"/>
    <x v="0"/>
  </r>
  <r>
    <x v="0"/>
    <x v="29"/>
    <x v="29"/>
    <x v="76"/>
    <x v="76"/>
    <x v="76"/>
    <x v="19"/>
    <x v="139"/>
    <x v="170"/>
    <x v="129"/>
    <x v="334"/>
    <x v="67"/>
    <x v="234"/>
    <x v="0"/>
  </r>
  <r>
    <x v="0"/>
    <x v="29"/>
    <x v="29"/>
    <x v="66"/>
    <x v="66"/>
    <x v="66"/>
    <x v="19"/>
    <x v="139"/>
    <x v="170"/>
    <x v="118"/>
    <x v="213"/>
    <x v="78"/>
    <x v="256"/>
    <x v="0"/>
  </r>
  <r>
    <x v="0"/>
    <x v="30"/>
    <x v="30"/>
    <x v="7"/>
    <x v="7"/>
    <x v="7"/>
    <x v="0"/>
    <x v="104"/>
    <x v="236"/>
    <x v="82"/>
    <x v="63"/>
    <x v="87"/>
    <x v="258"/>
    <x v="0"/>
  </r>
  <r>
    <x v="0"/>
    <x v="30"/>
    <x v="30"/>
    <x v="0"/>
    <x v="0"/>
    <x v="0"/>
    <x v="1"/>
    <x v="93"/>
    <x v="237"/>
    <x v="52"/>
    <x v="335"/>
    <x v="67"/>
    <x v="168"/>
    <x v="0"/>
  </r>
  <r>
    <x v="0"/>
    <x v="30"/>
    <x v="30"/>
    <x v="3"/>
    <x v="3"/>
    <x v="3"/>
    <x v="2"/>
    <x v="96"/>
    <x v="108"/>
    <x v="93"/>
    <x v="336"/>
    <x v="80"/>
    <x v="108"/>
    <x v="0"/>
  </r>
  <r>
    <x v="0"/>
    <x v="30"/>
    <x v="30"/>
    <x v="6"/>
    <x v="6"/>
    <x v="6"/>
    <x v="3"/>
    <x v="113"/>
    <x v="238"/>
    <x v="82"/>
    <x v="63"/>
    <x v="52"/>
    <x v="15"/>
    <x v="0"/>
  </r>
  <r>
    <x v="0"/>
    <x v="30"/>
    <x v="30"/>
    <x v="1"/>
    <x v="1"/>
    <x v="1"/>
    <x v="18"/>
    <x v="97"/>
    <x v="239"/>
    <x v="49"/>
    <x v="42"/>
    <x v="78"/>
    <x v="55"/>
    <x v="0"/>
  </r>
  <r>
    <x v="0"/>
    <x v="30"/>
    <x v="30"/>
    <x v="62"/>
    <x v="62"/>
    <x v="62"/>
    <x v="4"/>
    <x v="98"/>
    <x v="189"/>
    <x v="130"/>
    <x v="312"/>
    <x v="80"/>
    <x v="108"/>
    <x v="0"/>
  </r>
  <r>
    <x v="0"/>
    <x v="30"/>
    <x v="30"/>
    <x v="10"/>
    <x v="10"/>
    <x v="10"/>
    <x v="5"/>
    <x v="129"/>
    <x v="138"/>
    <x v="48"/>
    <x v="337"/>
    <x v="74"/>
    <x v="259"/>
    <x v="0"/>
  </r>
  <r>
    <x v="0"/>
    <x v="30"/>
    <x v="30"/>
    <x v="11"/>
    <x v="11"/>
    <x v="11"/>
    <x v="6"/>
    <x v="100"/>
    <x v="184"/>
    <x v="107"/>
    <x v="83"/>
    <x v="26"/>
    <x v="242"/>
    <x v="0"/>
  </r>
  <r>
    <x v="0"/>
    <x v="30"/>
    <x v="30"/>
    <x v="27"/>
    <x v="27"/>
    <x v="27"/>
    <x v="7"/>
    <x v="127"/>
    <x v="84"/>
    <x v="78"/>
    <x v="338"/>
    <x v="67"/>
    <x v="168"/>
    <x v="0"/>
  </r>
  <r>
    <x v="0"/>
    <x v="30"/>
    <x v="30"/>
    <x v="19"/>
    <x v="19"/>
    <x v="19"/>
    <x v="7"/>
    <x v="127"/>
    <x v="84"/>
    <x v="106"/>
    <x v="339"/>
    <x v="78"/>
    <x v="55"/>
    <x v="0"/>
  </r>
  <r>
    <x v="0"/>
    <x v="30"/>
    <x v="30"/>
    <x v="8"/>
    <x v="8"/>
    <x v="8"/>
    <x v="9"/>
    <x v="102"/>
    <x v="72"/>
    <x v="78"/>
    <x v="338"/>
    <x v="78"/>
    <x v="55"/>
    <x v="0"/>
  </r>
  <r>
    <x v="0"/>
    <x v="30"/>
    <x v="30"/>
    <x v="4"/>
    <x v="4"/>
    <x v="4"/>
    <x v="9"/>
    <x v="102"/>
    <x v="72"/>
    <x v="102"/>
    <x v="59"/>
    <x v="80"/>
    <x v="108"/>
    <x v="0"/>
  </r>
  <r>
    <x v="0"/>
    <x v="30"/>
    <x v="30"/>
    <x v="12"/>
    <x v="12"/>
    <x v="12"/>
    <x v="11"/>
    <x v="103"/>
    <x v="140"/>
    <x v="107"/>
    <x v="83"/>
    <x v="61"/>
    <x v="243"/>
    <x v="0"/>
  </r>
  <r>
    <x v="0"/>
    <x v="30"/>
    <x v="30"/>
    <x v="38"/>
    <x v="38"/>
    <x v="38"/>
    <x v="12"/>
    <x v="134"/>
    <x v="97"/>
    <x v="79"/>
    <x v="43"/>
    <x v="48"/>
    <x v="241"/>
    <x v="0"/>
  </r>
  <r>
    <x v="0"/>
    <x v="30"/>
    <x v="30"/>
    <x v="48"/>
    <x v="48"/>
    <x v="48"/>
    <x v="12"/>
    <x v="134"/>
    <x v="97"/>
    <x v="107"/>
    <x v="83"/>
    <x v="52"/>
    <x v="15"/>
    <x v="0"/>
  </r>
  <r>
    <x v="0"/>
    <x v="30"/>
    <x v="30"/>
    <x v="9"/>
    <x v="9"/>
    <x v="9"/>
    <x v="12"/>
    <x v="134"/>
    <x v="97"/>
    <x v="78"/>
    <x v="338"/>
    <x v="80"/>
    <x v="108"/>
    <x v="0"/>
  </r>
  <r>
    <x v="0"/>
    <x v="30"/>
    <x v="30"/>
    <x v="16"/>
    <x v="16"/>
    <x v="16"/>
    <x v="12"/>
    <x v="134"/>
    <x v="97"/>
    <x v="105"/>
    <x v="340"/>
    <x v="52"/>
    <x v="15"/>
    <x v="0"/>
  </r>
  <r>
    <x v="0"/>
    <x v="30"/>
    <x v="30"/>
    <x v="45"/>
    <x v="45"/>
    <x v="45"/>
    <x v="12"/>
    <x v="134"/>
    <x v="97"/>
    <x v="79"/>
    <x v="43"/>
    <x v="48"/>
    <x v="241"/>
    <x v="0"/>
  </r>
  <r>
    <x v="0"/>
    <x v="30"/>
    <x v="30"/>
    <x v="61"/>
    <x v="61"/>
    <x v="61"/>
    <x v="16"/>
    <x v="135"/>
    <x v="169"/>
    <x v="80"/>
    <x v="341"/>
    <x v="67"/>
    <x v="168"/>
    <x v="0"/>
  </r>
  <r>
    <x v="0"/>
    <x v="30"/>
    <x v="30"/>
    <x v="14"/>
    <x v="14"/>
    <x v="14"/>
    <x v="16"/>
    <x v="135"/>
    <x v="169"/>
    <x v="107"/>
    <x v="83"/>
    <x v="42"/>
    <x v="244"/>
    <x v="0"/>
  </r>
  <r>
    <x v="0"/>
    <x v="30"/>
    <x v="30"/>
    <x v="5"/>
    <x v="5"/>
    <x v="5"/>
    <x v="16"/>
    <x v="135"/>
    <x v="169"/>
    <x v="80"/>
    <x v="341"/>
    <x v="67"/>
    <x v="168"/>
    <x v="0"/>
  </r>
  <r>
    <x v="0"/>
    <x v="31"/>
    <x v="31"/>
    <x v="6"/>
    <x v="6"/>
    <x v="6"/>
    <x v="0"/>
    <x v="96"/>
    <x v="240"/>
    <x v="49"/>
    <x v="342"/>
    <x v="45"/>
    <x v="260"/>
    <x v="0"/>
  </r>
  <r>
    <x v="0"/>
    <x v="31"/>
    <x v="31"/>
    <x v="0"/>
    <x v="0"/>
    <x v="0"/>
    <x v="1"/>
    <x v="112"/>
    <x v="241"/>
    <x v="61"/>
    <x v="343"/>
    <x v="67"/>
    <x v="80"/>
    <x v="0"/>
  </r>
  <r>
    <x v="0"/>
    <x v="31"/>
    <x v="31"/>
    <x v="8"/>
    <x v="8"/>
    <x v="8"/>
    <x v="1"/>
    <x v="112"/>
    <x v="241"/>
    <x v="84"/>
    <x v="150"/>
    <x v="48"/>
    <x v="261"/>
    <x v="0"/>
  </r>
  <r>
    <x v="0"/>
    <x v="31"/>
    <x v="31"/>
    <x v="1"/>
    <x v="1"/>
    <x v="1"/>
    <x v="3"/>
    <x v="97"/>
    <x v="242"/>
    <x v="49"/>
    <x v="342"/>
    <x v="78"/>
    <x v="5"/>
    <x v="0"/>
  </r>
  <r>
    <x v="0"/>
    <x v="31"/>
    <x v="31"/>
    <x v="11"/>
    <x v="11"/>
    <x v="11"/>
    <x v="18"/>
    <x v="100"/>
    <x v="243"/>
    <x v="107"/>
    <x v="226"/>
    <x v="26"/>
    <x v="97"/>
    <x v="0"/>
  </r>
  <r>
    <x v="0"/>
    <x v="31"/>
    <x v="31"/>
    <x v="3"/>
    <x v="3"/>
    <x v="3"/>
    <x v="18"/>
    <x v="100"/>
    <x v="243"/>
    <x v="82"/>
    <x v="344"/>
    <x v="80"/>
    <x v="108"/>
    <x v="0"/>
  </r>
  <r>
    <x v="0"/>
    <x v="31"/>
    <x v="31"/>
    <x v="4"/>
    <x v="4"/>
    <x v="4"/>
    <x v="5"/>
    <x v="101"/>
    <x v="218"/>
    <x v="104"/>
    <x v="345"/>
    <x v="48"/>
    <x v="261"/>
    <x v="0"/>
  </r>
  <r>
    <x v="0"/>
    <x v="31"/>
    <x v="31"/>
    <x v="7"/>
    <x v="7"/>
    <x v="7"/>
    <x v="6"/>
    <x v="102"/>
    <x v="139"/>
    <x v="118"/>
    <x v="7"/>
    <x v="59"/>
    <x v="229"/>
    <x v="0"/>
  </r>
  <r>
    <x v="0"/>
    <x v="31"/>
    <x v="31"/>
    <x v="61"/>
    <x v="61"/>
    <x v="61"/>
    <x v="6"/>
    <x v="102"/>
    <x v="139"/>
    <x v="79"/>
    <x v="346"/>
    <x v="67"/>
    <x v="80"/>
    <x v="0"/>
  </r>
  <r>
    <x v="0"/>
    <x v="31"/>
    <x v="31"/>
    <x v="23"/>
    <x v="23"/>
    <x v="23"/>
    <x v="6"/>
    <x v="102"/>
    <x v="139"/>
    <x v="78"/>
    <x v="264"/>
    <x v="78"/>
    <x v="5"/>
    <x v="0"/>
  </r>
  <r>
    <x v="0"/>
    <x v="31"/>
    <x v="31"/>
    <x v="10"/>
    <x v="10"/>
    <x v="10"/>
    <x v="9"/>
    <x v="134"/>
    <x v="192"/>
    <x v="105"/>
    <x v="184"/>
    <x v="61"/>
    <x v="47"/>
    <x v="0"/>
  </r>
  <r>
    <x v="0"/>
    <x v="31"/>
    <x v="31"/>
    <x v="12"/>
    <x v="12"/>
    <x v="12"/>
    <x v="9"/>
    <x v="134"/>
    <x v="192"/>
    <x v="108"/>
    <x v="347"/>
    <x v="67"/>
    <x v="80"/>
    <x v="0"/>
  </r>
  <r>
    <x v="0"/>
    <x v="31"/>
    <x v="31"/>
    <x v="44"/>
    <x v="44"/>
    <x v="44"/>
    <x v="11"/>
    <x v="135"/>
    <x v="27"/>
    <x v="107"/>
    <x v="226"/>
    <x v="42"/>
    <x v="189"/>
    <x v="0"/>
  </r>
  <r>
    <x v="0"/>
    <x v="31"/>
    <x v="31"/>
    <x v="9"/>
    <x v="9"/>
    <x v="9"/>
    <x v="11"/>
    <x v="135"/>
    <x v="27"/>
    <x v="80"/>
    <x v="348"/>
    <x v="67"/>
    <x v="80"/>
    <x v="0"/>
  </r>
  <r>
    <x v="0"/>
    <x v="31"/>
    <x v="31"/>
    <x v="18"/>
    <x v="18"/>
    <x v="18"/>
    <x v="11"/>
    <x v="135"/>
    <x v="27"/>
    <x v="48"/>
    <x v="349"/>
    <x v="48"/>
    <x v="261"/>
    <x v="0"/>
  </r>
  <r>
    <x v="0"/>
    <x v="31"/>
    <x v="31"/>
    <x v="20"/>
    <x v="20"/>
    <x v="20"/>
    <x v="19"/>
    <x v="136"/>
    <x v="194"/>
    <x v="107"/>
    <x v="226"/>
    <x v="67"/>
    <x v="80"/>
    <x v="0"/>
  </r>
  <r>
    <x v="0"/>
    <x v="31"/>
    <x v="31"/>
    <x v="41"/>
    <x v="41"/>
    <x v="41"/>
    <x v="19"/>
    <x v="136"/>
    <x v="194"/>
    <x v="108"/>
    <x v="347"/>
    <x v="48"/>
    <x v="261"/>
    <x v="0"/>
  </r>
  <r>
    <x v="0"/>
    <x v="31"/>
    <x v="31"/>
    <x v="38"/>
    <x v="38"/>
    <x v="38"/>
    <x v="15"/>
    <x v="137"/>
    <x v="89"/>
    <x v="107"/>
    <x v="226"/>
    <x v="78"/>
    <x v="5"/>
    <x v="0"/>
  </r>
  <r>
    <x v="0"/>
    <x v="31"/>
    <x v="31"/>
    <x v="35"/>
    <x v="35"/>
    <x v="35"/>
    <x v="15"/>
    <x v="137"/>
    <x v="89"/>
    <x v="105"/>
    <x v="184"/>
    <x v="67"/>
    <x v="80"/>
    <x v="0"/>
  </r>
  <r>
    <x v="0"/>
    <x v="31"/>
    <x v="31"/>
    <x v="27"/>
    <x v="27"/>
    <x v="27"/>
    <x v="17"/>
    <x v="138"/>
    <x v="244"/>
    <x v="105"/>
    <x v="184"/>
    <x v="78"/>
    <x v="5"/>
    <x v="0"/>
  </r>
  <r>
    <x v="0"/>
    <x v="31"/>
    <x v="31"/>
    <x v="67"/>
    <x v="67"/>
    <x v="67"/>
    <x v="17"/>
    <x v="138"/>
    <x v="244"/>
    <x v="118"/>
    <x v="7"/>
    <x v="67"/>
    <x v="80"/>
    <x v="0"/>
  </r>
  <r>
    <x v="0"/>
    <x v="31"/>
    <x v="31"/>
    <x v="42"/>
    <x v="42"/>
    <x v="42"/>
    <x v="17"/>
    <x v="138"/>
    <x v="244"/>
    <x v="118"/>
    <x v="7"/>
    <x v="67"/>
    <x v="80"/>
    <x v="0"/>
  </r>
  <r>
    <x v="0"/>
    <x v="31"/>
    <x v="31"/>
    <x v="13"/>
    <x v="13"/>
    <x v="13"/>
    <x v="17"/>
    <x v="138"/>
    <x v="244"/>
    <x v="80"/>
    <x v="348"/>
    <x v="80"/>
    <x v="108"/>
    <x v="0"/>
  </r>
  <r>
    <x v="0"/>
    <x v="31"/>
    <x v="31"/>
    <x v="22"/>
    <x v="22"/>
    <x v="22"/>
    <x v="17"/>
    <x v="138"/>
    <x v="244"/>
    <x v="105"/>
    <x v="184"/>
    <x v="78"/>
    <x v="5"/>
    <x v="0"/>
  </r>
  <r>
    <x v="0"/>
    <x v="32"/>
    <x v="32"/>
    <x v="0"/>
    <x v="0"/>
    <x v="0"/>
    <x v="0"/>
    <x v="108"/>
    <x v="245"/>
    <x v="101"/>
    <x v="350"/>
    <x v="48"/>
    <x v="262"/>
    <x v="0"/>
  </r>
  <r>
    <x v="0"/>
    <x v="32"/>
    <x v="32"/>
    <x v="8"/>
    <x v="8"/>
    <x v="8"/>
    <x v="1"/>
    <x v="109"/>
    <x v="246"/>
    <x v="84"/>
    <x v="351"/>
    <x v="52"/>
    <x v="263"/>
    <x v="0"/>
  </r>
  <r>
    <x v="0"/>
    <x v="32"/>
    <x v="32"/>
    <x v="7"/>
    <x v="7"/>
    <x v="7"/>
    <x v="2"/>
    <x v="111"/>
    <x v="178"/>
    <x v="80"/>
    <x v="172"/>
    <x v="43"/>
    <x v="264"/>
    <x v="0"/>
  </r>
  <r>
    <x v="0"/>
    <x v="32"/>
    <x v="32"/>
    <x v="6"/>
    <x v="6"/>
    <x v="6"/>
    <x v="3"/>
    <x v="112"/>
    <x v="247"/>
    <x v="54"/>
    <x v="352"/>
    <x v="45"/>
    <x v="265"/>
    <x v="0"/>
  </r>
  <r>
    <x v="0"/>
    <x v="32"/>
    <x v="32"/>
    <x v="3"/>
    <x v="3"/>
    <x v="3"/>
    <x v="3"/>
    <x v="112"/>
    <x v="247"/>
    <x v="72"/>
    <x v="353"/>
    <x v="80"/>
    <x v="108"/>
    <x v="0"/>
  </r>
  <r>
    <x v="0"/>
    <x v="32"/>
    <x v="32"/>
    <x v="1"/>
    <x v="1"/>
    <x v="1"/>
    <x v="4"/>
    <x v="129"/>
    <x v="70"/>
    <x v="82"/>
    <x v="354"/>
    <x v="48"/>
    <x v="262"/>
    <x v="0"/>
  </r>
  <r>
    <x v="0"/>
    <x v="32"/>
    <x v="32"/>
    <x v="34"/>
    <x v="34"/>
    <x v="34"/>
    <x v="5"/>
    <x v="101"/>
    <x v="203"/>
    <x v="105"/>
    <x v="156"/>
    <x v="26"/>
    <x v="220"/>
    <x v="0"/>
  </r>
  <r>
    <x v="0"/>
    <x v="32"/>
    <x v="32"/>
    <x v="23"/>
    <x v="23"/>
    <x v="23"/>
    <x v="5"/>
    <x v="101"/>
    <x v="203"/>
    <x v="48"/>
    <x v="299"/>
    <x v="61"/>
    <x v="145"/>
    <x v="0"/>
  </r>
  <r>
    <x v="0"/>
    <x v="32"/>
    <x v="32"/>
    <x v="11"/>
    <x v="11"/>
    <x v="11"/>
    <x v="7"/>
    <x v="127"/>
    <x v="130"/>
    <x v="107"/>
    <x v="311"/>
    <x v="74"/>
    <x v="222"/>
    <x v="0"/>
  </r>
  <r>
    <x v="0"/>
    <x v="32"/>
    <x v="32"/>
    <x v="4"/>
    <x v="4"/>
    <x v="4"/>
    <x v="7"/>
    <x v="127"/>
    <x v="130"/>
    <x v="102"/>
    <x v="307"/>
    <x v="48"/>
    <x v="262"/>
    <x v="0"/>
  </r>
  <r>
    <x v="0"/>
    <x v="32"/>
    <x v="32"/>
    <x v="10"/>
    <x v="10"/>
    <x v="10"/>
    <x v="9"/>
    <x v="102"/>
    <x v="166"/>
    <x v="79"/>
    <x v="313"/>
    <x v="67"/>
    <x v="140"/>
    <x v="0"/>
  </r>
  <r>
    <x v="0"/>
    <x v="32"/>
    <x v="32"/>
    <x v="2"/>
    <x v="2"/>
    <x v="2"/>
    <x v="9"/>
    <x v="102"/>
    <x v="166"/>
    <x v="78"/>
    <x v="131"/>
    <x v="78"/>
    <x v="128"/>
    <x v="0"/>
  </r>
  <r>
    <x v="0"/>
    <x v="32"/>
    <x v="32"/>
    <x v="27"/>
    <x v="27"/>
    <x v="27"/>
    <x v="11"/>
    <x v="103"/>
    <x v="73"/>
    <x v="78"/>
    <x v="131"/>
    <x v="48"/>
    <x v="262"/>
    <x v="0"/>
  </r>
  <r>
    <x v="0"/>
    <x v="32"/>
    <x v="32"/>
    <x v="5"/>
    <x v="5"/>
    <x v="5"/>
    <x v="11"/>
    <x v="103"/>
    <x v="73"/>
    <x v="78"/>
    <x v="131"/>
    <x v="48"/>
    <x v="262"/>
    <x v="0"/>
  </r>
  <r>
    <x v="0"/>
    <x v="32"/>
    <x v="32"/>
    <x v="12"/>
    <x v="12"/>
    <x v="12"/>
    <x v="13"/>
    <x v="134"/>
    <x v="10"/>
    <x v="107"/>
    <x v="311"/>
    <x v="52"/>
    <x v="263"/>
    <x v="0"/>
  </r>
  <r>
    <x v="0"/>
    <x v="32"/>
    <x v="32"/>
    <x v="16"/>
    <x v="16"/>
    <x v="16"/>
    <x v="13"/>
    <x v="134"/>
    <x v="10"/>
    <x v="48"/>
    <x v="299"/>
    <x v="78"/>
    <x v="128"/>
    <x v="0"/>
  </r>
  <r>
    <x v="0"/>
    <x v="32"/>
    <x v="32"/>
    <x v="77"/>
    <x v="77"/>
    <x v="77"/>
    <x v="13"/>
    <x v="134"/>
    <x v="10"/>
    <x v="130"/>
    <x v="312"/>
    <x v="78"/>
    <x v="128"/>
    <x v="0"/>
  </r>
  <r>
    <x v="0"/>
    <x v="32"/>
    <x v="32"/>
    <x v="18"/>
    <x v="18"/>
    <x v="18"/>
    <x v="13"/>
    <x v="134"/>
    <x v="10"/>
    <x v="48"/>
    <x v="299"/>
    <x v="78"/>
    <x v="128"/>
    <x v="0"/>
  </r>
  <r>
    <x v="0"/>
    <x v="32"/>
    <x v="32"/>
    <x v="14"/>
    <x v="14"/>
    <x v="14"/>
    <x v="16"/>
    <x v="135"/>
    <x v="31"/>
    <x v="108"/>
    <x v="308"/>
    <x v="78"/>
    <x v="128"/>
    <x v="0"/>
  </r>
  <r>
    <x v="0"/>
    <x v="32"/>
    <x v="32"/>
    <x v="9"/>
    <x v="9"/>
    <x v="9"/>
    <x v="16"/>
    <x v="135"/>
    <x v="31"/>
    <x v="108"/>
    <x v="308"/>
    <x v="78"/>
    <x v="128"/>
    <x v="0"/>
  </r>
  <r>
    <x v="0"/>
    <x v="33"/>
    <x v="33"/>
    <x v="0"/>
    <x v="0"/>
    <x v="0"/>
    <x v="0"/>
    <x v="84"/>
    <x v="248"/>
    <x v="113"/>
    <x v="355"/>
    <x v="67"/>
    <x v="169"/>
    <x v="0"/>
  </r>
  <r>
    <x v="0"/>
    <x v="33"/>
    <x v="33"/>
    <x v="2"/>
    <x v="2"/>
    <x v="2"/>
    <x v="1"/>
    <x v="96"/>
    <x v="249"/>
    <x v="61"/>
    <x v="356"/>
    <x v="61"/>
    <x v="266"/>
    <x v="0"/>
  </r>
  <r>
    <x v="0"/>
    <x v="33"/>
    <x v="33"/>
    <x v="5"/>
    <x v="5"/>
    <x v="5"/>
    <x v="2"/>
    <x v="112"/>
    <x v="232"/>
    <x v="54"/>
    <x v="357"/>
    <x v="45"/>
    <x v="252"/>
    <x v="0"/>
  </r>
  <r>
    <x v="0"/>
    <x v="33"/>
    <x v="33"/>
    <x v="1"/>
    <x v="1"/>
    <x v="1"/>
    <x v="3"/>
    <x v="97"/>
    <x v="250"/>
    <x v="61"/>
    <x v="356"/>
    <x v="48"/>
    <x v="61"/>
    <x v="0"/>
  </r>
  <r>
    <x v="0"/>
    <x v="33"/>
    <x v="33"/>
    <x v="13"/>
    <x v="13"/>
    <x v="13"/>
    <x v="18"/>
    <x v="101"/>
    <x v="251"/>
    <x v="104"/>
    <x v="358"/>
    <x v="48"/>
    <x v="61"/>
    <x v="0"/>
  </r>
  <r>
    <x v="0"/>
    <x v="33"/>
    <x v="33"/>
    <x v="4"/>
    <x v="4"/>
    <x v="4"/>
    <x v="18"/>
    <x v="101"/>
    <x v="251"/>
    <x v="106"/>
    <x v="152"/>
    <x v="67"/>
    <x v="169"/>
    <x v="0"/>
  </r>
  <r>
    <x v="0"/>
    <x v="33"/>
    <x v="33"/>
    <x v="9"/>
    <x v="9"/>
    <x v="9"/>
    <x v="5"/>
    <x v="127"/>
    <x v="53"/>
    <x v="80"/>
    <x v="359"/>
    <x v="45"/>
    <x v="252"/>
    <x v="0"/>
  </r>
  <r>
    <x v="0"/>
    <x v="33"/>
    <x v="33"/>
    <x v="6"/>
    <x v="6"/>
    <x v="6"/>
    <x v="6"/>
    <x v="102"/>
    <x v="3"/>
    <x v="80"/>
    <x v="359"/>
    <x v="61"/>
    <x v="266"/>
    <x v="0"/>
  </r>
  <r>
    <x v="0"/>
    <x v="33"/>
    <x v="33"/>
    <x v="22"/>
    <x v="22"/>
    <x v="22"/>
    <x v="7"/>
    <x v="103"/>
    <x v="234"/>
    <x v="107"/>
    <x v="302"/>
    <x v="61"/>
    <x v="266"/>
    <x v="0"/>
  </r>
  <r>
    <x v="0"/>
    <x v="33"/>
    <x v="33"/>
    <x v="8"/>
    <x v="8"/>
    <x v="8"/>
    <x v="7"/>
    <x v="103"/>
    <x v="234"/>
    <x v="108"/>
    <x v="170"/>
    <x v="42"/>
    <x v="267"/>
    <x v="0"/>
  </r>
  <r>
    <x v="0"/>
    <x v="33"/>
    <x v="33"/>
    <x v="20"/>
    <x v="20"/>
    <x v="20"/>
    <x v="9"/>
    <x v="134"/>
    <x v="252"/>
    <x v="118"/>
    <x v="256"/>
    <x v="45"/>
    <x v="252"/>
    <x v="0"/>
  </r>
  <r>
    <x v="0"/>
    <x v="33"/>
    <x v="33"/>
    <x v="3"/>
    <x v="3"/>
    <x v="3"/>
    <x v="9"/>
    <x v="134"/>
    <x v="252"/>
    <x v="78"/>
    <x v="130"/>
    <x v="80"/>
    <x v="108"/>
    <x v="0"/>
  </r>
  <r>
    <x v="0"/>
    <x v="33"/>
    <x v="33"/>
    <x v="23"/>
    <x v="23"/>
    <x v="23"/>
    <x v="9"/>
    <x v="134"/>
    <x v="252"/>
    <x v="80"/>
    <x v="359"/>
    <x v="42"/>
    <x v="267"/>
    <x v="0"/>
  </r>
  <r>
    <x v="0"/>
    <x v="33"/>
    <x v="33"/>
    <x v="14"/>
    <x v="14"/>
    <x v="14"/>
    <x v="12"/>
    <x v="135"/>
    <x v="131"/>
    <x v="105"/>
    <x v="106"/>
    <x v="52"/>
    <x v="228"/>
    <x v="0"/>
  </r>
  <r>
    <x v="0"/>
    <x v="33"/>
    <x v="33"/>
    <x v="38"/>
    <x v="38"/>
    <x v="38"/>
    <x v="13"/>
    <x v="136"/>
    <x v="140"/>
    <x v="118"/>
    <x v="256"/>
    <x v="52"/>
    <x v="228"/>
    <x v="0"/>
  </r>
  <r>
    <x v="0"/>
    <x v="33"/>
    <x v="33"/>
    <x v="26"/>
    <x v="26"/>
    <x v="26"/>
    <x v="13"/>
    <x v="136"/>
    <x v="140"/>
    <x v="107"/>
    <x v="302"/>
    <x v="67"/>
    <x v="169"/>
    <x v="0"/>
  </r>
  <r>
    <x v="0"/>
    <x v="33"/>
    <x v="33"/>
    <x v="52"/>
    <x v="52"/>
    <x v="52"/>
    <x v="13"/>
    <x v="136"/>
    <x v="140"/>
    <x v="129"/>
    <x v="98"/>
    <x v="61"/>
    <x v="266"/>
    <x v="0"/>
  </r>
  <r>
    <x v="0"/>
    <x v="33"/>
    <x v="33"/>
    <x v="21"/>
    <x v="21"/>
    <x v="21"/>
    <x v="13"/>
    <x v="136"/>
    <x v="140"/>
    <x v="48"/>
    <x v="360"/>
    <x v="80"/>
    <x v="108"/>
    <x v="0"/>
  </r>
  <r>
    <x v="0"/>
    <x v="33"/>
    <x v="33"/>
    <x v="7"/>
    <x v="7"/>
    <x v="7"/>
    <x v="16"/>
    <x v="137"/>
    <x v="29"/>
    <x v="130"/>
    <x v="312"/>
    <x v="61"/>
    <x v="266"/>
    <x v="0"/>
  </r>
  <r>
    <x v="0"/>
    <x v="33"/>
    <x v="33"/>
    <x v="11"/>
    <x v="11"/>
    <x v="11"/>
    <x v="17"/>
    <x v="138"/>
    <x v="76"/>
    <x v="129"/>
    <x v="98"/>
    <x v="42"/>
    <x v="267"/>
    <x v="0"/>
  </r>
  <r>
    <x v="0"/>
    <x v="33"/>
    <x v="33"/>
    <x v="78"/>
    <x v="78"/>
    <x v="78"/>
    <x v="17"/>
    <x v="138"/>
    <x v="76"/>
    <x v="129"/>
    <x v="98"/>
    <x v="42"/>
    <x v="267"/>
    <x v="0"/>
  </r>
  <r>
    <x v="0"/>
    <x v="33"/>
    <x v="33"/>
    <x v="79"/>
    <x v="79"/>
    <x v="79"/>
    <x v="17"/>
    <x v="138"/>
    <x v="76"/>
    <x v="80"/>
    <x v="359"/>
    <x v="80"/>
    <x v="108"/>
    <x v="0"/>
  </r>
  <r>
    <x v="0"/>
    <x v="34"/>
    <x v="34"/>
    <x v="1"/>
    <x v="1"/>
    <x v="1"/>
    <x v="0"/>
    <x v="136"/>
    <x v="253"/>
    <x v="48"/>
    <x v="361"/>
    <x v="80"/>
    <x v="108"/>
    <x v="0"/>
  </r>
  <r>
    <x v="0"/>
    <x v="34"/>
    <x v="34"/>
    <x v="0"/>
    <x v="0"/>
    <x v="0"/>
    <x v="0"/>
    <x v="136"/>
    <x v="253"/>
    <x v="48"/>
    <x v="361"/>
    <x v="80"/>
    <x v="108"/>
    <x v="0"/>
  </r>
  <r>
    <x v="0"/>
    <x v="34"/>
    <x v="34"/>
    <x v="11"/>
    <x v="11"/>
    <x v="11"/>
    <x v="2"/>
    <x v="138"/>
    <x v="254"/>
    <x v="129"/>
    <x v="175"/>
    <x v="42"/>
    <x v="268"/>
    <x v="0"/>
  </r>
  <r>
    <x v="0"/>
    <x v="34"/>
    <x v="34"/>
    <x v="6"/>
    <x v="6"/>
    <x v="6"/>
    <x v="2"/>
    <x v="138"/>
    <x v="254"/>
    <x v="80"/>
    <x v="362"/>
    <x v="80"/>
    <x v="108"/>
    <x v="0"/>
  </r>
  <r>
    <x v="0"/>
    <x v="34"/>
    <x v="34"/>
    <x v="12"/>
    <x v="12"/>
    <x v="12"/>
    <x v="18"/>
    <x v="139"/>
    <x v="238"/>
    <x v="130"/>
    <x v="312"/>
    <x v="42"/>
    <x v="268"/>
    <x v="0"/>
  </r>
  <r>
    <x v="0"/>
    <x v="34"/>
    <x v="34"/>
    <x v="34"/>
    <x v="34"/>
    <x v="34"/>
    <x v="18"/>
    <x v="139"/>
    <x v="238"/>
    <x v="105"/>
    <x v="363"/>
    <x v="48"/>
    <x v="112"/>
    <x v="0"/>
  </r>
  <r>
    <x v="0"/>
    <x v="34"/>
    <x v="34"/>
    <x v="8"/>
    <x v="8"/>
    <x v="8"/>
    <x v="18"/>
    <x v="139"/>
    <x v="238"/>
    <x v="107"/>
    <x v="364"/>
    <x v="80"/>
    <x v="108"/>
    <x v="0"/>
  </r>
  <r>
    <x v="0"/>
    <x v="34"/>
    <x v="34"/>
    <x v="44"/>
    <x v="44"/>
    <x v="44"/>
    <x v="6"/>
    <x v="140"/>
    <x v="255"/>
    <x v="105"/>
    <x v="363"/>
    <x v="80"/>
    <x v="108"/>
    <x v="0"/>
  </r>
  <r>
    <x v="0"/>
    <x v="34"/>
    <x v="34"/>
    <x v="47"/>
    <x v="47"/>
    <x v="47"/>
    <x v="6"/>
    <x v="140"/>
    <x v="255"/>
    <x v="129"/>
    <x v="175"/>
    <x v="78"/>
    <x v="151"/>
    <x v="0"/>
  </r>
  <r>
    <x v="0"/>
    <x v="34"/>
    <x v="34"/>
    <x v="41"/>
    <x v="41"/>
    <x v="41"/>
    <x v="6"/>
    <x v="140"/>
    <x v="255"/>
    <x v="118"/>
    <x v="365"/>
    <x v="48"/>
    <x v="112"/>
    <x v="0"/>
  </r>
  <r>
    <x v="0"/>
    <x v="34"/>
    <x v="34"/>
    <x v="9"/>
    <x v="9"/>
    <x v="9"/>
    <x v="6"/>
    <x v="140"/>
    <x v="255"/>
    <x v="129"/>
    <x v="175"/>
    <x v="78"/>
    <x v="151"/>
    <x v="0"/>
  </r>
  <r>
    <x v="0"/>
    <x v="34"/>
    <x v="34"/>
    <x v="15"/>
    <x v="15"/>
    <x v="15"/>
    <x v="6"/>
    <x v="140"/>
    <x v="255"/>
    <x v="129"/>
    <x v="175"/>
    <x v="78"/>
    <x v="151"/>
    <x v="0"/>
  </r>
  <r>
    <x v="0"/>
    <x v="34"/>
    <x v="34"/>
    <x v="5"/>
    <x v="5"/>
    <x v="5"/>
    <x v="6"/>
    <x v="140"/>
    <x v="255"/>
    <x v="105"/>
    <x v="363"/>
    <x v="80"/>
    <x v="108"/>
    <x v="0"/>
  </r>
  <r>
    <x v="0"/>
    <x v="34"/>
    <x v="34"/>
    <x v="3"/>
    <x v="3"/>
    <x v="3"/>
    <x v="6"/>
    <x v="140"/>
    <x v="255"/>
    <x v="105"/>
    <x v="363"/>
    <x v="80"/>
    <x v="108"/>
    <x v="0"/>
  </r>
  <r>
    <x v="0"/>
    <x v="34"/>
    <x v="34"/>
    <x v="27"/>
    <x v="27"/>
    <x v="27"/>
    <x v="13"/>
    <x v="141"/>
    <x v="28"/>
    <x v="129"/>
    <x v="175"/>
    <x v="48"/>
    <x v="112"/>
    <x v="0"/>
  </r>
  <r>
    <x v="0"/>
    <x v="34"/>
    <x v="34"/>
    <x v="38"/>
    <x v="38"/>
    <x v="38"/>
    <x v="13"/>
    <x v="141"/>
    <x v="28"/>
    <x v="129"/>
    <x v="175"/>
    <x v="48"/>
    <x v="112"/>
    <x v="0"/>
  </r>
  <r>
    <x v="0"/>
    <x v="34"/>
    <x v="34"/>
    <x v="80"/>
    <x v="80"/>
    <x v="80"/>
    <x v="13"/>
    <x v="141"/>
    <x v="28"/>
    <x v="130"/>
    <x v="312"/>
    <x v="78"/>
    <x v="151"/>
    <x v="0"/>
  </r>
  <r>
    <x v="0"/>
    <x v="34"/>
    <x v="34"/>
    <x v="81"/>
    <x v="81"/>
    <x v="81"/>
    <x v="13"/>
    <x v="141"/>
    <x v="28"/>
    <x v="129"/>
    <x v="175"/>
    <x v="48"/>
    <x v="112"/>
    <x v="0"/>
  </r>
  <r>
    <x v="0"/>
    <x v="34"/>
    <x v="34"/>
    <x v="82"/>
    <x v="82"/>
    <x v="82"/>
    <x v="13"/>
    <x v="141"/>
    <x v="28"/>
    <x v="130"/>
    <x v="312"/>
    <x v="78"/>
    <x v="151"/>
    <x v="0"/>
  </r>
  <r>
    <x v="0"/>
    <x v="34"/>
    <x v="34"/>
    <x v="83"/>
    <x v="83"/>
    <x v="83"/>
    <x v="13"/>
    <x v="141"/>
    <x v="28"/>
    <x v="130"/>
    <x v="312"/>
    <x v="78"/>
    <x v="151"/>
    <x v="0"/>
  </r>
  <r>
    <x v="0"/>
    <x v="34"/>
    <x v="34"/>
    <x v="2"/>
    <x v="2"/>
    <x v="2"/>
    <x v="13"/>
    <x v="141"/>
    <x v="28"/>
    <x v="130"/>
    <x v="312"/>
    <x v="78"/>
    <x v="151"/>
    <x v="0"/>
  </r>
  <r>
    <x v="0"/>
    <x v="34"/>
    <x v="34"/>
    <x v="73"/>
    <x v="73"/>
    <x v="73"/>
    <x v="13"/>
    <x v="141"/>
    <x v="28"/>
    <x v="129"/>
    <x v="175"/>
    <x v="80"/>
    <x v="108"/>
    <x v="0"/>
  </r>
  <r>
    <x v="0"/>
    <x v="34"/>
    <x v="34"/>
    <x v="22"/>
    <x v="22"/>
    <x v="22"/>
    <x v="13"/>
    <x v="141"/>
    <x v="28"/>
    <x v="129"/>
    <x v="175"/>
    <x v="48"/>
    <x v="112"/>
    <x v="0"/>
  </r>
  <r>
    <x v="0"/>
    <x v="34"/>
    <x v="34"/>
    <x v="23"/>
    <x v="23"/>
    <x v="23"/>
    <x v="13"/>
    <x v="141"/>
    <x v="28"/>
    <x v="118"/>
    <x v="365"/>
    <x v="80"/>
    <x v="108"/>
    <x v="0"/>
  </r>
  <r>
    <x v="0"/>
    <x v="34"/>
    <x v="34"/>
    <x v="18"/>
    <x v="18"/>
    <x v="18"/>
    <x v="13"/>
    <x v="141"/>
    <x v="28"/>
    <x v="118"/>
    <x v="365"/>
    <x v="80"/>
    <x v="108"/>
    <x v="0"/>
  </r>
  <r>
    <x v="0"/>
    <x v="35"/>
    <x v="35"/>
    <x v="0"/>
    <x v="0"/>
    <x v="0"/>
    <x v="0"/>
    <x v="102"/>
    <x v="256"/>
    <x v="102"/>
    <x v="366"/>
    <x v="80"/>
    <x v="108"/>
    <x v="0"/>
  </r>
  <r>
    <x v="0"/>
    <x v="35"/>
    <x v="35"/>
    <x v="1"/>
    <x v="1"/>
    <x v="1"/>
    <x v="1"/>
    <x v="135"/>
    <x v="257"/>
    <x v="79"/>
    <x v="367"/>
    <x v="80"/>
    <x v="108"/>
    <x v="0"/>
  </r>
  <r>
    <x v="0"/>
    <x v="35"/>
    <x v="35"/>
    <x v="11"/>
    <x v="11"/>
    <x v="11"/>
    <x v="2"/>
    <x v="137"/>
    <x v="258"/>
    <x v="129"/>
    <x v="368"/>
    <x v="52"/>
    <x v="269"/>
    <x v="0"/>
  </r>
  <r>
    <x v="0"/>
    <x v="35"/>
    <x v="35"/>
    <x v="30"/>
    <x v="30"/>
    <x v="30"/>
    <x v="3"/>
    <x v="138"/>
    <x v="259"/>
    <x v="80"/>
    <x v="297"/>
    <x v="80"/>
    <x v="108"/>
    <x v="0"/>
  </r>
  <r>
    <x v="0"/>
    <x v="35"/>
    <x v="35"/>
    <x v="34"/>
    <x v="34"/>
    <x v="34"/>
    <x v="3"/>
    <x v="138"/>
    <x v="259"/>
    <x v="105"/>
    <x v="248"/>
    <x v="78"/>
    <x v="270"/>
    <x v="0"/>
  </r>
  <r>
    <x v="0"/>
    <x v="35"/>
    <x v="35"/>
    <x v="33"/>
    <x v="33"/>
    <x v="33"/>
    <x v="3"/>
    <x v="138"/>
    <x v="259"/>
    <x v="118"/>
    <x v="147"/>
    <x v="67"/>
    <x v="271"/>
    <x v="0"/>
  </r>
  <r>
    <x v="0"/>
    <x v="35"/>
    <x v="35"/>
    <x v="6"/>
    <x v="6"/>
    <x v="6"/>
    <x v="3"/>
    <x v="138"/>
    <x v="259"/>
    <x v="107"/>
    <x v="369"/>
    <x v="48"/>
    <x v="16"/>
    <x v="0"/>
  </r>
  <r>
    <x v="0"/>
    <x v="35"/>
    <x v="35"/>
    <x v="10"/>
    <x v="10"/>
    <x v="10"/>
    <x v="6"/>
    <x v="139"/>
    <x v="173"/>
    <x v="118"/>
    <x v="147"/>
    <x v="78"/>
    <x v="270"/>
    <x v="0"/>
  </r>
  <r>
    <x v="0"/>
    <x v="35"/>
    <x v="35"/>
    <x v="31"/>
    <x v="31"/>
    <x v="31"/>
    <x v="6"/>
    <x v="139"/>
    <x v="173"/>
    <x v="105"/>
    <x v="248"/>
    <x v="48"/>
    <x v="16"/>
    <x v="0"/>
  </r>
  <r>
    <x v="0"/>
    <x v="35"/>
    <x v="35"/>
    <x v="47"/>
    <x v="47"/>
    <x v="47"/>
    <x v="6"/>
    <x v="139"/>
    <x v="173"/>
    <x v="107"/>
    <x v="369"/>
    <x v="80"/>
    <x v="108"/>
    <x v="0"/>
  </r>
  <r>
    <x v="0"/>
    <x v="35"/>
    <x v="35"/>
    <x v="22"/>
    <x v="22"/>
    <x v="22"/>
    <x v="6"/>
    <x v="139"/>
    <x v="173"/>
    <x v="105"/>
    <x v="248"/>
    <x v="48"/>
    <x v="16"/>
    <x v="0"/>
  </r>
  <r>
    <x v="0"/>
    <x v="35"/>
    <x v="35"/>
    <x v="8"/>
    <x v="8"/>
    <x v="8"/>
    <x v="6"/>
    <x v="139"/>
    <x v="173"/>
    <x v="105"/>
    <x v="248"/>
    <x v="48"/>
    <x v="16"/>
    <x v="0"/>
  </r>
  <r>
    <x v="0"/>
    <x v="35"/>
    <x v="35"/>
    <x v="7"/>
    <x v="7"/>
    <x v="7"/>
    <x v="11"/>
    <x v="140"/>
    <x v="96"/>
    <x v="118"/>
    <x v="147"/>
    <x v="48"/>
    <x v="16"/>
    <x v="0"/>
  </r>
  <r>
    <x v="0"/>
    <x v="35"/>
    <x v="35"/>
    <x v="54"/>
    <x v="54"/>
    <x v="54"/>
    <x v="11"/>
    <x v="140"/>
    <x v="96"/>
    <x v="118"/>
    <x v="147"/>
    <x v="48"/>
    <x v="16"/>
    <x v="0"/>
  </r>
  <r>
    <x v="0"/>
    <x v="35"/>
    <x v="35"/>
    <x v="32"/>
    <x v="32"/>
    <x v="32"/>
    <x v="11"/>
    <x v="140"/>
    <x v="96"/>
    <x v="118"/>
    <x v="147"/>
    <x v="48"/>
    <x v="16"/>
    <x v="0"/>
  </r>
  <r>
    <x v="0"/>
    <x v="35"/>
    <x v="35"/>
    <x v="64"/>
    <x v="64"/>
    <x v="64"/>
    <x v="11"/>
    <x v="140"/>
    <x v="96"/>
    <x v="129"/>
    <x v="368"/>
    <x v="78"/>
    <x v="270"/>
    <x v="0"/>
  </r>
  <r>
    <x v="0"/>
    <x v="35"/>
    <x v="35"/>
    <x v="41"/>
    <x v="41"/>
    <x v="41"/>
    <x v="11"/>
    <x v="140"/>
    <x v="96"/>
    <x v="129"/>
    <x v="368"/>
    <x v="78"/>
    <x v="270"/>
    <x v="0"/>
  </r>
  <r>
    <x v="0"/>
    <x v="35"/>
    <x v="35"/>
    <x v="3"/>
    <x v="3"/>
    <x v="3"/>
    <x v="11"/>
    <x v="140"/>
    <x v="96"/>
    <x v="105"/>
    <x v="248"/>
    <x v="80"/>
    <x v="108"/>
    <x v="0"/>
  </r>
  <r>
    <x v="0"/>
    <x v="35"/>
    <x v="35"/>
    <x v="4"/>
    <x v="4"/>
    <x v="4"/>
    <x v="11"/>
    <x v="140"/>
    <x v="96"/>
    <x v="105"/>
    <x v="248"/>
    <x v="80"/>
    <x v="108"/>
    <x v="0"/>
  </r>
  <r>
    <x v="0"/>
    <x v="35"/>
    <x v="35"/>
    <x v="12"/>
    <x v="12"/>
    <x v="12"/>
    <x v="17"/>
    <x v="141"/>
    <x v="16"/>
    <x v="129"/>
    <x v="368"/>
    <x v="48"/>
    <x v="16"/>
    <x v="0"/>
  </r>
  <r>
    <x v="0"/>
    <x v="35"/>
    <x v="35"/>
    <x v="38"/>
    <x v="38"/>
    <x v="38"/>
    <x v="17"/>
    <x v="141"/>
    <x v="16"/>
    <x v="129"/>
    <x v="368"/>
    <x v="48"/>
    <x v="16"/>
    <x v="0"/>
  </r>
  <r>
    <x v="0"/>
    <x v="35"/>
    <x v="35"/>
    <x v="84"/>
    <x v="84"/>
    <x v="84"/>
    <x v="17"/>
    <x v="141"/>
    <x v="16"/>
    <x v="118"/>
    <x v="147"/>
    <x v="80"/>
    <x v="108"/>
    <x v="0"/>
  </r>
  <r>
    <x v="0"/>
    <x v="35"/>
    <x v="35"/>
    <x v="39"/>
    <x v="39"/>
    <x v="39"/>
    <x v="17"/>
    <x v="141"/>
    <x v="16"/>
    <x v="129"/>
    <x v="368"/>
    <x v="48"/>
    <x v="16"/>
    <x v="0"/>
  </r>
  <r>
    <x v="0"/>
    <x v="35"/>
    <x v="35"/>
    <x v="71"/>
    <x v="71"/>
    <x v="71"/>
    <x v="17"/>
    <x v="141"/>
    <x v="16"/>
    <x v="130"/>
    <x v="312"/>
    <x v="78"/>
    <x v="270"/>
    <x v="0"/>
  </r>
  <r>
    <x v="0"/>
    <x v="35"/>
    <x v="35"/>
    <x v="85"/>
    <x v="85"/>
    <x v="85"/>
    <x v="17"/>
    <x v="141"/>
    <x v="16"/>
    <x v="130"/>
    <x v="312"/>
    <x v="78"/>
    <x v="270"/>
    <x v="0"/>
  </r>
  <r>
    <x v="0"/>
    <x v="35"/>
    <x v="35"/>
    <x v="75"/>
    <x v="75"/>
    <x v="75"/>
    <x v="17"/>
    <x v="141"/>
    <x v="16"/>
    <x v="130"/>
    <x v="312"/>
    <x v="48"/>
    <x v="16"/>
    <x v="4"/>
  </r>
  <r>
    <x v="0"/>
    <x v="35"/>
    <x v="35"/>
    <x v="26"/>
    <x v="26"/>
    <x v="26"/>
    <x v="17"/>
    <x v="141"/>
    <x v="16"/>
    <x v="129"/>
    <x v="368"/>
    <x v="48"/>
    <x v="16"/>
    <x v="0"/>
  </r>
  <r>
    <x v="0"/>
    <x v="35"/>
    <x v="35"/>
    <x v="86"/>
    <x v="86"/>
    <x v="86"/>
    <x v="17"/>
    <x v="141"/>
    <x v="16"/>
    <x v="118"/>
    <x v="147"/>
    <x v="80"/>
    <x v="108"/>
    <x v="0"/>
  </r>
  <r>
    <x v="0"/>
    <x v="35"/>
    <x v="35"/>
    <x v="87"/>
    <x v="87"/>
    <x v="87"/>
    <x v="17"/>
    <x v="141"/>
    <x v="16"/>
    <x v="118"/>
    <x v="147"/>
    <x v="80"/>
    <x v="108"/>
    <x v="0"/>
  </r>
  <r>
    <x v="0"/>
    <x v="35"/>
    <x v="35"/>
    <x v="88"/>
    <x v="88"/>
    <x v="88"/>
    <x v="17"/>
    <x v="141"/>
    <x v="16"/>
    <x v="118"/>
    <x v="147"/>
    <x v="80"/>
    <x v="108"/>
    <x v="0"/>
  </r>
  <r>
    <x v="0"/>
    <x v="35"/>
    <x v="35"/>
    <x v="23"/>
    <x v="23"/>
    <x v="23"/>
    <x v="17"/>
    <x v="141"/>
    <x v="16"/>
    <x v="129"/>
    <x v="368"/>
    <x v="48"/>
    <x v="16"/>
    <x v="0"/>
  </r>
  <r>
    <x v="0"/>
    <x v="35"/>
    <x v="35"/>
    <x v="66"/>
    <x v="66"/>
    <x v="66"/>
    <x v="17"/>
    <x v="141"/>
    <x v="16"/>
    <x v="129"/>
    <x v="368"/>
    <x v="48"/>
    <x v="16"/>
    <x v="0"/>
  </r>
  <r>
    <x v="0"/>
    <x v="36"/>
    <x v="36"/>
    <x v="0"/>
    <x v="0"/>
    <x v="0"/>
    <x v="0"/>
    <x v="101"/>
    <x v="260"/>
    <x v="54"/>
    <x v="370"/>
    <x v="80"/>
    <x v="108"/>
    <x v="0"/>
  </r>
  <r>
    <x v="0"/>
    <x v="36"/>
    <x v="36"/>
    <x v="1"/>
    <x v="1"/>
    <x v="1"/>
    <x v="1"/>
    <x v="102"/>
    <x v="261"/>
    <x v="106"/>
    <x v="371"/>
    <x v="48"/>
    <x v="272"/>
    <x v="0"/>
  </r>
  <r>
    <x v="0"/>
    <x v="36"/>
    <x v="36"/>
    <x v="8"/>
    <x v="8"/>
    <x v="8"/>
    <x v="1"/>
    <x v="102"/>
    <x v="261"/>
    <x v="106"/>
    <x v="371"/>
    <x v="48"/>
    <x v="272"/>
    <x v="0"/>
  </r>
  <r>
    <x v="0"/>
    <x v="36"/>
    <x v="36"/>
    <x v="59"/>
    <x v="59"/>
    <x v="59"/>
    <x v="3"/>
    <x v="135"/>
    <x v="262"/>
    <x v="108"/>
    <x v="121"/>
    <x v="78"/>
    <x v="273"/>
    <x v="0"/>
  </r>
  <r>
    <x v="0"/>
    <x v="36"/>
    <x v="36"/>
    <x v="3"/>
    <x v="3"/>
    <x v="3"/>
    <x v="3"/>
    <x v="135"/>
    <x v="262"/>
    <x v="79"/>
    <x v="372"/>
    <x v="80"/>
    <x v="108"/>
    <x v="0"/>
  </r>
  <r>
    <x v="0"/>
    <x v="36"/>
    <x v="36"/>
    <x v="7"/>
    <x v="7"/>
    <x v="7"/>
    <x v="4"/>
    <x v="136"/>
    <x v="95"/>
    <x v="129"/>
    <x v="310"/>
    <x v="61"/>
    <x v="274"/>
    <x v="0"/>
  </r>
  <r>
    <x v="0"/>
    <x v="36"/>
    <x v="36"/>
    <x v="5"/>
    <x v="5"/>
    <x v="5"/>
    <x v="4"/>
    <x v="136"/>
    <x v="95"/>
    <x v="108"/>
    <x v="121"/>
    <x v="48"/>
    <x v="272"/>
    <x v="0"/>
  </r>
  <r>
    <x v="0"/>
    <x v="36"/>
    <x v="36"/>
    <x v="44"/>
    <x v="44"/>
    <x v="44"/>
    <x v="6"/>
    <x v="137"/>
    <x v="203"/>
    <x v="105"/>
    <x v="308"/>
    <x v="67"/>
    <x v="275"/>
    <x v="0"/>
  </r>
  <r>
    <x v="0"/>
    <x v="36"/>
    <x v="36"/>
    <x v="6"/>
    <x v="6"/>
    <x v="6"/>
    <x v="6"/>
    <x v="137"/>
    <x v="203"/>
    <x v="105"/>
    <x v="308"/>
    <x v="67"/>
    <x v="275"/>
    <x v="0"/>
  </r>
  <r>
    <x v="0"/>
    <x v="36"/>
    <x v="36"/>
    <x v="4"/>
    <x v="4"/>
    <x v="4"/>
    <x v="6"/>
    <x v="137"/>
    <x v="203"/>
    <x v="108"/>
    <x v="121"/>
    <x v="80"/>
    <x v="108"/>
    <x v="0"/>
  </r>
  <r>
    <x v="0"/>
    <x v="36"/>
    <x v="36"/>
    <x v="34"/>
    <x v="34"/>
    <x v="34"/>
    <x v="9"/>
    <x v="138"/>
    <x v="72"/>
    <x v="130"/>
    <x v="312"/>
    <x v="52"/>
    <x v="254"/>
    <x v="0"/>
  </r>
  <r>
    <x v="0"/>
    <x v="36"/>
    <x v="36"/>
    <x v="63"/>
    <x v="63"/>
    <x v="63"/>
    <x v="9"/>
    <x v="138"/>
    <x v="72"/>
    <x v="80"/>
    <x v="373"/>
    <x v="80"/>
    <x v="108"/>
    <x v="0"/>
  </r>
  <r>
    <x v="0"/>
    <x v="36"/>
    <x v="36"/>
    <x v="14"/>
    <x v="14"/>
    <x v="14"/>
    <x v="9"/>
    <x v="138"/>
    <x v="72"/>
    <x v="129"/>
    <x v="310"/>
    <x v="42"/>
    <x v="276"/>
    <x v="0"/>
  </r>
  <r>
    <x v="0"/>
    <x v="36"/>
    <x v="36"/>
    <x v="2"/>
    <x v="2"/>
    <x v="2"/>
    <x v="9"/>
    <x v="138"/>
    <x v="72"/>
    <x v="105"/>
    <x v="308"/>
    <x v="78"/>
    <x v="273"/>
    <x v="0"/>
  </r>
  <r>
    <x v="0"/>
    <x v="36"/>
    <x v="36"/>
    <x v="86"/>
    <x v="86"/>
    <x v="86"/>
    <x v="9"/>
    <x v="138"/>
    <x v="72"/>
    <x v="80"/>
    <x v="373"/>
    <x v="80"/>
    <x v="108"/>
    <x v="0"/>
  </r>
  <r>
    <x v="0"/>
    <x v="36"/>
    <x v="36"/>
    <x v="89"/>
    <x v="89"/>
    <x v="89"/>
    <x v="9"/>
    <x v="138"/>
    <x v="72"/>
    <x v="107"/>
    <x v="374"/>
    <x v="48"/>
    <x v="272"/>
    <x v="0"/>
  </r>
  <r>
    <x v="0"/>
    <x v="36"/>
    <x v="36"/>
    <x v="18"/>
    <x v="18"/>
    <x v="18"/>
    <x v="9"/>
    <x v="138"/>
    <x v="72"/>
    <x v="107"/>
    <x v="374"/>
    <x v="48"/>
    <x v="272"/>
    <x v="0"/>
  </r>
  <r>
    <x v="0"/>
    <x v="36"/>
    <x v="36"/>
    <x v="58"/>
    <x v="58"/>
    <x v="58"/>
    <x v="15"/>
    <x v="139"/>
    <x v="11"/>
    <x v="107"/>
    <x v="374"/>
    <x v="80"/>
    <x v="108"/>
    <x v="0"/>
  </r>
  <r>
    <x v="0"/>
    <x v="36"/>
    <x v="36"/>
    <x v="12"/>
    <x v="12"/>
    <x v="12"/>
    <x v="15"/>
    <x v="139"/>
    <x v="11"/>
    <x v="118"/>
    <x v="311"/>
    <x v="78"/>
    <x v="273"/>
    <x v="0"/>
  </r>
  <r>
    <x v="0"/>
    <x v="36"/>
    <x v="36"/>
    <x v="35"/>
    <x v="35"/>
    <x v="35"/>
    <x v="15"/>
    <x v="139"/>
    <x v="11"/>
    <x v="107"/>
    <x v="374"/>
    <x v="80"/>
    <x v="108"/>
    <x v="0"/>
  </r>
  <r>
    <x v="0"/>
    <x v="36"/>
    <x v="36"/>
    <x v="26"/>
    <x v="26"/>
    <x v="26"/>
    <x v="15"/>
    <x v="139"/>
    <x v="11"/>
    <x v="107"/>
    <x v="374"/>
    <x v="80"/>
    <x v="108"/>
    <x v="0"/>
  </r>
  <r>
    <x v="0"/>
    <x v="37"/>
    <x v="37"/>
    <x v="0"/>
    <x v="0"/>
    <x v="0"/>
    <x v="0"/>
    <x v="136"/>
    <x v="263"/>
    <x v="48"/>
    <x v="375"/>
    <x v="80"/>
    <x v="108"/>
    <x v="0"/>
  </r>
  <r>
    <x v="0"/>
    <x v="37"/>
    <x v="37"/>
    <x v="10"/>
    <x v="10"/>
    <x v="10"/>
    <x v="1"/>
    <x v="137"/>
    <x v="264"/>
    <x v="107"/>
    <x v="376"/>
    <x v="78"/>
    <x v="254"/>
    <x v="0"/>
  </r>
  <r>
    <x v="0"/>
    <x v="37"/>
    <x v="37"/>
    <x v="7"/>
    <x v="7"/>
    <x v="7"/>
    <x v="2"/>
    <x v="138"/>
    <x v="100"/>
    <x v="129"/>
    <x v="96"/>
    <x v="42"/>
    <x v="277"/>
    <x v="0"/>
  </r>
  <r>
    <x v="0"/>
    <x v="37"/>
    <x v="37"/>
    <x v="19"/>
    <x v="19"/>
    <x v="19"/>
    <x v="2"/>
    <x v="138"/>
    <x v="100"/>
    <x v="107"/>
    <x v="376"/>
    <x v="48"/>
    <x v="79"/>
    <x v="0"/>
  </r>
  <r>
    <x v="0"/>
    <x v="37"/>
    <x v="37"/>
    <x v="6"/>
    <x v="6"/>
    <x v="6"/>
    <x v="2"/>
    <x v="138"/>
    <x v="100"/>
    <x v="107"/>
    <x v="376"/>
    <x v="48"/>
    <x v="79"/>
    <x v="0"/>
  </r>
  <r>
    <x v="0"/>
    <x v="37"/>
    <x v="37"/>
    <x v="27"/>
    <x v="27"/>
    <x v="27"/>
    <x v="4"/>
    <x v="139"/>
    <x v="163"/>
    <x v="118"/>
    <x v="377"/>
    <x v="78"/>
    <x v="254"/>
    <x v="0"/>
  </r>
  <r>
    <x v="0"/>
    <x v="37"/>
    <x v="37"/>
    <x v="57"/>
    <x v="57"/>
    <x v="57"/>
    <x v="4"/>
    <x v="139"/>
    <x v="163"/>
    <x v="105"/>
    <x v="378"/>
    <x v="48"/>
    <x v="79"/>
    <x v="0"/>
  </r>
  <r>
    <x v="0"/>
    <x v="37"/>
    <x v="37"/>
    <x v="48"/>
    <x v="48"/>
    <x v="48"/>
    <x v="4"/>
    <x v="139"/>
    <x v="163"/>
    <x v="118"/>
    <x v="377"/>
    <x v="78"/>
    <x v="254"/>
    <x v="0"/>
  </r>
  <r>
    <x v="0"/>
    <x v="37"/>
    <x v="37"/>
    <x v="5"/>
    <x v="5"/>
    <x v="5"/>
    <x v="4"/>
    <x v="139"/>
    <x v="163"/>
    <x v="118"/>
    <x v="377"/>
    <x v="78"/>
    <x v="254"/>
    <x v="0"/>
  </r>
  <r>
    <x v="0"/>
    <x v="37"/>
    <x v="37"/>
    <x v="1"/>
    <x v="1"/>
    <x v="1"/>
    <x v="4"/>
    <x v="139"/>
    <x v="163"/>
    <x v="107"/>
    <x v="376"/>
    <x v="80"/>
    <x v="108"/>
    <x v="0"/>
  </r>
  <r>
    <x v="0"/>
    <x v="37"/>
    <x v="37"/>
    <x v="11"/>
    <x v="11"/>
    <x v="11"/>
    <x v="9"/>
    <x v="140"/>
    <x v="101"/>
    <x v="129"/>
    <x v="96"/>
    <x v="78"/>
    <x v="254"/>
    <x v="0"/>
  </r>
  <r>
    <x v="0"/>
    <x v="37"/>
    <x v="37"/>
    <x v="90"/>
    <x v="90"/>
    <x v="90"/>
    <x v="9"/>
    <x v="140"/>
    <x v="101"/>
    <x v="118"/>
    <x v="377"/>
    <x v="48"/>
    <x v="79"/>
    <x v="0"/>
  </r>
  <r>
    <x v="0"/>
    <x v="37"/>
    <x v="37"/>
    <x v="70"/>
    <x v="70"/>
    <x v="70"/>
    <x v="9"/>
    <x v="140"/>
    <x v="101"/>
    <x v="105"/>
    <x v="378"/>
    <x v="80"/>
    <x v="108"/>
    <x v="0"/>
  </r>
  <r>
    <x v="0"/>
    <x v="37"/>
    <x v="37"/>
    <x v="12"/>
    <x v="12"/>
    <x v="12"/>
    <x v="9"/>
    <x v="140"/>
    <x v="101"/>
    <x v="105"/>
    <x v="378"/>
    <x v="80"/>
    <x v="108"/>
    <x v="0"/>
  </r>
  <r>
    <x v="0"/>
    <x v="37"/>
    <x v="37"/>
    <x v="69"/>
    <x v="69"/>
    <x v="69"/>
    <x v="9"/>
    <x v="140"/>
    <x v="101"/>
    <x v="105"/>
    <x v="378"/>
    <x v="80"/>
    <x v="108"/>
    <x v="0"/>
  </r>
  <r>
    <x v="0"/>
    <x v="37"/>
    <x v="37"/>
    <x v="3"/>
    <x v="3"/>
    <x v="3"/>
    <x v="9"/>
    <x v="140"/>
    <x v="101"/>
    <x v="105"/>
    <x v="378"/>
    <x v="80"/>
    <x v="108"/>
    <x v="0"/>
  </r>
  <r>
    <x v="0"/>
    <x v="37"/>
    <x v="37"/>
    <x v="91"/>
    <x v="91"/>
    <x v="91"/>
    <x v="14"/>
    <x v="141"/>
    <x v="88"/>
    <x v="118"/>
    <x v="377"/>
    <x v="80"/>
    <x v="108"/>
    <x v="0"/>
  </r>
  <r>
    <x v="0"/>
    <x v="37"/>
    <x v="37"/>
    <x v="58"/>
    <x v="58"/>
    <x v="58"/>
    <x v="14"/>
    <x v="141"/>
    <x v="88"/>
    <x v="118"/>
    <x v="377"/>
    <x v="80"/>
    <x v="108"/>
    <x v="0"/>
  </r>
  <r>
    <x v="0"/>
    <x v="37"/>
    <x v="37"/>
    <x v="38"/>
    <x v="38"/>
    <x v="38"/>
    <x v="14"/>
    <x v="141"/>
    <x v="88"/>
    <x v="129"/>
    <x v="96"/>
    <x v="48"/>
    <x v="79"/>
    <x v="0"/>
  </r>
  <r>
    <x v="0"/>
    <x v="37"/>
    <x v="37"/>
    <x v="92"/>
    <x v="92"/>
    <x v="92"/>
    <x v="14"/>
    <x v="141"/>
    <x v="88"/>
    <x v="130"/>
    <x v="312"/>
    <x v="78"/>
    <x v="254"/>
    <x v="0"/>
  </r>
  <r>
    <x v="0"/>
    <x v="37"/>
    <x v="37"/>
    <x v="33"/>
    <x v="33"/>
    <x v="33"/>
    <x v="14"/>
    <x v="141"/>
    <x v="88"/>
    <x v="129"/>
    <x v="96"/>
    <x v="48"/>
    <x v="79"/>
    <x v="0"/>
  </r>
  <r>
    <x v="0"/>
    <x v="37"/>
    <x v="37"/>
    <x v="59"/>
    <x v="59"/>
    <x v="59"/>
    <x v="14"/>
    <x v="141"/>
    <x v="88"/>
    <x v="118"/>
    <x v="377"/>
    <x v="80"/>
    <x v="108"/>
    <x v="0"/>
  </r>
  <r>
    <x v="0"/>
    <x v="37"/>
    <x v="37"/>
    <x v="26"/>
    <x v="26"/>
    <x v="26"/>
    <x v="14"/>
    <x v="141"/>
    <x v="88"/>
    <x v="118"/>
    <x v="377"/>
    <x v="80"/>
    <x v="108"/>
    <x v="0"/>
  </r>
  <r>
    <x v="0"/>
    <x v="37"/>
    <x v="37"/>
    <x v="14"/>
    <x v="14"/>
    <x v="14"/>
    <x v="14"/>
    <x v="141"/>
    <x v="88"/>
    <x v="129"/>
    <x v="96"/>
    <x v="48"/>
    <x v="79"/>
    <x v="0"/>
  </r>
  <r>
    <x v="0"/>
    <x v="37"/>
    <x v="37"/>
    <x v="93"/>
    <x v="93"/>
    <x v="93"/>
    <x v="14"/>
    <x v="141"/>
    <x v="88"/>
    <x v="118"/>
    <x v="377"/>
    <x v="80"/>
    <x v="108"/>
    <x v="0"/>
  </r>
  <r>
    <x v="0"/>
    <x v="37"/>
    <x v="37"/>
    <x v="83"/>
    <x v="83"/>
    <x v="83"/>
    <x v="14"/>
    <x v="141"/>
    <x v="88"/>
    <x v="129"/>
    <x v="96"/>
    <x v="48"/>
    <x v="79"/>
    <x v="0"/>
  </r>
  <r>
    <x v="0"/>
    <x v="37"/>
    <x v="37"/>
    <x v="45"/>
    <x v="45"/>
    <x v="45"/>
    <x v="14"/>
    <x v="141"/>
    <x v="88"/>
    <x v="118"/>
    <x v="377"/>
    <x v="80"/>
    <x v="108"/>
    <x v="0"/>
  </r>
  <r>
    <x v="0"/>
    <x v="37"/>
    <x v="37"/>
    <x v="4"/>
    <x v="4"/>
    <x v="4"/>
    <x v="14"/>
    <x v="141"/>
    <x v="88"/>
    <x v="118"/>
    <x v="377"/>
    <x v="80"/>
    <x v="108"/>
    <x v="0"/>
  </r>
  <r>
    <x v="0"/>
    <x v="37"/>
    <x v="37"/>
    <x v="18"/>
    <x v="18"/>
    <x v="18"/>
    <x v="14"/>
    <x v="141"/>
    <x v="88"/>
    <x v="118"/>
    <x v="377"/>
    <x v="80"/>
    <x v="108"/>
    <x v="0"/>
  </r>
  <r>
    <x v="0"/>
    <x v="38"/>
    <x v="38"/>
    <x v="1"/>
    <x v="1"/>
    <x v="1"/>
    <x v="0"/>
    <x v="100"/>
    <x v="264"/>
    <x v="54"/>
    <x v="379"/>
    <x v="48"/>
    <x v="44"/>
    <x v="0"/>
  </r>
  <r>
    <x v="0"/>
    <x v="38"/>
    <x v="38"/>
    <x v="94"/>
    <x v="94"/>
    <x v="94"/>
    <x v="1"/>
    <x v="101"/>
    <x v="120"/>
    <x v="106"/>
    <x v="380"/>
    <x v="67"/>
    <x v="278"/>
    <x v="0"/>
  </r>
  <r>
    <x v="0"/>
    <x v="38"/>
    <x v="38"/>
    <x v="95"/>
    <x v="95"/>
    <x v="95"/>
    <x v="2"/>
    <x v="102"/>
    <x v="265"/>
    <x v="48"/>
    <x v="378"/>
    <x v="42"/>
    <x v="279"/>
    <x v="0"/>
  </r>
  <r>
    <x v="0"/>
    <x v="38"/>
    <x v="38"/>
    <x v="6"/>
    <x v="6"/>
    <x v="6"/>
    <x v="3"/>
    <x v="103"/>
    <x v="266"/>
    <x v="80"/>
    <x v="381"/>
    <x v="52"/>
    <x v="280"/>
    <x v="0"/>
  </r>
  <r>
    <x v="0"/>
    <x v="38"/>
    <x v="38"/>
    <x v="0"/>
    <x v="0"/>
    <x v="0"/>
    <x v="3"/>
    <x v="103"/>
    <x v="266"/>
    <x v="106"/>
    <x v="380"/>
    <x v="80"/>
    <x v="108"/>
    <x v="0"/>
  </r>
  <r>
    <x v="0"/>
    <x v="38"/>
    <x v="38"/>
    <x v="7"/>
    <x v="7"/>
    <x v="7"/>
    <x v="4"/>
    <x v="134"/>
    <x v="53"/>
    <x v="118"/>
    <x v="235"/>
    <x v="45"/>
    <x v="281"/>
    <x v="0"/>
  </r>
  <r>
    <x v="0"/>
    <x v="38"/>
    <x v="38"/>
    <x v="10"/>
    <x v="10"/>
    <x v="10"/>
    <x v="4"/>
    <x v="134"/>
    <x v="53"/>
    <x v="78"/>
    <x v="382"/>
    <x v="80"/>
    <x v="108"/>
    <x v="0"/>
  </r>
  <r>
    <x v="0"/>
    <x v="38"/>
    <x v="38"/>
    <x v="12"/>
    <x v="12"/>
    <x v="12"/>
    <x v="4"/>
    <x v="134"/>
    <x v="53"/>
    <x v="80"/>
    <x v="381"/>
    <x v="42"/>
    <x v="279"/>
    <x v="0"/>
  </r>
  <r>
    <x v="0"/>
    <x v="38"/>
    <x v="38"/>
    <x v="26"/>
    <x v="26"/>
    <x v="26"/>
    <x v="4"/>
    <x v="134"/>
    <x v="53"/>
    <x v="48"/>
    <x v="378"/>
    <x v="78"/>
    <x v="100"/>
    <x v="0"/>
  </r>
  <r>
    <x v="0"/>
    <x v="38"/>
    <x v="38"/>
    <x v="19"/>
    <x v="19"/>
    <x v="19"/>
    <x v="4"/>
    <x v="134"/>
    <x v="53"/>
    <x v="108"/>
    <x v="383"/>
    <x v="67"/>
    <x v="278"/>
    <x v="0"/>
  </r>
  <r>
    <x v="0"/>
    <x v="38"/>
    <x v="38"/>
    <x v="48"/>
    <x v="48"/>
    <x v="48"/>
    <x v="4"/>
    <x v="134"/>
    <x v="53"/>
    <x v="105"/>
    <x v="225"/>
    <x v="61"/>
    <x v="282"/>
    <x v="0"/>
  </r>
  <r>
    <x v="0"/>
    <x v="38"/>
    <x v="38"/>
    <x v="3"/>
    <x v="3"/>
    <x v="3"/>
    <x v="4"/>
    <x v="134"/>
    <x v="53"/>
    <x v="78"/>
    <x v="382"/>
    <x v="80"/>
    <x v="108"/>
    <x v="0"/>
  </r>
  <r>
    <x v="0"/>
    <x v="38"/>
    <x v="38"/>
    <x v="35"/>
    <x v="35"/>
    <x v="35"/>
    <x v="11"/>
    <x v="136"/>
    <x v="101"/>
    <x v="48"/>
    <x v="378"/>
    <x v="80"/>
    <x v="108"/>
    <x v="0"/>
  </r>
  <r>
    <x v="0"/>
    <x v="38"/>
    <x v="38"/>
    <x v="11"/>
    <x v="11"/>
    <x v="11"/>
    <x v="12"/>
    <x v="138"/>
    <x v="167"/>
    <x v="105"/>
    <x v="225"/>
    <x v="78"/>
    <x v="100"/>
    <x v="0"/>
  </r>
  <r>
    <x v="0"/>
    <x v="38"/>
    <x v="38"/>
    <x v="27"/>
    <x v="27"/>
    <x v="27"/>
    <x v="12"/>
    <x v="138"/>
    <x v="167"/>
    <x v="80"/>
    <x v="381"/>
    <x v="80"/>
    <x v="108"/>
    <x v="0"/>
  </r>
  <r>
    <x v="0"/>
    <x v="38"/>
    <x v="38"/>
    <x v="74"/>
    <x v="74"/>
    <x v="74"/>
    <x v="12"/>
    <x v="138"/>
    <x v="167"/>
    <x v="130"/>
    <x v="312"/>
    <x v="42"/>
    <x v="279"/>
    <x v="0"/>
  </r>
  <r>
    <x v="0"/>
    <x v="38"/>
    <x v="38"/>
    <x v="38"/>
    <x v="38"/>
    <x v="38"/>
    <x v="14"/>
    <x v="139"/>
    <x v="170"/>
    <x v="105"/>
    <x v="225"/>
    <x v="48"/>
    <x v="44"/>
    <x v="0"/>
  </r>
  <r>
    <x v="0"/>
    <x v="38"/>
    <x v="38"/>
    <x v="9"/>
    <x v="9"/>
    <x v="9"/>
    <x v="14"/>
    <x v="139"/>
    <x v="170"/>
    <x v="105"/>
    <x v="225"/>
    <x v="48"/>
    <x v="44"/>
    <x v="0"/>
  </r>
  <r>
    <x v="0"/>
    <x v="38"/>
    <x v="38"/>
    <x v="15"/>
    <x v="15"/>
    <x v="15"/>
    <x v="14"/>
    <x v="139"/>
    <x v="170"/>
    <x v="130"/>
    <x v="312"/>
    <x v="42"/>
    <x v="279"/>
    <x v="0"/>
  </r>
  <r>
    <x v="0"/>
    <x v="38"/>
    <x v="38"/>
    <x v="8"/>
    <x v="8"/>
    <x v="8"/>
    <x v="14"/>
    <x v="139"/>
    <x v="170"/>
    <x v="105"/>
    <x v="225"/>
    <x v="48"/>
    <x v="44"/>
    <x v="0"/>
  </r>
  <r>
    <x v="0"/>
    <x v="38"/>
    <x v="38"/>
    <x v="4"/>
    <x v="4"/>
    <x v="4"/>
    <x v="14"/>
    <x v="139"/>
    <x v="170"/>
    <x v="107"/>
    <x v="384"/>
    <x v="80"/>
    <x v="108"/>
    <x v="0"/>
  </r>
  <r>
    <x v="0"/>
    <x v="39"/>
    <x v="39"/>
    <x v="10"/>
    <x v="10"/>
    <x v="10"/>
    <x v="0"/>
    <x v="95"/>
    <x v="267"/>
    <x v="102"/>
    <x v="270"/>
    <x v="66"/>
    <x v="283"/>
    <x v="0"/>
  </r>
  <r>
    <x v="0"/>
    <x v="39"/>
    <x v="39"/>
    <x v="0"/>
    <x v="0"/>
    <x v="0"/>
    <x v="1"/>
    <x v="113"/>
    <x v="268"/>
    <x v="84"/>
    <x v="385"/>
    <x v="80"/>
    <x v="108"/>
    <x v="0"/>
  </r>
  <r>
    <x v="0"/>
    <x v="39"/>
    <x v="39"/>
    <x v="7"/>
    <x v="7"/>
    <x v="7"/>
    <x v="2"/>
    <x v="129"/>
    <x v="269"/>
    <x v="105"/>
    <x v="101"/>
    <x v="79"/>
    <x v="247"/>
    <x v="0"/>
  </r>
  <r>
    <x v="0"/>
    <x v="39"/>
    <x v="39"/>
    <x v="69"/>
    <x v="69"/>
    <x v="69"/>
    <x v="3"/>
    <x v="102"/>
    <x v="1"/>
    <x v="106"/>
    <x v="386"/>
    <x v="48"/>
    <x v="125"/>
    <x v="0"/>
  </r>
  <r>
    <x v="0"/>
    <x v="39"/>
    <x v="39"/>
    <x v="3"/>
    <x v="3"/>
    <x v="3"/>
    <x v="18"/>
    <x v="103"/>
    <x v="122"/>
    <x v="106"/>
    <x v="386"/>
    <x v="80"/>
    <x v="108"/>
    <x v="0"/>
  </r>
  <r>
    <x v="0"/>
    <x v="39"/>
    <x v="39"/>
    <x v="12"/>
    <x v="12"/>
    <x v="12"/>
    <x v="4"/>
    <x v="134"/>
    <x v="154"/>
    <x v="105"/>
    <x v="101"/>
    <x v="61"/>
    <x v="190"/>
    <x v="0"/>
  </r>
  <r>
    <x v="0"/>
    <x v="39"/>
    <x v="39"/>
    <x v="19"/>
    <x v="19"/>
    <x v="19"/>
    <x v="4"/>
    <x v="134"/>
    <x v="154"/>
    <x v="108"/>
    <x v="360"/>
    <x v="67"/>
    <x v="126"/>
    <x v="0"/>
  </r>
  <r>
    <x v="0"/>
    <x v="39"/>
    <x v="39"/>
    <x v="27"/>
    <x v="27"/>
    <x v="27"/>
    <x v="6"/>
    <x v="135"/>
    <x v="82"/>
    <x v="108"/>
    <x v="360"/>
    <x v="78"/>
    <x v="45"/>
    <x v="0"/>
  </r>
  <r>
    <x v="0"/>
    <x v="39"/>
    <x v="39"/>
    <x v="38"/>
    <x v="38"/>
    <x v="38"/>
    <x v="6"/>
    <x v="135"/>
    <x v="82"/>
    <x v="80"/>
    <x v="387"/>
    <x v="67"/>
    <x v="126"/>
    <x v="0"/>
  </r>
  <r>
    <x v="0"/>
    <x v="39"/>
    <x v="39"/>
    <x v="11"/>
    <x v="11"/>
    <x v="11"/>
    <x v="8"/>
    <x v="136"/>
    <x v="270"/>
    <x v="118"/>
    <x v="200"/>
    <x v="52"/>
    <x v="215"/>
    <x v="0"/>
  </r>
  <r>
    <x v="0"/>
    <x v="39"/>
    <x v="39"/>
    <x v="6"/>
    <x v="6"/>
    <x v="6"/>
    <x v="8"/>
    <x v="136"/>
    <x v="270"/>
    <x v="129"/>
    <x v="209"/>
    <x v="61"/>
    <x v="190"/>
    <x v="0"/>
  </r>
  <r>
    <x v="0"/>
    <x v="39"/>
    <x v="39"/>
    <x v="1"/>
    <x v="1"/>
    <x v="1"/>
    <x v="8"/>
    <x v="136"/>
    <x v="270"/>
    <x v="48"/>
    <x v="121"/>
    <x v="80"/>
    <x v="108"/>
    <x v="0"/>
  </r>
  <r>
    <x v="0"/>
    <x v="39"/>
    <x v="39"/>
    <x v="70"/>
    <x v="70"/>
    <x v="70"/>
    <x v="11"/>
    <x v="137"/>
    <x v="212"/>
    <x v="80"/>
    <x v="387"/>
    <x v="48"/>
    <x v="125"/>
    <x v="0"/>
  </r>
  <r>
    <x v="0"/>
    <x v="39"/>
    <x v="39"/>
    <x v="61"/>
    <x v="61"/>
    <x v="61"/>
    <x v="11"/>
    <x v="137"/>
    <x v="212"/>
    <x v="80"/>
    <x v="387"/>
    <x v="48"/>
    <x v="125"/>
    <x v="0"/>
  </r>
  <r>
    <x v="0"/>
    <x v="39"/>
    <x v="39"/>
    <x v="96"/>
    <x v="96"/>
    <x v="96"/>
    <x v="13"/>
    <x v="138"/>
    <x v="119"/>
    <x v="130"/>
    <x v="312"/>
    <x v="52"/>
    <x v="215"/>
    <x v="0"/>
  </r>
  <r>
    <x v="0"/>
    <x v="39"/>
    <x v="39"/>
    <x v="59"/>
    <x v="59"/>
    <x v="59"/>
    <x v="13"/>
    <x v="138"/>
    <x v="119"/>
    <x v="80"/>
    <x v="387"/>
    <x v="80"/>
    <x v="108"/>
    <x v="0"/>
  </r>
  <r>
    <x v="0"/>
    <x v="39"/>
    <x v="39"/>
    <x v="5"/>
    <x v="5"/>
    <x v="5"/>
    <x v="13"/>
    <x v="138"/>
    <x v="119"/>
    <x v="107"/>
    <x v="9"/>
    <x v="48"/>
    <x v="125"/>
    <x v="0"/>
  </r>
  <r>
    <x v="0"/>
    <x v="39"/>
    <x v="39"/>
    <x v="97"/>
    <x v="97"/>
    <x v="97"/>
    <x v="13"/>
    <x v="138"/>
    <x v="119"/>
    <x v="80"/>
    <x v="387"/>
    <x v="80"/>
    <x v="108"/>
    <x v="0"/>
  </r>
  <r>
    <x v="0"/>
    <x v="39"/>
    <x v="39"/>
    <x v="68"/>
    <x v="68"/>
    <x v="68"/>
    <x v="16"/>
    <x v="139"/>
    <x v="63"/>
    <x v="129"/>
    <x v="209"/>
    <x v="67"/>
    <x v="126"/>
    <x v="0"/>
  </r>
  <r>
    <x v="0"/>
    <x v="39"/>
    <x v="39"/>
    <x v="67"/>
    <x v="67"/>
    <x v="67"/>
    <x v="16"/>
    <x v="139"/>
    <x v="63"/>
    <x v="118"/>
    <x v="200"/>
    <x v="78"/>
    <x v="45"/>
    <x v="0"/>
  </r>
  <r>
    <x v="0"/>
    <x v="39"/>
    <x v="39"/>
    <x v="44"/>
    <x v="44"/>
    <x v="44"/>
    <x v="16"/>
    <x v="139"/>
    <x v="63"/>
    <x v="118"/>
    <x v="200"/>
    <x v="78"/>
    <x v="45"/>
    <x v="0"/>
  </r>
  <r>
    <x v="0"/>
    <x v="39"/>
    <x v="39"/>
    <x v="98"/>
    <x v="98"/>
    <x v="98"/>
    <x v="16"/>
    <x v="139"/>
    <x v="63"/>
    <x v="129"/>
    <x v="209"/>
    <x v="67"/>
    <x v="126"/>
    <x v="0"/>
  </r>
  <r>
    <x v="0"/>
    <x v="39"/>
    <x v="39"/>
    <x v="84"/>
    <x v="84"/>
    <x v="84"/>
    <x v="16"/>
    <x v="139"/>
    <x v="63"/>
    <x v="118"/>
    <x v="200"/>
    <x v="78"/>
    <x v="45"/>
    <x v="0"/>
  </r>
  <r>
    <x v="0"/>
    <x v="39"/>
    <x v="39"/>
    <x v="80"/>
    <x v="80"/>
    <x v="80"/>
    <x v="16"/>
    <x v="139"/>
    <x v="63"/>
    <x v="118"/>
    <x v="200"/>
    <x v="78"/>
    <x v="45"/>
    <x v="0"/>
  </r>
  <r>
    <x v="0"/>
    <x v="39"/>
    <x v="39"/>
    <x v="9"/>
    <x v="9"/>
    <x v="9"/>
    <x v="16"/>
    <x v="139"/>
    <x v="63"/>
    <x v="107"/>
    <x v="9"/>
    <x v="80"/>
    <x v="108"/>
    <x v="0"/>
  </r>
  <r>
    <x v="0"/>
    <x v="39"/>
    <x v="39"/>
    <x v="8"/>
    <x v="8"/>
    <x v="8"/>
    <x v="16"/>
    <x v="139"/>
    <x v="63"/>
    <x v="105"/>
    <x v="101"/>
    <x v="48"/>
    <x v="125"/>
    <x v="0"/>
  </r>
  <r>
    <x v="0"/>
    <x v="39"/>
    <x v="39"/>
    <x v="4"/>
    <x v="4"/>
    <x v="4"/>
    <x v="16"/>
    <x v="139"/>
    <x v="63"/>
    <x v="107"/>
    <x v="9"/>
    <x v="80"/>
    <x v="108"/>
    <x v="0"/>
  </r>
  <r>
    <x v="0"/>
    <x v="40"/>
    <x v="40"/>
    <x v="10"/>
    <x v="10"/>
    <x v="10"/>
    <x v="0"/>
    <x v="101"/>
    <x v="271"/>
    <x v="48"/>
    <x v="269"/>
    <x v="61"/>
    <x v="284"/>
    <x v="0"/>
  </r>
  <r>
    <x v="0"/>
    <x v="40"/>
    <x v="40"/>
    <x v="0"/>
    <x v="0"/>
    <x v="0"/>
    <x v="1"/>
    <x v="136"/>
    <x v="272"/>
    <x v="48"/>
    <x v="269"/>
    <x v="80"/>
    <x v="108"/>
    <x v="0"/>
  </r>
  <r>
    <x v="0"/>
    <x v="40"/>
    <x v="40"/>
    <x v="55"/>
    <x v="55"/>
    <x v="55"/>
    <x v="2"/>
    <x v="137"/>
    <x v="273"/>
    <x v="118"/>
    <x v="198"/>
    <x v="42"/>
    <x v="277"/>
    <x v="0"/>
  </r>
  <r>
    <x v="0"/>
    <x v="40"/>
    <x v="40"/>
    <x v="11"/>
    <x v="11"/>
    <x v="11"/>
    <x v="3"/>
    <x v="138"/>
    <x v="274"/>
    <x v="105"/>
    <x v="369"/>
    <x v="78"/>
    <x v="254"/>
    <x v="0"/>
  </r>
  <r>
    <x v="0"/>
    <x v="40"/>
    <x v="40"/>
    <x v="19"/>
    <x v="19"/>
    <x v="19"/>
    <x v="3"/>
    <x v="138"/>
    <x v="274"/>
    <x v="107"/>
    <x v="194"/>
    <x v="48"/>
    <x v="79"/>
    <x v="0"/>
  </r>
  <r>
    <x v="0"/>
    <x v="40"/>
    <x v="40"/>
    <x v="27"/>
    <x v="27"/>
    <x v="27"/>
    <x v="4"/>
    <x v="139"/>
    <x v="275"/>
    <x v="107"/>
    <x v="194"/>
    <x v="80"/>
    <x v="108"/>
    <x v="0"/>
  </r>
  <r>
    <x v="0"/>
    <x v="40"/>
    <x v="40"/>
    <x v="96"/>
    <x v="96"/>
    <x v="96"/>
    <x v="4"/>
    <x v="139"/>
    <x v="275"/>
    <x v="105"/>
    <x v="369"/>
    <x v="48"/>
    <x v="79"/>
    <x v="0"/>
  </r>
  <r>
    <x v="0"/>
    <x v="40"/>
    <x v="40"/>
    <x v="7"/>
    <x v="7"/>
    <x v="7"/>
    <x v="6"/>
    <x v="141"/>
    <x v="9"/>
    <x v="129"/>
    <x v="388"/>
    <x v="48"/>
    <x v="79"/>
    <x v="0"/>
  </r>
  <r>
    <x v="0"/>
    <x v="40"/>
    <x v="40"/>
    <x v="67"/>
    <x v="67"/>
    <x v="67"/>
    <x v="6"/>
    <x v="141"/>
    <x v="9"/>
    <x v="118"/>
    <x v="198"/>
    <x v="80"/>
    <x v="108"/>
    <x v="0"/>
  </r>
  <r>
    <x v="0"/>
    <x v="40"/>
    <x v="40"/>
    <x v="70"/>
    <x v="70"/>
    <x v="70"/>
    <x v="6"/>
    <x v="141"/>
    <x v="9"/>
    <x v="118"/>
    <x v="198"/>
    <x v="80"/>
    <x v="108"/>
    <x v="0"/>
  </r>
  <r>
    <x v="0"/>
    <x v="40"/>
    <x v="40"/>
    <x v="61"/>
    <x v="61"/>
    <x v="61"/>
    <x v="6"/>
    <x v="141"/>
    <x v="9"/>
    <x v="129"/>
    <x v="388"/>
    <x v="48"/>
    <x v="79"/>
    <x v="0"/>
  </r>
  <r>
    <x v="0"/>
    <x v="40"/>
    <x v="40"/>
    <x v="38"/>
    <x v="38"/>
    <x v="38"/>
    <x v="6"/>
    <x v="141"/>
    <x v="9"/>
    <x v="129"/>
    <x v="388"/>
    <x v="48"/>
    <x v="79"/>
    <x v="0"/>
  </r>
  <r>
    <x v="0"/>
    <x v="40"/>
    <x v="40"/>
    <x v="99"/>
    <x v="99"/>
    <x v="99"/>
    <x v="6"/>
    <x v="141"/>
    <x v="9"/>
    <x v="118"/>
    <x v="198"/>
    <x v="80"/>
    <x v="108"/>
    <x v="0"/>
  </r>
  <r>
    <x v="0"/>
    <x v="40"/>
    <x v="40"/>
    <x v="100"/>
    <x v="100"/>
    <x v="100"/>
    <x v="6"/>
    <x v="141"/>
    <x v="9"/>
    <x v="129"/>
    <x v="388"/>
    <x v="48"/>
    <x v="79"/>
    <x v="0"/>
  </r>
  <r>
    <x v="0"/>
    <x v="40"/>
    <x v="40"/>
    <x v="69"/>
    <x v="69"/>
    <x v="69"/>
    <x v="6"/>
    <x v="141"/>
    <x v="9"/>
    <x v="118"/>
    <x v="198"/>
    <x v="80"/>
    <x v="108"/>
    <x v="0"/>
  </r>
  <r>
    <x v="0"/>
    <x v="40"/>
    <x v="40"/>
    <x v="85"/>
    <x v="85"/>
    <x v="85"/>
    <x v="6"/>
    <x v="141"/>
    <x v="9"/>
    <x v="118"/>
    <x v="198"/>
    <x v="80"/>
    <x v="108"/>
    <x v="0"/>
  </r>
  <r>
    <x v="0"/>
    <x v="40"/>
    <x v="40"/>
    <x v="101"/>
    <x v="101"/>
    <x v="101"/>
    <x v="6"/>
    <x v="141"/>
    <x v="9"/>
    <x v="130"/>
    <x v="312"/>
    <x v="78"/>
    <x v="254"/>
    <x v="0"/>
  </r>
  <r>
    <x v="0"/>
    <x v="40"/>
    <x v="40"/>
    <x v="29"/>
    <x v="29"/>
    <x v="29"/>
    <x v="6"/>
    <x v="141"/>
    <x v="9"/>
    <x v="130"/>
    <x v="312"/>
    <x v="78"/>
    <x v="254"/>
    <x v="0"/>
  </r>
  <r>
    <x v="0"/>
    <x v="40"/>
    <x v="40"/>
    <x v="102"/>
    <x v="102"/>
    <x v="102"/>
    <x v="6"/>
    <x v="141"/>
    <x v="9"/>
    <x v="118"/>
    <x v="198"/>
    <x v="80"/>
    <x v="108"/>
    <x v="0"/>
  </r>
  <r>
    <x v="0"/>
    <x v="40"/>
    <x v="40"/>
    <x v="59"/>
    <x v="59"/>
    <x v="59"/>
    <x v="6"/>
    <x v="141"/>
    <x v="9"/>
    <x v="118"/>
    <x v="198"/>
    <x v="80"/>
    <x v="108"/>
    <x v="0"/>
  </r>
  <r>
    <x v="0"/>
    <x v="40"/>
    <x v="40"/>
    <x v="25"/>
    <x v="25"/>
    <x v="25"/>
    <x v="6"/>
    <x v="141"/>
    <x v="9"/>
    <x v="118"/>
    <x v="198"/>
    <x v="80"/>
    <x v="108"/>
    <x v="0"/>
  </r>
  <r>
    <x v="0"/>
    <x v="40"/>
    <x v="40"/>
    <x v="13"/>
    <x v="13"/>
    <x v="13"/>
    <x v="6"/>
    <x v="141"/>
    <x v="9"/>
    <x v="118"/>
    <x v="198"/>
    <x v="80"/>
    <x v="108"/>
    <x v="0"/>
  </r>
  <r>
    <x v="0"/>
    <x v="40"/>
    <x v="40"/>
    <x v="73"/>
    <x v="73"/>
    <x v="73"/>
    <x v="6"/>
    <x v="141"/>
    <x v="9"/>
    <x v="130"/>
    <x v="312"/>
    <x v="78"/>
    <x v="254"/>
    <x v="0"/>
  </r>
  <r>
    <x v="0"/>
    <x v="40"/>
    <x v="40"/>
    <x v="3"/>
    <x v="3"/>
    <x v="3"/>
    <x v="6"/>
    <x v="141"/>
    <x v="9"/>
    <x v="118"/>
    <x v="198"/>
    <x v="80"/>
    <x v="108"/>
    <x v="0"/>
  </r>
  <r>
    <x v="0"/>
    <x v="41"/>
    <x v="41"/>
    <x v="0"/>
    <x v="0"/>
    <x v="0"/>
    <x v="0"/>
    <x v="109"/>
    <x v="276"/>
    <x v="110"/>
    <x v="389"/>
    <x v="80"/>
    <x v="108"/>
    <x v="0"/>
  </r>
  <r>
    <x v="0"/>
    <x v="41"/>
    <x v="41"/>
    <x v="7"/>
    <x v="7"/>
    <x v="7"/>
    <x v="1"/>
    <x v="98"/>
    <x v="274"/>
    <x v="105"/>
    <x v="390"/>
    <x v="75"/>
    <x v="285"/>
    <x v="0"/>
  </r>
  <r>
    <x v="0"/>
    <x v="41"/>
    <x v="41"/>
    <x v="3"/>
    <x v="3"/>
    <x v="3"/>
    <x v="1"/>
    <x v="98"/>
    <x v="274"/>
    <x v="49"/>
    <x v="391"/>
    <x v="48"/>
    <x v="216"/>
    <x v="0"/>
  </r>
  <r>
    <x v="0"/>
    <x v="41"/>
    <x v="41"/>
    <x v="1"/>
    <x v="1"/>
    <x v="1"/>
    <x v="3"/>
    <x v="100"/>
    <x v="161"/>
    <x v="102"/>
    <x v="392"/>
    <x v="67"/>
    <x v="28"/>
    <x v="0"/>
  </r>
  <r>
    <x v="0"/>
    <x v="41"/>
    <x v="41"/>
    <x v="10"/>
    <x v="10"/>
    <x v="10"/>
    <x v="18"/>
    <x v="102"/>
    <x v="211"/>
    <x v="48"/>
    <x v="30"/>
    <x v="42"/>
    <x v="286"/>
    <x v="0"/>
  </r>
  <r>
    <x v="0"/>
    <x v="41"/>
    <x v="41"/>
    <x v="8"/>
    <x v="8"/>
    <x v="8"/>
    <x v="18"/>
    <x v="102"/>
    <x v="211"/>
    <x v="78"/>
    <x v="393"/>
    <x v="78"/>
    <x v="38"/>
    <x v="0"/>
  </r>
  <r>
    <x v="0"/>
    <x v="41"/>
    <x v="41"/>
    <x v="4"/>
    <x v="4"/>
    <x v="4"/>
    <x v="18"/>
    <x v="102"/>
    <x v="211"/>
    <x v="78"/>
    <x v="393"/>
    <x v="78"/>
    <x v="38"/>
    <x v="0"/>
  </r>
  <r>
    <x v="0"/>
    <x v="41"/>
    <x v="41"/>
    <x v="18"/>
    <x v="18"/>
    <x v="18"/>
    <x v="18"/>
    <x v="102"/>
    <x v="211"/>
    <x v="78"/>
    <x v="393"/>
    <x v="78"/>
    <x v="38"/>
    <x v="0"/>
  </r>
  <r>
    <x v="0"/>
    <x v="41"/>
    <x v="41"/>
    <x v="6"/>
    <x v="6"/>
    <x v="6"/>
    <x v="7"/>
    <x v="134"/>
    <x v="5"/>
    <x v="107"/>
    <x v="224"/>
    <x v="52"/>
    <x v="75"/>
    <x v="0"/>
  </r>
  <r>
    <x v="0"/>
    <x v="41"/>
    <x v="41"/>
    <x v="35"/>
    <x v="35"/>
    <x v="35"/>
    <x v="8"/>
    <x v="135"/>
    <x v="103"/>
    <x v="105"/>
    <x v="390"/>
    <x v="52"/>
    <x v="75"/>
    <x v="0"/>
  </r>
  <r>
    <x v="0"/>
    <x v="41"/>
    <x v="41"/>
    <x v="9"/>
    <x v="9"/>
    <x v="9"/>
    <x v="8"/>
    <x v="135"/>
    <x v="103"/>
    <x v="80"/>
    <x v="32"/>
    <x v="67"/>
    <x v="28"/>
    <x v="0"/>
  </r>
  <r>
    <x v="0"/>
    <x v="41"/>
    <x v="41"/>
    <x v="19"/>
    <x v="19"/>
    <x v="19"/>
    <x v="10"/>
    <x v="136"/>
    <x v="8"/>
    <x v="118"/>
    <x v="256"/>
    <x v="52"/>
    <x v="75"/>
    <x v="0"/>
  </r>
  <r>
    <x v="0"/>
    <x v="41"/>
    <x v="41"/>
    <x v="13"/>
    <x v="13"/>
    <x v="13"/>
    <x v="10"/>
    <x v="136"/>
    <x v="8"/>
    <x v="48"/>
    <x v="30"/>
    <x v="80"/>
    <x v="108"/>
    <x v="0"/>
  </r>
  <r>
    <x v="0"/>
    <x v="41"/>
    <x v="41"/>
    <x v="14"/>
    <x v="14"/>
    <x v="14"/>
    <x v="12"/>
    <x v="137"/>
    <x v="44"/>
    <x v="107"/>
    <x v="224"/>
    <x v="78"/>
    <x v="38"/>
    <x v="0"/>
  </r>
  <r>
    <x v="0"/>
    <x v="41"/>
    <x v="41"/>
    <x v="45"/>
    <x v="45"/>
    <x v="45"/>
    <x v="12"/>
    <x v="137"/>
    <x v="44"/>
    <x v="105"/>
    <x v="390"/>
    <x v="67"/>
    <x v="28"/>
    <x v="0"/>
  </r>
  <r>
    <x v="0"/>
    <x v="41"/>
    <x v="41"/>
    <x v="5"/>
    <x v="5"/>
    <x v="5"/>
    <x v="12"/>
    <x v="137"/>
    <x v="44"/>
    <x v="107"/>
    <x v="224"/>
    <x v="78"/>
    <x v="38"/>
    <x v="0"/>
  </r>
  <r>
    <x v="0"/>
    <x v="41"/>
    <x v="41"/>
    <x v="22"/>
    <x v="22"/>
    <x v="22"/>
    <x v="12"/>
    <x v="137"/>
    <x v="44"/>
    <x v="107"/>
    <x v="224"/>
    <x v="78"/>
    <x v="38"/>
    <x v="0"/>
  </r>
  <r>
    <x v="0"/>
    <x v="41"/>
    <x v="41"/>
    <x v="11"/>
    <x v="11"/>
    <x v="11"/>
    <x v="15"/>
    <x v="138"/>
    <x v="34"/>
    <x v="105"/>
    <x v="390"/>
    <x v="78"/>
    <x v="38"/>
    <x v="0"/>
  </r>
  <r>
    <x v="0"/>
    <x v="41"/>
    <x v="41"/>
    <x v="68"/>
    <x v="68"/>
    <x v="68"/>
    <x v="15"/>
    <x v="138"/>
    <x v="34"/>
    <x v="129"/>
    <x v="98"/>
    <x v="42"/>
    <x v="286"/>
    <x v="0"/>
  </r>
  <r>
    <x v="0"/>
    <x v="41"/>
    <x v="41"/>
    <x v="67"/>
    <x v="67"/>
    <x v="67"/>
    <x v="15"/>
    <x v="138"/>
    <x v="34"/>
    <x v="107"/>
    <x v="224"/>
    <x v="48"/>
    <x v="216"/>
    <x v="0"/>
  </r>
  <r>
    <x v="0"/>
    <x v="41"/>
    <x v="41"/>
    <x v="38"/>
    <x v="38"/>
    <x v="38"/>
    <x v="15"/>
    <x v="138"/>
    <x v="34"/>
    <x v="105"/>
    <x v="390"/>
    <x v="78"/>
    <x v="38"/>
    <x v="0"/>
  </r>
  <r>
    <x v="0"/>
    <x v="41"/>
    <x v="41"/>
    <x v="59"/>
    <x v="59"/>
    <x v="59"/>
    <x v="15"/>
    <x v="138"/>
    <x v="34"/>
    <x v="118"/>
    <x v="256"/>
    <x v="67"/>
    <x v="28"/>
    <x v="0"/>
  </r>
  <r>
    <x v="0"/>
    <x v="41"/>
    <x v="41"/>
    <x v="73"/>
    <x v="73"/>
    <x v="73"/>
    <x v="15"/>
    <x v="138"/>
    <x v="34"/>
    <x v="130"/>
    <x v="312"/>
    <x v="42"/>
    <x v="286"/>
    <x v="0"/>
  </r>
  <r>
    <x v="0"/>
    <x v="42"/>
    <x v="42"/>
    <x v="103"/>
    <x v="103"/>
    <x v="103"/>
    <x v="0"/>
    <x v="111"/>
    <x v="277"/>
    <x v="35"/>
    <x v="394"/>
    <x v="67"/>
    <x v="238"/>
    <x v="0"/>
  </r>
  <r>
    <x v="0"/>
    <x v="42"/>
    <x v="42"/>
    <x v="25"/>
    <x v="25"/>
    <x v="25"/>
    <x v="1"/>
    <x v="129"/>
    <x v="278"/>
    <x v="83"/>
    <x v="395"/>
    <x v="80"/>
    <x v="108"/>
    <x v="0"/>
  </r>
  <r>
    <x v="0"/>
    <x v="42"/>
    <x v="42"/>
    <x v="45"/>
    <x v="45"/>
    <x v="45"/>
    <x v="2"/>
    <x v="134"/>
    <x v="185"/>
    <x v="79"/>
    <x v="150"/>
    <x v="48"/>
    <x v="15"/>
    <x v="0"/>
  </r>
  <r>
    <x v="0"/>
    <x v="42"/>
    <x v="42"/>
    <x v="1"/>
    <x v="1"/>
    <x v="1"/>
    <x v="2"/>
    <x v="134"/>
    <x v="185"/>
    <x v="78"/>
    <x v="396"/>
    <x v="80"/>
    <x v="108"/>
    <x v="0"/>
  </r>
  <r>
    <x v="0"/>
    <x v="42"/>
    <x v="42"/>
    <x v="26"/>
    <x v="26"/>
    <x v="26"/>
    <x v="18"/>
    <x v="136"/>
    <x v="269"/>
    <x v="80"/>
    <x v="380"/>
    <x v="78"/>
    <x v="242"/>
    <x v="0"/>
  </r>
  <r>
    <x v="0"/>
    <x v="42"/>
    <x v="42"/>
    <x v="19"/>
    <x v="19"/>
    <x v="19"/>
    <x v="18"/>
    <x v="136"/>
    <x v="269"/>
    <x v="118"/>
    <x v="384"/>
    <x v="52"/>
    <x v="287"/>
    <x v="0"/>
  </r>
  <r>
    <x v="0"/>
    <x v="42"/>
    <x v="42"/>
    <x v="104"/>
    <x v="104"/>
    <x v="104"/>
    <x v="5"/>
    <x v="137"/>
    <x v="279"/>
    <x v="108"/>
    <x v="397"/>
    <x v="80"/>
    <x v="108"/>
    <x v="0"/>
  </r>
  <r>
    <x v="0"/>
    <x v="42"/>
    <x v="42"/>
    <x v="62"/>
    <x v="62"/>
    <x v="62"/>
    <x v="5"/>
    <x v="137"/>
    <x v="279"/>
    <x v="105"/>
    <x v="383"/>
    <x v="67"/>
    <x v="238"/>
    <x v="0"/>
  </r>
  <r>
    <x v="0"/>
    <x v="42"/>
    <x v="42"/>
    <x v="9"/>
    <x v="9"/>
    <x v="9"/>
    <x v="7"/>
    <x v="138"/>
    <x v="172"/>
    <x v="107"/>
    <x v="398"/>
    <x v="48"/>
    <x v="15"/>
    <x v="0"/>
  </r>
  <r>
    <x v="0"/>
    <x v="42"/>
    <x v="42"/>
    <x v="68"/>
    <x v="68"/>
    <x v="68"/>
    <x v="8"/>
    <x v="139"/>
    <x v="145"/>
    <x v="107"/>
    <x v="398"/>
    <x v="80"/>
    <x v="108"/>
    <x v="0"/>
  </r>
  <r>
    <x v="0"/>
    <x v="42"/>
    <x v="42"/>
    <x v="59"/>
    <x v="59"/>
    <x v="59"/>
    <x v="8"/>
    <x v="139"/>
    <x v="145"/>
    <x v="118"/>
    <x v="384"/>
    <x v="78"/>
    <x v="242"/>
    <x v="0"/>
  </r>
  <r>
    <x v="0"/>
    <x v="42"/>
    <x v="42"/>
    <x v="48"/>
    <x v="48"/>
    <x v="48"/>
    <x v="10"/>
    <x v="140"/>
    <x v="280"/>
    <x v="129"/>
    <x v="235"/>
    <x v="78"/>
    <x v="242"/>
    <x v="0"/>
  </r>
  <r>
    <x v="0"/>
    <x v="42"/>
    <x v="42"/>
    <x v="105"/>
    <x v="105"/>
    <x v="105"/>
    <x v="10"/>
    <x v="140"/>
    <x v="280"/>
    <x v="105"/>
    <x v="383"/>
    <x v="80"/>
    <x v="108"/>
    <x v="0"/>
  </r>
  <r>
    <x v="0"/>
    <x v="42"/>
    <x v="42"/>
    <x v="18"/>
    <x v="18"/>
    <x v="18"/>
    <x v="10"/>
    <x v="140"/>
    <x v="280"/>
    <x v="105"/>
    <x v="383"/>
    <x v="80"/>
    <x v="108"/>
    <x v="0"/>
  </r>
  <r>
    <x v="0"/>
    <x v="42"/>
    <x v="42"/>
    <x v="11"/>
    <x v="11"/>
    <x v="11"/>
    <x v="13"/>
    <x v="141"/>
    <x v="89"/>
    <x v="129"/>
    <x v="235"/>
    <x v="48"/>
    <x v="15"/>
    <x v="0"/>
  </r>
  <r>
    <x v="0"/>
    <x v="42"/>
    <x v="42"/>
    <x v="94"/>
    <x v="94"/>
    <x v="94"/>
    <x v="13"/>
    <x v="141"/>
    <x v="89"/>
    <x v="118"/>
    <x v="384"/>
    <x v="80"/>
    <x v="108"/>
    <x v="0"/>
  </r>
  <r>
    <x v="0"/>
    <x v="42"/>
    <x v="42"/>
    <x v="6"/>
    <x v="6"/>
    <x v="6"/>
    <x v="13"/>
    <x v="141"/>
    <x v="89"/>
    <x v="118"/>
    <x v="384"/>
    <x v="80"/>
    <x v="108"/>
    <x v="0"/>
  </r>
  <r>
    <x v="0"/>
    <x v="42"/>
    <x v="42"/>
    <x v="14"/>
    <x v="14"/>
    <x v="14"/>
    <x v="13"/>
    <x v="141"/>
    <x v="89"/>
    <x v="130"/>
    <x v="312"/>
    <x v="78"/>
    <x v="242"/>
    <x v="0"/>
  </r>
  <r>
    <x v="0"/>
    <x v="42"/>
    <x v="42"/>
    <x v="5"/>
    <x v="5"/>
    <x v="5"/>
    <x v="13"/>
    <x v="141"/>
    <x v="89"/>
    <x v="118"/>
    <x v="384"/>
    <x v="80"/>
    <x v="108"/>
    <x v="0"/>
  </r>
  <r>
    <x v="0"/>
    <x v="42"/>
    <x v="42"/>
    <x v="13"/>
    <x v="13"/>
    <x v="13"/>
    <x v="13"/>
    <x v="141"/>
    <x v="89"/>
    <x v="118"/>
    <x v="384"/>
    <x v="80"/>
    <x v="108"/>
    <x v="0"/>
  </r>
  <r>
    <x v="0"/>
    <x v="42"/>
    <x v="42"/>
    <x v="106"/>
    <x v="106"/>
    <x v="106"/>
    <x v="13"/>
    <x v="141"/>
    <x v="89"/>
    <x v="130"/>
    <x v="312"/>
    <x v="78"/>
    <x v="242"/>
    <x v="0"/>
  </r>
  <r>
    <x v="0"/>
    <x v="42"/>
    <x v="42"/>
    <x v="4"/>
    <x v="4"/>
    <x v="4"/>
    <x v="13"/>
    <x v="141"/>
    <x v="89"/>
    <x v="118"/>
    <x v="384"/>
    <x v="80"/>
    <x v="108"/>
    <x v="0"/>
  </r>
  <r>
    <x v="0"/>
    <x v="42"/>
    <x v="42"/>
    <x v="74"/>
    <x v="74"/>
    <x v="74"/>
    <x v="13"/>
    <x v="141"/>
    <x v="89"/>
    <x v="130"/>
    <x v="312"/>
    <x v="78"/>
    <x v="242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BDB00A2-C3B7-43FF-92A7-6713D0F31350}" name="pvt_L" cacheId="2188" applyNumberFormats="0" applyBorderFormats="0" applyFontFormats="0" applyPatternFormats="0" applyAlignmentFormats="0" applyWidthHeightFormats="1" dataCaption="値" updatedVersion="8" minRefreshableVersion="3" useAutoFormatting="1" rowGrandTotals="0" colGrandTotals="0" itemPrintTitles="1" createdVersion="5" indent="0" outline="1" outlineData="1" multipleFieldFilters="0" rowHeaderCaption="自治体／産業大分類" fieldListSortAscending="1">
  <location ref="A1:H689" firstHeaderRow="0" firstDataRow="1" firstDataCol="1"/>
  <pivotFields count="11">
    <pivotField showAll="0"/>
    <pivotField showAll="0"/>
    <pivotField axis="axisRow" showAll="0">
      <items count="4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t="default"/>
      </items>
    </pivotField>
    <pivotField axis="axisRow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2"/>
    <field x="3"/>
  </rowFields>
  <rowItems count="688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4" baseField="0" baseItem="0" numFmtId="176"/>
    <dataField name="総数／構成比" fld="5" baseField="0" baseItem="0" numFmtId="177"/>
    <dataField name="個人／事業所数" fld="6" baseField="0" baseItem="0" numFmtId="176"/>
    <dataField name="個人／構成比" fld="7" baseField="0" baseItem="0" numFmtId="177"/>
    <dataField name="法人／事業所数" fld="8" baseField="0" baseItem="0" numFmtId="176"/>
    <dataField name="法人／構成比" fld="9" baseField="0" baseItem="0" numFmtId="177"/>
    <dataField name="法人以外の団体／事業所数" fld="10" baseField="0" baseItem="0" numFmtId="176"/>
  </dataFields>
  <formats count="16">
    <format dxfId="651">
      <pivotArea field="2" type="button" dataOnly="0" labelOnly="1" outline="0" axis="axisRow" fieldPosition="0"/>
    </format>
    <format dxfId="650">
      <pivotArea outline="0" fieldPosition="0">
        <references count="1">
          <reference field="4294967294" count="1">
            <x v="0"/>
          </reference>
        </references>
      </pivotArea>
    </format>
    <format dxfId="649">
      <pivotArea outline="0" fieldPosition="0">
        <references count="1">
          <reference field="4294967294" count="1">
            <x v="1"/>
          </reference>
        </references>
      </pivotArea>
    </format>
    <format dxfId="648">
      <pivotArea outline="0" fieldPosition="0">
        <references count="1">
          <reference field="4294967294" count="1">
            <x v="2"/>
          </reference>
        </references>
      </pivotArea>
    </format>
    <format dxfId="647">
      <pivotArea outline="0" fieldPosition="0">
        <references count="1">
          <reference field="4294967294" count="1">
            <x v="3"/>
          </reference>
        </references>
      </pivotArea>
    </format>
    <format dxfId="646">
      <pivotArea outline="0" fieldPosition="0">
        <references count="1">
          <reference field="4294967294" count="1">
            <x v="4"/>
          </reference>
        </references>
      </pivotArea>
    </format>
    <format dxfId="645">
      <pivotArea outline="0" fieldPosition="0">
        <references count="1">
          <reference field="4294967294" count="1">
            <x v="5"/>
          </reference>
        </references>
      </pivotArea>
    </format>
    <format dxfId="644">
      <pivotArea outline="0" fieldPosition="0">
        <references count="1">
          <reference field="4294967294" count="1">
            <x v="6"/>
          </reference>
        </references>
      </pivotArea>
    </format>
    <format dxfId="643">
      <pivotArea field="2" type="button" dataOnly="0" labelOnly="1" outline="0" axis="axisRow" fieldPosition="0"/>
    </format>
    <format dxfId="642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41">
      <pivotArea field="2" type="button" dataOnly="0" labelOnly="1" outline="0" axis="axisRow" fieldPosition="0"/>
    </format>
    <format dxfId="640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39">
      <pivotArea field="2" type="button" dataOnly="0" labelOnly="1" outline="0" axis="axisRow" fieldPosition="0"/>
    </format>
    <format dxfId="638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37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36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</formats>
  <pivotTableStyleInfo name="PivotStyleDark2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6C5992A-CDA8-4D26-85D5-9F6F85A3E6FA}" name="pvt_M" cacheId="2189" applyNumberFormats="0" applyBorderFormats="0" applyFontFormats="0" applyPatternFormats="0" applyAlignmentFormats="0" applyWidthHeightFormats="1" dataCaption="値" updatedVersion="8" minRefreshableVersion="3" showDrill="0" enableDrill="0" useAutoFormatting="1" rowGrandTotals="0" colGrandTotals="0" itemPrintTitles="1" createdVersion="5" indent="0" outline="1" outlineData="1" multipleFieldFilters="0" rowHeaderCaption="自治体" fieldListSortAscending="1">
  <location ref="A1:I1005" firstHeaderRow="0" firstDataRow="1" firstDataCol="2"/>
  <pivotFields count="14">
    <pivotField showAll="0" defaultSubtotal="0">
      <items count="1">
        <item x="0"/>
      </items>
    </pivotField>
    <pivotField showAll="0" defaultSubtotal="0">
      <items count="43">
        <item x="29"/>
        <item x="27"/>
        <item x="28"/>
        <item x="23"/>
        <item x="22"/>
        <item x="9"/>
        <item x="20"/>
        <item x="34"/>
        <item x="37"/>
        <item x="36"/>
        <item x="40"/>
        <item x="39"/>
        <item x="38"/>
        <item x="35"/>
        <item x="41"/>
        <item x="14"/>
        <item x="21"/>
        <item x="13"/>
        <item x="5"/>
        <item x="0"/>
        <item x="1"/>
        <item x="19"/>
        <item x="10"/>
        <item x="3"/>
        <item x="15"/>
        <item x="16"/>
        <item x="8"/>
        <item x="4"/>
        <item x="2"/>
        <item x="42"/>
        <item x="6"/>
        <item x="12"/>
        <item x="17"/>
        <item x="11"/>
        <item x="7"/>
        <item x="26"/>
        <item x="25"/>
        <item x="33"/>
        <item x="18"/>
        <item x="31"/>
        <item x="32"/>
        <item x="30"/>
        <item x="24"/>
      </items>
    </pivotField>
    <pivotField axis="axisRow" showAll="0" insertBlankRow="1" defaultSubtotal="0">
      <items count="4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</items>
    </pivotField>
    <pivotField showAll="0" defaultSubtotal="0">
      <items count="54">
        <item x="2"/>
        <item x="5"/>
        <item x="10"/>
        <item x="26"/>
        <item x="41"/>
        <item x="13"/>
        <item x="29"/>
        <item x="27"/>
        <item x="33"/>
        <item x="38"/>
        <item x="32"/>
        <item x="50"/>
        <item x="15"/>
        <item x="16"/>
        <item x="37"/>
        <item x="19"/>
        <item x="47"/>
        <item x="44"/>
        <item x="35"/>
        <item x="28"/>
        <item x="48"/>
        <item x="49"/>
        <item x="51"/>
        <item x="52"/>
        <item x="45"/>
        <item x="20"/>
        <item x="39"/>
        <item x="23"/>
        <item x="21"/>
        <item x="17"/>
        <item x="12"/>
        <item x="7"/>
        <item x="8"/>
        <item x="3"/>
        <item x="31"/>
        <item x="46"/>
        <item x="36"/>
        <item x="4"/>
        <item x="42"/>
        <item x="11"/>
        <item x="14"/>
        <item x="25"/>
        <item x="0"/>
        <item x="34"/>
        <item x="1"/>
        <item x="24"/>
        <item x="43"/>
        <item x="6"/>
        <item x="9"/>
        <item x="30"/>
        <item x="18"/>
        <item x="40"/>
        <item x="53"/>
        <item x="22"/>
      </items>
    </pivotField>
    <pivotField showAll="0" defaultSubtotal="0">
      <items count="54">
        <item x="51"/>
        <item x="50"/>
        <item x="17"/>
        <item x="6"/>
        <item x="22"/>
        <item x="3"/>
        <item x="24"/>
        <item x="28"/>
        <item x="33"/>
        <item x="37"/>
        <item x="32"/>
        <item x="9"/>
        <item x="38"/>
        <item x="0"/>
        <item x="39"/>
        <item x="7"/>
        <item x="41"/>
        <item x="27"/>
        <item x="21"/>
        <item x="8"/>
        <item x="40"/>
        <item x="14"/>
        <item x="16"/>
        <item x="23"/>
        <item x="43"/>
        <item x="34"/>
        <item x="18"/>
        <item x="30"/>
        <item x="25"/>
        <item x="12"/>
        <item x="53"/>
        <item x="5"/>
        <item x="26"/>
        <item x="49"/>
        <item x="19"/>
        <item x="10"/>
        <item x="11"/>
        <item x="1"/>
        <item x="20"/>
        <item x="13"/>
        <item x="2"/>
        <item x="44"/>
        <item x="48"/>
        <item x="47"/>
        <item x="45"/>
        <item x="52"/>
        <item x="36"/>
        <item x="4"/>
        <item x="42"/>
        <item x="46"/>
        <item x="31"/>
        <item x="29"/>
        <item x="35"/>
        <item x="15"/>
      </items>
    </pivotField>
    <pivotField axis="axisRow" showAll="0" defaultSubtotal="0">
      <items count="54">
        <item x="2"/>
        <item x="5"/>
        <item x="10"/>
        <item x="26"/>
        <item x="41"/>
        <item x="13"/>
        <item x="29"/>
        <item x="27"/>
        <item x="33"/>
        <item x="38"/>
        <item x="32"/>
        <item x="50"/>
        <item x="15"/>
        <item x="16"/>
        <item x="37"/>
        <item x="19"/>
        <item x="47"/>
        <item x="44"/>
        <item x="35"/>
        <item x="28"/>
        <item x="48"/>
        <item x="49"/>
        <item x="51"/>
        <item x="52"/>
        <item x="45"/>
        <item x="20"/>
        <item x="39"/>
        <item x="23"/>
        <item x="21"/>
        <item x="17"/>
        <item x="12"/>
        <item x="7"/>
        <item x="8"/>
        <item x="3"/>
        <item x="31"/>
        <item x="46"/>
        <item x="36"/>
        <item x="4"/>
        <item x="42"/>
        <item x="11"/>
        <item x="14"/>
        <item x="25"/>
        <item x="0"/>
        <item x="34"/>
        <item x="1"/>
        <item x="24"/>
        <item x="43"/>
        <item x="6"/>
        <item x="9"/>
        <item x="30"/>
        <item x="18"/>
        <item x="40"/>
        <item x="53"/>
        <item x="22"/>
      </items>
    </pivotField>
    <pivotField axis="axisRow" outline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 defaultSubtotal="0">
      <items count="199">
        <item x="198"/>
        <item x="197"/>
        <item x="196"/>
        <item x="195"/>
        <item x="194"/>
        <item x="193"/>
        <item x="192"/>
        <item x="186"/>
        <item x="184"/>
        <item x="185"/>
        <item x="191"/>
        <item x="183"/>
        <item x="132"/>
        <item x="131"/>
        <item x="130"/>
        <item x="129"/>
        <item x="154"/>
        <item x="140"/>
        <item x="128"/>
        <item x="160"/>
        <item x="127"/>
        <item x="126"/>
        <item x="190"/>
        <item x="125"/>
        <item x="148"/>
        <item x="159"/>
        <item x="124"/>
        <item x="118"/>
        <item x="139"/>
        <item x="117"/>
        <item x="123"/>
        <item x="122"/>
        <item x="181"/>
        <item x="92"/>
        <item x="91"/>
        <item x="116"/>
        <item x="147"/>
        <item x="121"/>
        <item x="138"/>
        <item x="182"/>
        <item x="115"/>
        <item x="146"/>
        <item x="114"/>
        <item x="178"/>
        <item x="74"/>
        <item x="158"/>
        <item x="153"/>
        <item x="73"/>
        <item x="58"/>
        <item x="57"/>
        <item x="90"/>
        <item x="104"/>
        <item x="72"/>
        <item x="137"/>
        <item x="187"/>
        <item x="89"/>
        <item x="56"/>
        <item x="113"/>
        <item x="103"/>
        <item x="157"/>
        <item x="145"/>
        <item x="120"/>
        <item x="88"/>
        <item x="55"/>
        <item x="119"/>
        <item x="87"/>
        <item x="71"/>
        <item x="54"/>
        <item x="53"/>
        <item x="152"/>
        <item x="144"/>
        <item x="151"/>
        <item x="86"/>
        <item x="136"/>
        <item x="112"/>
        <item x="111"/>
        <item x="135"/>
        <item x="70"/>
        <item x="177"/>
        <item x="172"/>
        <item x="102"/>
        <item x="156"/>
        <item x="69"/>
        <item x="143"/>
        <item x="85"/>
        <item x="110"/>
        <item x="134"/>
        <item x="101"/>
        <item x="176"/>
        <item x="68"/>
        <item x="52"/>
        <item x="180"/>
        <item x="189"/>
        <item x="175"/>
        <item x="133"/>
        <item x="84"/>
        <item x="67"/>
        <item x="109"/>
        <item x="83"/>
        <item x="100"/>
        <item x="142"/>
        <item x="99"/>
        <item x="82"/>
        <item x="174"/>
        <item x="150"/>
        <item x="171"/>
        <item x="179"/>
        <item x="98"/>
        <item x="162"/>
        <item x="170"/>
        <item x="51"/>
        <item x="169"/>
        <item x="50"/>
        <item x="81"/>
        <item x="49"/>
        <item x="155"/>
        <item x="66"/>
        <item x="65"/>
        <item x="108"/>
        <item x="48"/>
        <item x="141"/>
        <item x="168"/>
        <item x="80"/>
        <item x="167"/>
        <item x="97"/>
        <item x="149"/>
        <item x="47"/>
        <item x="39"/>
        <item x="96"/>
        <item x="79"/>
        <item x="38"/>
        <item x="64"/>
        <item x="78"/>
        <item x="46"/>
        <item x="77"/>
        <item x="188"/>
        <item x="37"/>
        <item x="166"/>
        <item x="165"/>
        <item x="45"/>
        <item x="44"/>
        <item x="107"/>
        <item x="36"/>
        <item x="43"/>
        <item x="106"/>
        <item x="76"/>
        <item x="35"/>
        <item x="63"/>
        <item x="173"/>
        <item x="95"/>
        <item x="94"/>
        <item x="34"/>
        <item x="75"/>
        <item x="62"/>
        <item x="105"/>
        <item x="42"/>
        <item x="164"/>
        <item x="61"/>
        <item x="33"/>
        <item x="163"/>
        <item x="93"/>
        <item x="32"/>
        <item x="31"/>
        <item x="60"/>
        <item x="30"/>
        <item x="29"/>
        <item x="41"/>
        <item x="40"/>
        <item x="28"/>
        <item x="27"/>
        <item x="26"/>
        <item x="25"/>
        <item x="161"/>
        <item x="24"/>
        <item x="59"/>
        <item x="23"/>
        <item x="19"/>
        <item x="18"/>
        <item x="17"/>
        <item x="16"/>
        <item x="22"/>
        <item x="15"/>
        <item x="14"/>
        <item x="13"/>
        <item x="21"/>
        <item x="12"/>
        <item x="20"/>
        <item x="11"/>
        <item x="10"/>
        <item x="9"/>
        <item x="8"/>
        <item x="7"/>
        <item x="6"/>
        <item x="5"/>
        <item x="4"/>
        <item x="3"/>
        <item x="2"/>
        <item x="1"/>
        <item x="0"/>
      </items>
    </pivotField>
    <pivotField dataField="1" showAll="0" defaultSubtotal="0">
      <items count="449">
        <item x="448"/>
        <item x="375"/>
        <item x="212"/>
        <item x="211"/>
        <item x="184"/>
        <item x="374"/>
        <item x="210"/>
        <item x="297"/>
        <item x="75"/>
        <item x="277"/>
        <item x="183"/>
        <item x="296"/>
        <item x="74"/>
        <item x="57"/>
        <item x="56"/>
        <item x="92"/>
        <item x="432"/>
        <item x="19"/>
        <item x="406"/>
        <item x="91"/>
        <item x="37"/>
        <item x="197"/>
        <item x="18"/>
        <item x="73"/>
        <item x="125"/>
        <item x="387"/>
        <item x="36"/>
        <item x="333"/>
        <item x="196"/>
        <item x="241"/>
        <item x="209"/>
        <item x="55"/>
        <item x="316"/>
        <item x="195"/>
        <item x="169"/>
        <item x="155"/>
        <item x="35"/>
        <item x="182"/>
        <item x="124"/>
        <item x="410"/>
        <item x="332"/>
        <item x="229"/>
        <item x="260"/>
        <item x="386"/>
        <item x="54"/>
        <item x="394"/>
        <item x="354"/>
        <item x="123"/>
        <item x="168"/>
        <item x="17"/>
        <item x="109"/>
        <item x="34"/>
        <item x="154"/>
        <item x="53"/>
        <item x="72"/>
        <item x="52"/>
        <item x="194"/>
        <item x="108"/>
        <item x="393"/>
        <item x="153"/>
        <item x="107"/>
        <item x="385"/>
        <item x="140"/>
        <item x="122"/>
        <item x="208"/>
        <item x="167"/>
        <item x="16"/>
        <item x="193"/>
        <item x="431"/>
        <item x="286"/>
        <item x="106"/>
        <item x="121"/>
        <item x="139"/>
        <item x="71"/>
        <item x="342"/>
        <item x="105"/>
        <item x="240"/>
        <item x="120"/>
        <item x="384"/>
        <item x="15"/>
        <item x="259"/>
        <item x="90"/>
        <item x="138"/>
        <item x="14"/>
        <item x="373"/>
        <item x="166"/>
        <item x="315"/>
        <item x="70"/>
        <item x="258"/>
        <item x="13"/>
        <item x="341"/>
        <item x="181"/>
        <item x="165"/>
        <item x="331"/>
        <item x="119"/>
        <item x="314"/>
        <item x="325"/>
        <item x="228"/>
        <item x="285"/>
        <item x="89"/>
        <item x="51"/>
        <item x="69"/>
        <item x="12"/>
        <item x="295"/>
        <item x="340"/>
        <item x="227"/>
        <item x="180"/>
        <item x="88"/>
        <item x="257"/>
        <item x="164"/>
        <item x="137"/>
        <item x="179"/>
        <item x="226"/>
        <item x="362"/>
        <item x="207"/>
        <item x="284"/>
        <item x="256"/>
        <item x="11"/>
        <item x="206"/>
        <item x="339"/>
        <item x="225"/>
        <item x="33"/>
        <item x="294"/>
        <item x="276"/>
        <item x="163"/>
        <item x="303"/>
        <item x="269"/>
        <item x="87"/>
        <item x="383"/>
        <item x="152"/>
        <item x="136"/>
        <item x="104"/>
        <item x="224"/>
        <item x="353"/>
        <item x="348"/>
        <item x="151"/>
        <item x="249"/>
        <item x="293"/>
        <item x="313"/>
        <item x="135"/>
        <item x="205"/>
        <item x="118"/>
        <item x="239"/>
        <item x="32"/>
        <item x="31"/>
        <item x="50"/>
        <item x="312"/>
        <item x="372"/>
        <item x="361"/>
        <item x="204"/>
        <item x="49"/>
        <item x="248"/>
        <item x="275"/>
        <item x="30"/>
        <item x="103"/>
        <item x="311"/>
        <item x="283"/>
        <item x="48"/>
        <item x="10"/>
        <item x="247"/>
        <item x="238"/>
        <item x="29"/>
        <item x="405"/>
        <item x="255"/>
        <item x="178"/>
        <item x="86"/>
        <item x="68"/>
        <item x="237"/>
        <item x="403"/>
        <item x="67"/>
        <item x="192"/>
        <item x="47"/>
        <item x="150"/>
        <item x="102"/>
        <item x="66"/>
        <item x="117"/>
        <item x="177"/>
        <item x="9"/>
        <item x="430"/>
        <item x="116"/>
        <item x="101"/>
        <item x="438"/>
        <item x="149"/>
        <item x="268"/>
        <item x="162"/>
        <item x="100"/>
        <item x="8"/>
        <item x="148"/>
        <item x="223"/>
        <item x="423"/>
        <item x="46"/>
        <item x="85"/>
        <item x="28"/>
        <item x="27"/>
        <item x="26"/>
        <item x="399"/>
        <item x="222"/>
        <item x="324"/>
        <item x="7"/>
        <item x="221"/>
        <item x="25"/>
        <item x="203"/>
        <item x="99"/>
        <item x="347"/>
        <item x="6"/>
        <item x="84"/>
        <item x="338"/>
        <item x="115"/>
        <item x="134"/>
        <item x="65"/>
        <item x="45"/>
        <item x="254"/>
        <item x="133"/>
        <item x="161"/>
        <item x="292"/>
        <item x="220"/>
        <item x="274"/>
        <item x="98"/>
        <item x="398"/>
        <item x="310"/>
        <item x="160"/>
        <item x="191"/>
        <item x="190"/>
        <item x="24"/>
        <item x="236"/>
        <item x="267"/>
        <item x="291"/>
        <item x="44"/>
        <item x="282"/>
        <item x="360"/>
        <item x="219"/>
        <item x="132"/>
        <item x="323"/>
        <item x="83"/>
        <item x="43"/>
        <item x="218"/>
        <item x="416"/>
        <item x="266"/>
        <item x="367"/>
        <item x="217"/>
        <item x="189"/>
        <item x="429"/>
        <item x="147"/>
        <item x="176"/>
        <item x="131"/>
        <item x="97"/>
        <item x="281"/>
        <item x="5"/>
        <item x="175"/>
        <item x="202"/>
        <item x="42"/>
        <item x="422"/>
        <item x="146"/>
        <item x="64"/>
        <item x="159"/>
        <item x="235"/>
        <item x="322"/>
        <item x="290"/>
        <item x="392"/>
        <item x="246"/>
        <item x="443"/>
        <item x="82"/>
        <item x="397"/>
        <item x="352"/>
        <item x="96"/>
        <item x="421"/>
        <item x="289"/>
        <item x="174"/>
        <item x="428"/>
        <item x="442"/>
        <item x="415"/>
        <item x="234"/>
        <item x="265"/>
        <item x="130"/>
        <item x="346"/>
        <item x="63"/>
        <item x="216"/>
        <item x="427"/>
        <item x="215"/>
        <item x="201"/>
        <item x="81"/>
        <item x="309"/>
        <item x="200"/>
        <item x="245"/>
        <item x="321"/>
        <item x="264"/>
        <item x="23"/>
        <item x="308"/>
        <item x="80"/>
        <item x="337"/>
        <item x="4"/>
        <item x="114"/>
        <item x="307"/>
        <item x="233"/>
        <item x="371"/>
        <item x="188"/>
        <item x="158"/>
        <item x="187"/>
        <item x="79"/>
        <item x="129"/>
        <item x="320"/>
        <item x="306"/>
        <item x="3"/>
        <item x="302"/>
        <item x="2"/>
        <item x="359"/>
        <item x="409"/>
        <item x="62"/>
        <item x="244"/>
        <item x="402"/>
        <item x="426"/>
        <item x="273"/>
        <item x="382"/>
        <item x="370"/>
        <item x="305"/>
        <item x="330"/>
        <item x="351"/>
        <item x="145"/>
        <item x="232"/>
        <item x="381"/>
        <item x="441"/>
        <item x="414"/>
        <item x="358"/>
        <item x="319"/>
        <item x="253"/>
        <item x="329"/>
        <item x="41"/>
        <item x="113"/>
        <item x="391"/>
        <item x="144"/>
        <item x="380"/>
        <item x="288"/>
        <item x="128"/>
        <item x="408"/>
        <item x="420"/>
        <item x="366"/>
        <item x="199"/>
        <item x="447"/>
        <item x="357"/>
        <item x="61"/>
        <item x="60"/>
        <item x="390"/>
        <item x="78"/>
        <item x="419"/>
        <item x="173"/>
        <item x="252"/>
        <item x="336"/>
        <item x="389"/>
        <item x="345"/>
        <item x="301"/>
        <item x="379"/>
        <item x="263"/>
        <item x="437"/>
        <item x="328"/>
        <item x="318"/>
        <item x="418"/>
        <item x="280"/>
        <item x="127"/>
        <item x="262"/>
        <item x="157"/>
        <item x="95"/>
        <item x="300"/>
        <item x="378"/>
        <item x="417"/>
        <item x="365"/>
        <item x="40"/>
        <item x="143"/>
        <item x="126"/>
        <item x="94"/>
        <item x="407"/>
        <item x="356"/>
        <item x="413"/>
        <item x="59"/>
        <item x="112"/>
        <item x="364"/>
        <item x="369"/>
        <item x="327"/>
        <item x="436"/>
        <item x="156"/>
        <item x="388"/>
        <item x="344"/>
        <item x="299"/>
        <item x="272"/>
        <item x="279"/>
        <item x="111"/>
        <item x="186"/>
        <item x="142"/>
        <item x="251"/>
        <item x="172"/>
        <item x="363"/>
        <item x="77"/>
        <item x="214"/>
        <item x="377"/>
        <item x="343"/>
        <item x="425"/>
        <item x="396"/>
        <item x="1"/>
        <item x="76"/>
        <item x="39"/>
        <item x="435"/>
        <item x="376"/>
        <item x="298"/>
        <item x="22"/>
        <item x="326"/>
        <item x="440"/>
        <item x="243"/>
        <item x="317"/>
        <item x="350"/>
        <item x="401"/>
        <item x="355"/>
        <item x="213"/>
        <item x="171"/>
        <item x="335"/>
        <item x="0"/>
        <item x="271"/>
        <item x="38"/>
        <item x="93"/>
        <item x="400"/>
        <item x="349"/>
        <item x="21"/>
        <item x="250"/>
        <item x="231"/>
        <item x="185"/>
        <item x="404"/>
        <item x="412"/>
        <item x="270"/>
        <item x="20"/>
        <item x="170"/>
        <item x="242"/>
        <item x="141"/>
        <item x="439"/>
        <item x="110"/>
        <item x="334"/>
        <item x="287"/>
        <item x="446"/>
        <item x="230"/>
        <item x="434"/>
        <item x="411"/>
        <item x="58"/>
        <item x="261"/>
        <item x="304"/>
        <item x="278"/>
        <item x="368"/>
        <item x="395"/>
        <item x="424"/>
        <item x="433"/>
        <item x="445"/>
        <item x="444"/>
        <item x="198"/>
      </items>
    </pivotField>
    <pivotField dataField="1" showAll="0" defaultSubtotal="0">
      <items count="153">
        <item x="96"/>
        <item x="85"/>
        <item x="151"/>
        <item x="117"/>
        <item x="113"/>
        <item x="54"/>
        <item x="129"/>
        <item x="86"/>
        <item x="111"/>
        <item x="112"/>
        <item x="109"/>
        <item x="114"/>
        <item x="110"/>
        <item x="107"/>
        <item x="116"/>
        <item x="55"/>
        <item x="37"/>
        <item x="56"/>
        <item x="58"/>
        <item x="87"/>
        <item x="97"/>
        <item x="122"/>
        <item x="52"/>
        <item x="57"/>
        <item x="106"/>
        <item x="83"/>
        <item x="82"/>
        <item x="72"/>
        <item x="74"/>
        <item x="95"/>
        <item x="70"/>
        <item x="104"/>
        <item x="79"/>
        <item x="53"/>
        <item x="73"/>
        <item x="69"/>
        <item x="84"/>
        <item x="108"/>
        <item x="98"/>
        <item x="103"/>
        <item x="128"/>
        <item x="38"/>
        <item x="139"/>
        <item x="36"/>
        <item x="90"/>
        <item x="50"/>
        <item x="93"/>
        <item x="126"/>
        <item x="51"/>
        <item x="44"/>
        <item x="68"/>
        <item x="105"/>
        <item x="132"/>
        <item x="120"/>
        <item x="35"/>
        <item x="121"/>
        <item x="127"/>
        <item x="71"/>
        <item x="140"/>
        <item x="152"/>
        <item x="77"/>
        <item x="81"/>
        <item x="143"/>
        <item x="125"/>
        <item x="147"/>
        <item x="138"/>
        <item x="102"/>
        <item x="47"/>
        <item x="92"/>
        <item x="91"/>
        <item x="78"/>
        <item x="150"/>
        <item x="146"/>
        <item x="94"/>
        <item x="24"/>
        <item x="76"/>
        <item x="32"/>
        <item x="142"/>
        <item x="134"/>
        <item x="34"/>
        <item x="100"/>
        <item x="67"/>
        <item x="80"/>
        <item x="101"/>
        <item x="49"/>
        <item x="45"/>
        <item x="62"/>
        <item x="39"/>
        <item x="135"/>
        <item x="118"/>
        <item x="115"/>
        <item x="46"/>
        <item x="130"/>
        <item x="141"/>
        <item x="136"/>
        <item x="65"/>
        <item x="124"/>
        <item x="66"/>
        <item x="119"/>
        <item x="64"/>
        <item x="26"/>
        <item x="48"/>
        <item x="149"/>
        <item x="63"/>
        <item x="145"/>
        <item x="33"/>
        <item x="123"/>
        <item x="148"/>
        <item x="43"/>
        <item x="61"/>
        <item x="42"/>
        <item x="137"/>
        <item x="30"/>
        <item x="88"/>
        <item x="75"/>
        <item x="28"/>
        <item x="29"/>
        <item x="31"/>
        <item x="89"/>
        <item x="19"/>
        <item x="144"/>
        <item x="99"/>
        <item x="133"/>
        <item x="25"/>
        <item x="60"/>
        <item x="131"/>
        <item x="17"/>
        <item x="23"/>
        <item x="41"/>
        <item x="40"/>
        <item x="27"/>
        <item x="59"/>
        <item x="14"/>
        <item x="16"/>
        <item x="15"/>
        <item x="18"/>
        <item x="10"/>
        <item x="21"/>
        <item x="12"/>
        <item x="13"/>
        <item x="22"/>
        <item x="11"/>
        <item x="2"/>
        <item x="8"/>
        <item x="20"/>
        <item x="6"/>
        <item x="5"/>
        <item x="7"/>
        <item x="4"/>
        <item x="9"/>
        <item x="3"/>
        <item x="1"/>
        <item x="0"/>
      </items>
    </pivotField>
    <pivotField dataField="1" showAll="0" defaultSubtotal="0">
      <items count="497">
        <item x="106"/>
        <item x="92"/>
        <item x="125"/>
        <item x="220"/>
        <item x="312"/>
        <item x="272"/>
        <item x="53"/>
        <item x="35"/>
        <item x="291"/>
        <item x="362"/>
        <item x="192"/>
        <item x="348"/>
        <item x="205"/>
        <item x="422"/>
        <item x="437"/>
        <item x="313"/>
        <item x="157"/>
        <item x="229"/>
        <item x="93"/>
        <item x="479"/>
        <item x="176"/>
        <item x="401"/>
        <item x="271"/>
        <item x="412"/>
        <item x="219"/>
        <item x="456"/>
        <item x="245"/>
        <item x="74"/>
        <item x="159"/>
        <item x="282"/>
        <item x="36"/>
        <item x="193"/>
        <item x="336"/>
        <item x="347"/>
        <item x="19"/>
        <item x="387"/>
        <item x="54"/>
        <item x="191"/>
        <item x="423"/>
        <item x="56"/>
        <item x="243"/>
        <item x="392"/>
        <item x="143"/>
        <item x="411"/>
        <item x="34"/>
        <item x="358"/>
        <item x="331"/>
        <item x="323"/>
        <item x="301"/>
        <item x="126"/>
        <item x="17"/>
        <item x="51"/>
        <item x="311"/>
        <item x="55"/>
        <item x="342"/>
        <item x="142"/>
        <item x="371"/>
        <item x="88"/>
        <item x="107"/>
        <item x="300"/>
        <item x="72"/>
        <item x="188"/>
        <item x="173"/>
        <item x="280"/>
        <item x="75"/>
        <item x="127"/>
        <item x="361"/>
        <item x="244"/>
        <item x="70"/>
        <item x="204"/>
        <item x="158"/>
        <item x="484"/>
        <item x="23"/>
        <item x="436"/>
        <item x="493"/>
        <item x="190"/>
        <item x="337"/>
        <item x="94"/>
        <item x="442"/>
        <item x="124"/>
        <item x="31"/>
        <item x="218"/>
        <item x="69"/>
        <item x="33"/>
        <item x="52"/>
        <item x="141"/>
        <item x="355"/>
        <item x="270"/>
        <item x="14"/>
        <item x="108"/>
        <item x="175"/>
        <item x="189"/>
        <item x="105"/>
        <item x="16"/>
        <item x="123"/>
        <item x="283"/>
        <item x="167"/>
        <item x="37"/>
        <item x="402"/>
        <item x="15"/>
        <item x="139"/>
        <item x="269"/>
        <item x="18"/>
        <item x="242"/>
        <item x="410"/>
        <item x="172"/>
        <item x="226"/>
        <item x="122"/>
        <item x="372"/>
        <item x="359"/>
        <item x="90"/>
        <item x="237"/>
        <item x="109"/>
        <item x="89"/>
        <item x="228"/>
        <item x="320"/>
        <item x="140"/>
        <item x="10"/>
        <item x="213"/>
        <item x="256"/>
        <item x="284"/>
        <item x="298"/>
        <item x="48"/>
        <item x="73"/>
        <item x="329"/>
        <item x="155"/>
        <item x="68"/>
        <item x="110"/>
        <item x="343"/>
        <item x="137"/>
        <item x="197"/>
        <item x="50"/>
        <item x="299"/>
        <item x="171"/>
        <item x="42"/>
        <item x="216"/>
        <item x="466"/>
        <item x="25"/>
        <item x="400"/>
        <item x="12"/>
        <item x="168"/>
        <item x="332"/>
        <item x="13"/>
        <item x="85"/>
        <item x="144"/>
        <item x="232"/>
        <item x="102"/>
        <item x="121"/>
        <item x="80"/>
        <item x="458"/>
        <item x="71"/>
        <item x="49"/>
        <item x="240"/>
        <item x="267"/>
        <item x="394"/>
        <item x="254"/>
        <item x="333"/>
        <item x="202"/>
        <item x="104"/>
        <item x="151"/>
        <item x="32"/>
        <item x="385"/>
        <item x="91"/>
        <item x="217"/>
        <item x="263"/>
        <item x="289"/>
        <item x="490"/>
        <item x="227"/>
        <item x="360"/>
        <item x="215"/>
        <item x="335"/>
        <item x="136"/>
        <item x="203"/>
        <item x="441"/>
        <item x="421"/>
        <item x="174"/>
        <item x="186"/>
        <item x="261"/>
        <item x="322"/>
        <item x="369"/>
        <item x="119"/>
        <item x="409"/>
        <item x="290"/>
        <item x="383"/>
        <item x="459"/>
        <item x="357"/>
        <item x="257"/>
        <item x="67"/>
        <item x="117"/>
        <item x="236"/>
        <item x="434"/>
        <item x="11"/>
        <item x="281"/>
        <item x="187"/>
        <item x="154"/>
        <item x="253"/>
        <item x="268"/>
        <item x="368"/>
        <item x="29"/>
        <item x="81"/>
        <item x="44"/>
        <item x="212"/>
        <item x="465"/>
        <item x="386"/>
        <item x="306"/>
        <item x="334"/>
        <item x="2"/>
        <item x="27"/>
        <item x="152"/>
        <item x="28"/>
        <item x="170"/>
        <item x="435"/>
        <item x="82"/>
        <item x="255"/>
        <item x="241"/>
        <item x="30"/>
        <item x="47"/>
        <item x="138"/>
        <item x="308"/>
        <item x="199"/>
        <item x="156"/>
        <item x="8"/>
        <item x="120"/>
        <item x="318"/>
        <item x="66"/>
        <item x="288"/>
        <item x="297"/>
        <item x="398"/>
        <item x="449"/>
        <item x="419"/>
        <item x="209"/>
        <item x="492"/>
        <item x="135"/>
        <item x="64"/>
        <item x="103"/>
        <item x="279"/>
        <item x="328"/>
        <item x="101"/>
        <item x="393"/>
        <item x="60"/>
        <item x="443"/>
        <item x="457"/>
        <item x="356"/>
        <item x="346"/>
        <item x="132"/>
        <item x="471"/>
        <item x="235"/>
        <item x="365"/>
        <item x="304"/>
        <item x="266"/>
        <item x="46"/>
        <item x="24"/>
        <item x="6"/>
        <item x="100"/>
        <item x="83"/>
        <item x="214"/>
        <item x="378"/>
        <item x="489"/>
        <item x="384"/>
        <item x="397"/>
        <item x="210"/>
        <item x="184"/>
        <item x="310"/>
        <item x="163"/>
        <item x="344"/>
        <item x="5"/>
        <item x="149"/>
        <item x="251"/>
        <item x="87"/>
        <item x="7"/>
        <item x="309"/>
        <item x="262"/>
        <item x="98"/>
        <item x="166"/>
        <item x="148"/>
        <item x="252"/>
        <item x="354"/>
        <item x="224"/>
        <item x="433"/>
        <item x="185"/>
        <item x="131"/>
        <item x="491"/>
        <item x="264"/>
        <item x="211"/>
        <item x="321"/>
        <item x="408"/>
        <item x="391"/>
        <item x="43"/>
        <item x="307"/>
        <item x="370"/>
        <item x="133"/>
        <item x="99"/>
        <item x="165"/>
        <item x="238"/>
        <item x="180"/>
        <item x="470"/>
        <item x="63"/>
        <item x="483"/>
        <item x="116"/>
        <item x="134"/>
        <item x="181"/>
        <item x="65"/>
        <item x="4"/>
        <item x="367"/>
        <item x="222"/>
        <item x="114"/>
        <item x="350"/>
        <item x="276"/>
        <item x="62"/>
        <item x="164"/>
        <item x="84"/>
        <item x="296"/>
        <item x="200"/>
        <item x="153"/>
        <item x="420"/>
        <item x="399"/>
        <item x="9"/>
        <item x="118"/>
        <item x="496"/>
        <item x="150"/>
        <item x="183"/>
        <item x="169"/>
        <item x="234"/>
        <item x="295"/>
        <item x="447"/>
        <item x="196"/>
        <item x="79"/>
        <item x="330"/>
        <item x="3"/>
        <item x="455"/>
        <item x="429"/>
        <item x="366"/>
        <item x="45"/>
        <item x="326"/>
        <item x="478"/>
        <item x="239"/>
        <item x="377"/>
        <item x="223"/>
        <item x="486"/>
        <item x="61"/>
        <item x="198"/>
        <item x="293"/>
        <item x="381"/>
        <item x="345"/>
        <item x="418"/>
        <item x="182"/>
        <item x="26"/>
        <item x="249"/>
        <item x="454"/>
        <item x="353"/>
        <item x="461"/>
        <item x="113"/>
        <item x="201"/>
        <item x="488"/>
        <item x="86"/>
        <item x="278"/>
        <item x="287"/>
        <item x="147"/>
        <item x="294"/>
        <item x="340"/>
        <item x="115"/>
        <item x="373"/>
        <item x="233"/>
        <item x="41"/>
        <item x="265"/>
        <item x="453"/>
        <item x="477"/>
        <item x="277"/>
        <item x="305"/>
        <item x="59"/>
        <item x="225"/>
        <item x="389"/>
        <item x="432"/>
        <item x="179"/>
        <item x="382"/>
        <item x="426"/>
        <item x="128"/>
        <item x="403"/>
        <item x="275"/>
        <item x="376"/>
        <item x="339"/>
        <item x="40"/>
        <item x="425"/>
        <item x="406"/>
        <item x="319"/>
        <item x="388"/>
        <item x="444"/>
        <item x="250"/>
        <item x="396"/>
        <item x="428"/>
        <item x="405"/>
        <item x="467"/>
        <item x="316"/>
        <item x="248"/>
        <item x="472"/>
        <item x="463"/>
        <item x="450"/>
        <item x="407"/>
        <item x="413"/>
        <item x="476"/>
        <item x="341"/>
        <item x="416"/>
        <item x="246"/>
        <item x="440"/>
        <item x="375"/>
        <item x="76"/>
        <item x="390"/>
        <item x="468"/>
        <item x="325"/>
        <item x="130"/>
        <item x="427"/>
        <item x="327"/>
        <item x="475"/>
        <item x="469"/>
        <item x="247"/>
        <item x="417"/>
        <item x="315"/>
        <item x="445"/>
        <item x="21"/>
        <item x="160"/>
        <item x="95"/>
        <item x="462"/>
        <item x="415"/>
        <item x="451"/>
        <item x="351"/>
        <item x="208"/>
        <item x="317"/>
        <item x="352"/>
        <item x="448"/>
        <item x="96"/>
        <item x="464"/>
        <item x="97"/>
        <item x="129"/>
        <item x="58"/>
        <item x="374"/>
        <item x="452"/>
        <item x="207"/>
        <item x="364"/>
        <item x="487"/>
        <item x="112"/>
        <item x="146"/>
        <item x="78"/>
        <item x="482"/>
        <item x="260"/>
        <item x="161"/>
        <item x="162"/>
        <item x="473"/>
        <item x="258"/>
        <item x="195"/>
        <item x="274"/>
        <item x="414"/>
        <item x="178"/>
        <item x="460"/>
        <item x="1"/>
        <item x="480"/>
        <item x="349"/>
        <item x="286"/>
        <item x="380"/>
        <item x="395"/>
        <item x="314"/>
        <item x="424"/>
        <item x="404"/>
        <item x="39"/>
        <item x="439"/>
        <item x="77"/>
        <item x="474"/>
        <item x="22"/>
        <item x="221"/>
        <item x="379"/>
        <item x="0"/>
        <item x="338"/>
        <item x="38"/>
        <item x="259"/>
        <item x="438"/>
        <item x="446"/>
        <item x="303"/>
        <item x="481"/>
        <item x="194"/>
        <item x="145"/>
        <item x="177"/>
        <item x="302"/>
        <item x="111"/>
        <item x="231"/>
        <item x="57"/>
        <item x="292"/>
        <item x="230"/>
        <item x="273"/>
        <item x="285"/>
        <item x="485"/>
        <item x="20"/>
        <item x="324"/>
        <item x="363"/>
        <item x="431"/>
        <item x="430"/>
        <item x="206"/>
        <item x="495"/>
        <item x="494"/>
      </items>
    </pivotField>
    <pivotField dataField="1" showAll="0" defaultSubtotal="0">
      <items count="129">
        <item x="126"/>
        <item x="105"/>
        <item x="90"/>
        <item x="101"/>
        <item x="98"/>
        <item x="108"/>
        <item x="107"/>
        <item x="64"/>
        <item x="99"/>
        <item x="102"/>
        <item x="96"/>
        <item x="92"/>
        <item x="44"/>
        <item x="109"/>
        <item x="100"/>
        <item x="81"/>
        <item x="106"/>
        <item x="72"/>
        <item x="69"/>
        <item x="70"/>
        <item x="68"/>
        <item x="89"/>
        <item x="103"/>
        <item x="91"/>
        <item x="79"/>
        <item x="54"/>
        <item x="55"/>
        <item x="83"/>
        <item x="97"/>
        <item x="56"/>
        <item x="80"/>
        <item x="71"/>
        <item x="117"/>
        <item x="85"/>
        <item x="82"/>
        <item x="51"/>
        <item x="114"/>
        <item x="45"/>
        <item x="65"/>
        <item x="95"/>
        <item x="27"/>
        <item x="124"/>
        <item x="53"/>
        <item x="120"/>
        <item x="49"/>
        <item x="46"/>
        <item x="110"/>
        <item x="50"/>
        <item x="39"/>
        <item x="125"/>
        <item x="37"/>
        <item x="66"/>
        <item x="88"/>
        <item x="118"/>
        <item x="67"/>
        <item x="128"/>
        <item x="38"/>
        <item x="104"/>
        <item x="52"/>
        <item x="63"/>
        <item x="111"/>
        <item x="77"/>
        <item x="48"/>
        <item x="113"/>
        <item x="112"/>
        <item x="87"/>
        <item x="116"/>
        <item x="78"/>
        <item x="122"/>
        <item x="62"/>
        <item x="47"/>
        <item x="123"/>
        <item x="127"/>
        <item x="74"/>
        <item x="94"/>
        <item x="42"/>
        <item x="121"/>
        <item x="43"/>
        <item x="76"/>
        <item x="61"/>
        <item x="57"/>
        <item x="93"/>
        <item x="60"/>
        <item x="36"/>
        <item x="86"/>
        <item x="84"/>
        <item x="30"/>
        <item x="40"/>
        <item x="73"/>
        <item x="58"/>
        <item x="75"/>
        <item x="9"/>
        <item x="119"/>
        <item x="32"/>
        <item x="35"/>
        <item x="41"/>
        <item x="33"/>
        <item x="29"/>
        <item x="28"/>
        <item x="34"/>
        <item x="20"/>
        <item x="25"/>
        <item x="22"/>
        <item x="18"/>
        <item x="59"/>
        <item x="115"/>
        <item x="31"/>
        <item x="26"/>
        <item x="23"/>
        <item x="11"/>
        <item x="24"/>
        <item x="13"/>
        <item x="19"/>
        <item x="16"/>
        <item x="6"/>
        <item x="17"/>
        <item x="12"/>
        <item x="15"/>
        <item x="21"/>
        <item x="7"/>
        <item x="14"/>
        <item x="0"/>
        <item x="1"/>
        <item x="8"/>
        <item x="10"/>
        <item x="5"/>
        <item x="4"/>
        <item x="3"/>
        <item x="2"/>
      </items>
    </pivotField>
    <pivotField dataField="1" showAll="0" defaultSubtotal="0">
      <items count="416">
        <item x="238"/>
        <item x="223"/>
        <item x="103"/>
        <item x="270"/>
        <item x="115"/>
        <item x="140"/>
        <item x="194"/>
        <item x="263"/>
        <item x="293"/>
        <item x="181"/>
        <item x="312"/>
        <item x="322"/>
        <item x="63"/>
        <item x="372"/>
        <item x="331"/>
        <item x="228"/>
        <item x="84"/>
        <item x="366"/>
        <item x="9"/>
        <item x="271"/>
        <item x="344"/>
        <item x="197"/>
        <item x="411"/>
        <item x="44"/>
        <item x="253"/>
        <item x="27"/>
        <item x="215"/>
        <item x="243"/>
        <item x="18"/>
        <item x="354"/>
        <item x="183"/>
        <item x="262"/>
        <item x="36"/>
        <item x="163"/>
        <item x="145"/>
        <item x="359"/>
        <item x="108"/>
        <item x="303"/>
        <item x="131"/>
        <item x="231"/>
        <item x="254"/>
        <item x="280"/>
        <item x="73"/>
        <item x="162"/>
        <item x="195"/>
        <item x="89"/>
        <item x="121"/>
        <item x="70"/>
        <item x="144"/>
        <item x="265"/>
        <item x="345"/>
        <item x="71"/>
        <item x="296"/>
        <item x="118"/>
        <item x="317"/>
        <item x="68"/>
        <item x="283"/>
        <item x="408"/>
        <item x="125"/>
        <item x="120"/>
        <item x="235"/>
        <item x="180"/>
        <item x="143"/>
        <item x="52"/>
        <item x="327"/>
        <item x="53"/>
        <item x="264"/>
        <item x="199"/>
        <item x="222"/>
        <item x="106"/>
        <item x="210"/>
        <item x="295"/>
        <item x="182"/>
        <item x="273"/>
        <item x="186"/>
        <item x="226"/>
        <item x="54"/>
        <item x="165"/>
        <item x="307"/>
        <item x="323"/>
        <item x="123"/>
        <item x="239"/>
        <item x="376"/>
        <item x="248"/>
        <item x="257"/>
        <item x="94"/>
        <item x="341"/>
        <item x="85"/>
        <item x="11"/>
        <item x="294"/>
        <item x="211"/>
        <item x="101"/>
        <item x="381"/>
        <item x="155"/>
        <item x="325"/>
        <item x="122"/>
        <item x="285"/>
        <item x="403"/>
        <item x="76"/>
        <item x="72"/>
        <item x="49"/>
        <item x="168"/>
        <item x="13"/>
        <item x="91"/>
        <item x="105"/>
        <item x="237"/>
        <item x="19"/>
        <item x="179"/>
        <item x="311"/>
        <item x="45"/>
        <item x="185"/>
        <item x="224"/>
        <item x="107"/>
        <item x="286"/>
        <item x="389"/>
        <item x="169"/>
        <item x="30"/>
        <item x="102"/>
        <item x="190"/>
        <item x="227"/>
        <item x="178"/>
        <item x="88"/>
        <item x="16"/>
        <item x="82"/>
        <item x="139"/>
        <item x="272"/>
        <item x="225"/>
        <item x="51"/>
        <item x="167"/>
        <item x="6"/>
        <item x="64"/>
        <item x="255"/>
        <item x="17"/>
        <item x="304"/>
        <item x="320"/>
        <item x="12"/>
        <item x="15"/>
        <item x="69"/>
        <item x="90"/>
        <item x="141"/>
        <item x="152"/>
        <item x="119"/>
        <item x="205"/>
        <item x="48"/>
        <item x="104"/>
        <item x="32"/>
        <item x="7"/>
        <item x="14"/>
        <item x="38"/>
        <item x="150"/>
        <item x="35"/>
        <item x="214"/>
        <item x="290"/>
        <item x="364"/>
        <item x="87"/>
        <item x="274"/>
        <item x="56"/>
        <item x="245"/>
        <item x="33"/>
        <item x="198"/>
        <item x="151"/>
        <item x="329"/>
        <item x="29"/>
        <item x="313"/>
        <item x="93"/>
        <item x="0"/>
        <item x="203"/>
        <item x="28"/>
        <item x="217"/>
        <item x="34"/>
        <item x="1"/>
        <item x="213"/>
        <item x="132"/>
        <item x="156"/>
        <item x="147"/>
        <item x="249"/>
        <item x="212"/>
        <item x="20"/>
        <item x="37"/>
        <item x="244"/>
        <item x="409"/>
        <item x="66"/>
        <item x="302"/>
        <item x="336"/>
        <item x="109"/>
        <item x="25"/>
        <item x="75"/>
        <item x="50"/>
        <item x="22"/>
        <item x="356"/>
        <item x="113"/>
        <item x="398"/>
        <item x="234"/>
        <item x="8"/>
        <item x="281"/>
        <item x="175"/>
        <item x="191"/>
        <item x="161"/>
        <item x="377"/>
        <item x="67"/>
        <item x="261"/>
        <item x="154"/>
        <item x="99"/>
        <item x="342"/>
        <item x="47"/>
        <item x="65"/>
        <item x="157"/>
        <item x="200"/>
        <item x="130"/>
        <item x="142"/>
        <item x="300"/>
        <item x="236"/>
        <item x="314"/>
        <item x="170"/>
        <item x="62"/>
        <item x="86"/>
        <item x="365"/>
        <item x="410"/>
        <item x="192"/>
        <item x="134"/>
        <item x="98"/>
        <item x="164"/>
        <item x="349"/>
        <item x="282"/>
        <item x="233"/>
        <item x="176"/>
        <item x="309"/>
        <item x="116"/>
        <item x="209"/>
        <item x="193"/>
        <item x="330"/>
        <item x="386"/>
        <item x="46"/>
        <item x="204"/>
        <item x="112"/>
        <item x="362"/>
        <item x="196"/>
        <item x="268"/>
        <item x="284"/>
        <item x="399"/>
        <item x="251"/>
        <item x="31"/>
        <item x="324"/>
        <item x="375"/>
        <item x="97"/>
        <item x="128"/>
        <item x="81"/>
        <item x="166"/>
        <item x="61"/>
        <item x="10"/>
        <item x="42"/>
        <item x="117"/>
        <item x="301"/>
        <item x="207"/>
        <item x="321"/>
        <item x="369"/>
        <item x="129"/>
        <item x="43"/>
        <item x="219"/>
        <item x="133"/>
        <item x="279"/>
        <item x="292"/>
        <item x="378"/>
        <item x="250"/>
        <item x="333"/>
        <item x="114"/>
        <item x="83"/>
        <item x="177"/>
        <item x="278"/>
        <item x="393"/>
        <item x="316"/>
        <item x="26"/>
        <item x="216"/>
        <item x="5"/>
        <item x="370"/>
        <item x="208"/>
        <item x="100"/>
        <item x="383"/>
        <item x="397"/>
        <item x="269"/>
        <item x="160"/>
        <item x="189"/>
        <item x="358"/>
        <item x="310"/>
        <item x="405"/>
        <item x="138"/>
        <item x="353"/>
        <item x="173"/>
        <item x="60"/>
        <item x="371"/>
        <item x="55"/>
        <item x="96"/>
        <item x="206"/>
        <item x="153"/>
        <item x="232"/>
        <item x="201"/>
        <item x="174"/>
        <item x="332"/>
        <item x="146"/>
        <item x="252"/>
        <item x="77"/>
        <item x="373"/>
        <item x="287"/>
        <item x="260"/>
        <item x="298"/>
        <item x="390"/>
        <item x="338"/>
        <item x="23"/>
        <item x="343"/>
        <item x="242"/>
        <item x="276"/>
        <item x="291"/>
        <item x="258"/>
        <item x="350"/>
        <item x="395"/>
        <item x="4"/>
        <item x="80"/>
        <item x="59"/>
        <item x="3"/>
        <item x="40"/>
        <item x="306"/>
        <item x="319"/>
        <item x="407"/>
        <item x="412"/>
        <item x="171"/>
        <item x="220"/>
        <item x="401"/>
        <item x="384"/>
        <item x="318"/>
        <item x="221"/>
        <item x="385"/>
        <item x="136"/>
        <item x="297"/>
        <item x="363"/>
        <item x="127"/>
        <item x="406"/>
        <item x="339"/>
        <item x="24"/>
        <item x="368"/>
        <item x="240"/>
        <item x="305"/>
        <item x="396"/>
        <item x="299"/>
        <item x="57"/>
        <item x="348"/>
        <item x="337"/>
        <item x="79"/>
        <item x="259"/>
        <item x="288"/>
        <item x="148"/>
        <item x="188"/>
        <item x="126"/>
        <item x="39"/>
        <item x="187"/>
        <item x="230"/>
        <item x="41"/>
        <item x="328"/>
        <item x="388"/>
        <item x="149"/>
        <item x="246"/>
        <item x="277"/>
        <item x="351"/>
        <item x="74"/>
        <item x="124"/>
        <item x="347"/>
        <item x="415"/>
        <item x="111"/>
        <item x="78"/>
        <item x="202"/>
        <item x="308"/>
        <item x="95"/>
        <item x="357"/>
        <item x="340"/>
        <item x="137"/>
        <item x="92"/>
        <item x="379"/>
        <item x="2"/>
        <item x="391"/>
        <item x="267"/>
        <item x="289"/>
        <item x="360"/>
        <item x="21"/>
        <item x="394"/>
        <item x="241"/>
        <item x="110"/>
        <item x="172"/>
        <item x="414"/>
        <item x="159"/>
        <item x="158"/>
        <item x="58"/>
        <item x="218"/>
        <item x="275"/>
        <item x="387"/>
        <item x="335"/>
        <item x="380"/>
        <item x="247"/>
        <item x="374"/>
        <item x="135"/>
        <item x="346"/>
        <item x="352"/>
        <item x="334"/>
        <item x="382"/>
        <item x="315"/>
        <item x="367"/>
        <item x="361"/>
        <item x="404"/>
        <item x="266"/>
        <item x="402"/>
        <item x="229"/>
        <item x="256"/>
        <item x="326"/>
        <item x="413"/>
        <item x="392"/>
        <item x="184"/>
        <item x="355"/>
        <item x="400"/>
      </items>
    </pivotField>
    <pivotField dataField="1" showAll="0" defaultSubtotal="0">
      <items count="9">
        <item x="1"/>
        <item x="5"/>
        <item x="8"/>
        <item x="2"/>
        <item x="0"/>
        <item x="4"/>
        <item x="3"/>
        <item x="7"/>
        <item x="6"/>
      </items>
    </pivotField>
  </pivotFields>
  <rowFields count="3">
    <field x="2"/>
    <field x="6"/>
    <field x="5"/>
  </rowFields>
  <rowItems count="1004">
    <i>
      <x/>
    </i>
    <i r="1">
      <x/>
      <x v="42"/>
    </i>
    <i r="1">
      <x v="1"/>
      <x v="44"/>
    </i>
    <i r="1">
      <x v="2"/>
      <x/>
    </i>
    <i r="1">
      <x v="3"/>
      <x v="33"/>
    </i>
    <i r="1">
      <x v="4"/>
      <x v="37"/>
    </i>
    <i r="1">
      <x v="5"/>
      <x v="1"/>
    </i>
    <i r="1">
      <x v="6"/>
      <x v="47"/>
    </i>
    <i r="1">
      <x v="7"/>
      <x v="31"/>
    </i>
    <i r="1">
      <x v="8"/>
      <x v="32"/>
    </i>
    <i r="1">
      <x v="9"/>
      <x v="48"/>
    </i>
    <i r="1">
      <x v="10"/>
      <x v="2"/>
    </i>
    <i r="1">
      <x v="11"/>
      <x v="39"/>
    </i>
    <i r="1">
      <x v="12"/>
      <x v="30"/>
    </i>
    <i r="1">
      <x v="13"/>
      <x v="5"/>
    </i>
    <i r="1">
      <x v="14"/>
      <x v="40"/>
    </i>
    <i r="1">
      <x v="15"/>
      <x v="12"/>
    </i>
    <i r="1">
      <x v="16"/>
      <x v="13"/>
    </i>
    <i r="1">
      <x v="17"/>
      <x v="29"/>
    </i>
    <i r="1">
      <x v="18"/>
      <x v="50"/>
    </i>
    <i r="1">
      <x v="19"/>
      <x v="15"/>
    </i>
    <i t="blank">
      <x/>
    </i>
    <i>
      <x v="1"/>
    </i>
    <i r="1">
      <x/>
      <x v="42"/>
    </i>
    <i r="1">
      <x v="1"/>
      <x v="37"/>
    </i>
    <i r="1">
      <x v="2"/>
      <x v="44"/>
    </i>
    <i r="1">
      <x v="3"/>
      <x v="33"/>
    </i>
    <i r="1">
      <x v="4"/>
      <x/>
    </i>
    <i r="1">
      <x v="5"/>
      <x v="39"/>
    </i>
    <i r="1">
      <x v="6"/>
      <x v="1"/>
    </i>
    <i r="1">
      <x v="7"/>
      <x v="48"/>
    </i>
    <i r="1">
      <x v="8"/>
      <x v="47"/>
    </i>
    <i r="1">
      <x v="9"/>
      <x v="32"/>
    </i>
    <i r="1">
      <x v="10"/>
      <x v="5"/>
    </i>
    <i r="1">
      <x v="11"/>
      <x v="31"/>
    </i>
    <i r="1">
      <x v="12"/>
      <x v="2"/>
    </i>
    <i r="1">
      <x v="13"/>
      <x v="30"/>
    </i>
    <i r="1">
      <x v="14"/>
      <x v="40"/>
    </i>
    <i r="1">
      <x v="15"/>
      <x v="25"/>
    </i>
    <i r="1">
      <x v="16"/>
      <x v="29"/>
    </i>
    <i r="1">
      <x v="17"/>
      <x v="28"/>
    </i>
    <i r="1">
      <x v="18"/>
      <x v="53"/>
    </i>
    <i r="1">
      <x v="19"/>
      <x v="50"/>
    </i>
    <i t="blank">
      <x v="1"/>
    </i>
    <i>
      <x v="2"/>
    </i>
    <i r="1">
      <x/>
      <x v="44"/>
    </i>
    <i r="1">
      <x v="1"/>
      <x v="42"/>
    </i>
    <i r="1">
      <x v="2"/>
      <x v="37"/>
    </i>
    <i r="1">
      <x v="3"/>
      <x v="33"/>
    </i>
    <i r="1">
      <x v="4"/>
      <x/>
    </i>
    <i r="1">
      <x v="5"/>
      <x v="32"/>
    </i>
    <i r="1">
      <x v="6"/>
      <x v="47"/>
    </i>
    <i r="1">
      <x v="7"/>
      <x v="1"/>
    </i>
    <i r="1">
      <x v="8"/>
      <x v="48"/>
    </i>
    <i r="1">
      <x v="9"/>
      <x v="39"/>
    </i>
    <i r="1">
      <x v="10"/>
      <x v="31"/>
    </i>
    <i r="1">
      <x v="11"/>
      <x v="2"/>
    </i>
    <i r="1">
      <x v="12"/>
      <x v="30"/>
    </i>
    <i r="1">
      <x v="13"/>
      <x v="40"/>
    </i>
    <i r="1">
      <x v="14"/>
      <x v="15"/>
    </i>
    <i r="1">
      <x v="15"/>
      <x v="5"/>
    </i>
    <i r="1">
      <x v="16"/>
      <x v="27"/>
    </i>
    <i r="1">
      <x v="17"/>
      <x v="28"/>
    </i>
    <i r="1">
      <x v="18"/>
      <x v="29"/>
    </i>
    <i r="1">
      <x v="19"/>
      <x v="13"/>
    </i>
    <i r="2">
      <x v="45"/>
    </i>
    <i t="blank">
      <x v="2"/>
    </i>
    <i>
      <x v="3"/>
    </i>
    <i r="1">
      <x/>
      <x v="42"/>
    </i>
    <i r="1">
      <x v="1"/>
      <x v="44"/>
    </i>
    <i r="1">
      <x v="2"/>
      <x v="33"/>
    </i>
    <i r="1">
      <x v="3"/>
      <x/>
    </i>
    <i r="1">
      <x v="4"/>
      <x v="37"/>
    </i>
    <i r="1">
      <x v="5"/>
      <x v="31"/>
    </i>
    <i r="1">
      <x v="6"/>
      <x v="1"/>
    </i>
    <i r="1">
      <x v="7"/>
      <x v="41"/>
    </i>
    <i r="1">
      <x v="8"/>
      <x v="48"/>
    </i>
    <i r="1">
      <x v="9"/>
      <x v="47"/>
    </i>
    <i r="1">
      <x v="10"/>
      <x v="32"/>
    </i>
    <i r="1">
      <x v="11"/>
      <x v="30"/>
    </i>
    <i r="1">
      <x v="12"/>
      <x v="40"/>
    </i>
    <i r="1">
      <x v="13"/>
      <x v="2"/>
    </i>
    <i r="1">
      <x v="14"/>
      <x v="39"/>
    </i>
    <i r="1">
      <x v="15"/>
      <x v="3"/>
    </i>
    <i r="1">
      <x v="16"/>
      <x v="7"/>
    </i>
    <i r="1">
      <x v="17"/>
      <x v="19"/>
    </i>
    <i r="1">
      <x v="18"/>
      <x v="29"/>
    </i>
    <i r="1">
      <x v="19"/>
      <x v="6"/>
    </i>
    <i t="blank">
      <x v="3"/>
    </i>
    <i>
      <x v="4"/>
    </i>
    <i r="1">
      <x/>
      <x v="12"/>
    </i>
    <i r="1">
      <x v="1"/>
      <x v="44"/>
    </i>
    <i r="1">
      <x v="2"/>
      <x v="42"/>
    </i>
    <i r="1">
      <x v="3"/>
      <x v="33"/>
    </i>
    <i r="1">
      <x v="4"/>
      <x/>
    </i>
    <i r="1">
      <x v="5"/>
      <x v="37"/>
    </i>
    <i r="1">
      <x v="6"/>
      <x v="29"/>
    </i>
    <i r="1">
      <x v="7"/>
      <x v="1"/>
    </i>
    <i r="1">
      <x v="8"/>
      <x v="47"/>
    </i>
    <i r="1">
      <x v="9"/>
      <x v="2"/>
    </i>
    <i r="1">
      <x v="10"/>
      <x v="48"/>
    </i>
    <i r="1">
      <x v="11"/>
      <x v="39"/>
    </i>
    <i r="1">
      <x v="12"/>
      <x v="31"/>
    </i>
    <i r="1">
      <x v="13"/>
      <x v="27"/>
    </i>
    <i r="1">
      <x v="14"/>
      <x v="32"/>
    </i>
    <i r="1">
      <x v="15"/>
      <x v="40"/>
    </i>
    <i r="1">
      <x v="16"/>
      <x v="30"/>
    </i>
    <i r="1">
      <x v="17"/>
      <x v="49"/>
    </i>
    <i r="1">
      <x v="18"/>
      <x v="34"/>
    </i>
    <i r="2">
      <x v="50"/>
    </i>
    <i t="blank">
      <x v="4"/>
    </i>
    <i>
      <x v="5"/>
    </i>
    <i r="1">
      <x/>
      <x v="13"/>
    </i>
    <i r="1">
      <x v="1"/>
      <x v="42"/>
    </i>
    <i r="1">
      <x v="2"/>
      <x v="44"/>
    </i>
    <i r="1">
      <x v="3"/>
      <x/>
    </i>
    <i r="1">
      <x v="4"/>
      <x v="33"/>
    </i>
    <i r="1">
      <x v="5"/>
      <x v="1"/>
    </i>
    <i r="1">
      <x v="6"/>
      <x v="37"/>
    </i>
    <i r="1">
      <x v="7"/>
      <x v="32"/>
    </i>
    <i r="1">
      <x v="8"/>
      <x v="15"/>
    </i>
    <i r="1">
      <x v="9"/>
      <x v="47"/>
    </i>
    <i r="1">
      <x v="10"/>
      <x v="31"/>
    </i>
    <i r="1">
      <x v="11"/>
      <x v="2"/>
    </i>
    <i r="1">
      <x v="12"/>
      <x v="48"/>
    </i>
    <i r="1">
      <x v="13"/>
      <x v="30"/>
    </i>
    <i r="1">
      <x v="14"/>
      <x v="49"/>
    </i>
    <i r="1">
      <x v="15"/>
      <x v="29"/>
    </i>
    <i r="1">
      <x v="16"/>
      <x v="40"/>
    </i>
    <i r="1">
      <x v="17"/>
      <x v="5"/>
    </i>
    <i r="1">
      <x v="18"/>
      <x v="10"/>
    </i>
    <i r="2">
      <x v="50"/>
    </i>
    <i t="blank">
      <x v="5"/>
    </i>
    <i>
      <x v="6"/>
    </i>
    <i r="1">
      <x/>
      <x v="42"/>
    </i>
    <i r="1">
      <x v="1"/>
      <x v="44"/>
    </i>
    <i r="1">
      <x v="2"/>
      <x/>
    </i>
    <i r="1">
      <x v="3"/>
      <x v="33"/>
    </i>
    <i r="1">
      <x v="4"/>
      <x v="1"/>
    </i>
    <i r="1">
      <x v="5"/>
      <x v="31"/>
    </i>
    <i r="1">
      <x v="6"/>
      <x v="37"/>
    </i>
    <i r="1">
      <x v="7"/>
      <x v="48"/>
    </i>
    <i r="1">
      <x v="8"/>
      <x v="6"/>
    </i>
    <i r="1">
      <x v="9"/>
      <x v="2"/>
    </i>
    <i r="1">
      <x v="10"/>
      <x v="47"/>
    </i>
    <i r="1">
      <x v="11"/>
      <x v="32"/>
    </i>
    <i r="1">
      <x v="12"/>
      <x v="40"/>
    </i>
    <i r="1">
      <x v="13"/>
      <x v="30"/>
    </i>
    <i r="1">
      <x v="14"/>
      <x v="39"/>
    </i>
    <i r="1">
      <x v="15"/>
      <x v="7"/>
    </i>
    <i r="1">
      <x v="16"/>
      <x v="13"/>
    </i>
    <i r="1">
      <x v="17"/>
      <x v="49"/>
    </i>
    <i r="1">
      <x v="18"/>
      <x v="3"/>
    </i>
    <i r="1">
      <x v="19"/>
      <x v="41"/>
    </i>
    <i t="blank">
      <x v="6"/>
    </i>
    <i>
      <x v="7"/>
    </i>
    <i r="1">
      <x/>
      <x v="33"/>
    </i>
    <i r="1">
      <x v="1"/>
      <x v="42"/>
    </i>
    <i r="1">
      <x v="2"/>
      <x v="44"/>
    </i>
    <i r="1">
      <x v="3"/>
      <x/>
    </i>
    <i r="1">
      <x v="4"/>
      <x v="10"/>
    </i>
    <i r="1">
      <x v="5"/>
      <x v="13"/>
    </i>
    <i r="1">
      <x v="6"/>
      <x v="1"/>
    </i>
    <i r="1">
      <x v="7"/>
      <x v="31"/>
    </i>
    <i r="1">
      <x v="8"/>
      <x v="37"/>
    </i>
    <i r="1">
      <x v="9"/>
      <x v="8"/>
    </i>
    <i r="1">
      <x v="10"/>
      <x v="2"/>
    </i>
    <i r="1">
      <x v="11"/>
      <x v="47"/>
    </i>
    <i r="1">
      <x v="12"/>
      <x v="32"/>
    </i>
    <i r="1">
      <x v="13"/>
      <x v="40"/>
    </i>
    <i r="1">
      <x v="14"/>
      <x v="30"/>
    </i>
    <i r="1">
      <x v="15"/>
      <x v="15"/>
    </i>
    <i r="1">
      <x v="16"/>
      <x v="34"/>
    </i>
    <i r="1">
      <x v="17"/>
      <x v="5"/>
    </i>
    <i r="2">
      <x v="27"/>
    </i>
    <i r="2">
      <x v="48"/>
    </i>
    <i t="blank">
      <x v="7"/>
    </i>
    <i>
      <x v="8"/>
    </i>
    <i r="1">
      <x/>
      <x v="42"/>
    </i>
    <i r="1">
      <x v="1"/>
      <x v="44"/>
    </i>
    <i r="1">
      <x v="2"/>
      <x v="12"/>
    </i>
    <i r="1">
      <x v="3"/>
      <x v="33"/>
    </i>
    <i r="1">
      <x v="4"/>
      <x/>
    </i>
    <i r="1">
      <x v="5"/>
      <x v="1"/>
    </i>
    <i r="1">
      <x v="6"/>
      <x v="31"/>
    </i>
    <i r="1">
      <x v="7"/>
      <x v="37"/>
    </i>
    <i r="1">
      <x v="8"/>
      <x v="47"/>
    </i>
    <i r="1">
      <x v="9"/>
      <x v="48"/>
    </i>
    <i r="1">
      <x v="10"/>
      <x v="32"/>
    </i>
    <i r="1">
      <x v="11"/>
      <x v="2"/>
    </i>
    <i r="2">
      <x v="29"/>
    </i>
    <i r="1">
      <x v="13"/>
      <x v="39"/>
    </i>
    <i r="1">
      <x v="14"/>
      <x v="30"/>
    </i>
    <i r="1">
      <x v="15"/>
      <x v="40"/>
    </i>
    <i r="2">
      <x v="50"/>
    </i>
    <i r="1">
      <x v="17"/>
      <x v="49"/>
    </i>
    <i r="1">
      <x v="18"/>
      <x v="43"/>
    </i>
    <i r="1">
      <x v="19"/>
      <x v="15"/>
    </i>
    <i r="2">
      <x v="45"/>
    </i>
    <i t="blank">
      <x v="8"/>
    </i>
    <i>
      <x v="9"/>
    </i>
    <i r="1">
      <x/>
      <x v="5"/>
    </i>
    <i r="2">
      <x v="44"/>
    </i>
    <i r="1">
      <x v="2"/>
      <x v="42"/>
    </i>
    <i r="1">
      <x v="3"/>
      <x v="1"/>
    </i>
    <i r="1">
      <x v="4"/>
      <x/>
    </i>
    <i r="1">
      <x v="5"/>
      <x v="33"/>
    </i>
    <i r="1">
      <x v="6"/>
      <x v="32"/>
    </i>
    <i r="1">
      <x v="7"/>
      <x v="47"/>
    </i>
    <i r="1">
      <x v="8"/>
      <x v="2"/>
    </i>
    <i r="2">
      <x v="37"/>
    </i>
    <i r="2">
      <x v="48"/>
    </i>
    <i r="1">
      <x v="11"/>
      <x v="31"/>
    </i>
    <i r="1">
      <x v="12"/>
      <x v="13"/>
    </i>
    <i r="1">
      <x v="13"/>
      <x v="40"/>
    </i>
    <i r="1">
      <x v="14"/>
      <x v="15"/>
    </i>
    <i r="1">
      <x v="15"/>
      <x v="39"/>
    </i>
    <i r="1">
      <x v="16"/>
      <x v="50"/>
    </i>
    <i r="1">
      <x v="17"/>
      <x v="18"/>
    </i>
    <i r="1">
      <x v="18"/>
      <x v="28"/>
    </i>
    <i r="1">
      <x v="19"/>
      <x v="30"/>
    </i>
    <i t="blank">
      <x v="9"/>
    </i>
    <i>
      <x v="10"/>
    </i>
    <i r="1">
      <x/>
      <x v="42"/>
    </i>
    <i r="1">
      <x v="1"/>
      <x v="44"/>
    </i>
    <i r="1">
      <x v="2"/>
      <x v="33"/>
    </i>
    <i r="1">
      <x v="3"/>
      <x/>
    </i>
    <i r="1">
      <x v="4"/>
      <x v="37"/>
    </i>
    <i r="1">
      <x v="5"/>
      <x v="31"/>
    </i>
    <i r="1">
      <x v="6"/>
      <x v="1"/>
    </i>
    <i r="1">
      <x v="7"/>
      <x v="47"/>
    </i>
    <i r="1">
      <x v="8"/>
      <x v="48"/>
    </i>
    <i r="1">
      <x v="9"/>
      <x v="32"/>
    </i>
    <i r="1">
      <x v="10"/>
      <x v="39"/>
    </i>
    <i r="1">
      <x v="11"/>
      <x v="12"/>
    </i>
    <i r="2">
      <x v="40"/>
    </i>
    <i r="1">
      <x v="13"/>
      <x v="2"/>
    </i>
    <i r="1">
      <x v="14"/>
      <x v="30"/>
    </i>
    <i r="1">
      <x v="15"/>
      <x v="3"/>
    </i>
    <i r="1">
      <x v="16"/>
      <x v="43"/>
    </i>
    <i r="1">
      <x v="17"/>
      <x v="50"/>
    </i>
    <i r="1">
      <x v="18"/>
      <x v="27"/>
    </i>
    <i r="2">
      <x v="41"/>
    </i>
    <i r="2">
      <x v="49"/>
    </i>
    <i t="blank">
      <x v="10"/>
    </i>
    <i>
      <x v="11"/>
    </i>
    <i r="1">
      <x/>
      <x v="42"/>
    </i>
    <i r="1">
      <x v="1"/>
      <x v="44"/>
    </i>
    <i r="1">
      <x v="2"/>
      <x v="33"/>
    </i>
    <i r="1">
      <x v="3"/>
      <x/>
    </i>
    <i r="1">
      <x v="4"/>
      <x v="37"/>
    </i>
    <i r="1">
      <x v="5"/>
      <x v="1"/>
    </i>
    <i r="2">
      <x v="47"/>
    </i>
    <i r="1">
      <x v="7"/>
      <x v="48"/>
    </i>
    <i r="1">
      <x v="8"/>
      <x v="32"/>
    </i>
    <i r="1">
      <x v="9"/>
      <x v="2"/>
    </i>
    <i r="1">
      <x v="10"/>
      <x v="31"/>
    </i>
    <i r="1">
      <x v="11"/>
      <x v="30"/>
    </i>
    <i r="1">
      <x v="12"/>
      <x v="40"/>
    </i>
    <i r="1">
      <x v="13"/>
      <x v="39"/>
    </i>
    <i r="1">
      <x v="14"/>
      <x v="50"/>
    </i>
    <i r="1">
      <x v="15"/>
      <x v="13"/>
    </i>
    <i r="1">
      <x v="16"/>
      <x v="15"/>
    </i>
    <i r="1">
      <x v="17"/>
      <x v="45"/>
    </i>
    <i r="1">
      <x v="18"/>
      <x v="5"/>
    </i>
    <i r="2">
      <x v="28"/>
    </i>
    <i r="2">
      <x v="36"/>
    </i>
    <i t="blank">
      <x v="11"/>
    </i>
    <i>
      <x v="12"/>
    </i>
    <i r="1">
      <x/>
      <x v="12"/>
    </i>
    <i r="1">
      <x v="1"/>
      <x v="42"/>
    </i>
    <i r="1">
      <x v="2"/>
      <x v="44"/>
    </i>
    <i r="1">
      <x v="3"/>
      <x v="29"/>
    </i>
    <i r="1">
      <x v="4"/>
      <x/>
    </i>
    <i r="1">
      <x v="5"/>
      <x v="33"/>
    </i>
    <i r="1">
      <x v="6"/>
      <x v="31"/>
    </i>
    <i r="1">
      <x v="7"/>
      <x v="1"/>
    </i>
    <i r="1">
      <x v="8"/>
      <x v="2"/>
    </i>
    <i r="1">
      <x v="9"/>
      <x v="30"/>
    </i>
    <i r="1">
      <x v="10"/>
      <x v="48"/>
    </i>
    <i r="1">
      <x v="11"/>
      <x v="47"/>
    </i>
    <i r="1">
      <x v="12"/>
      <x v="37"/>
    </i>
    <i r="1">
      <x v="13"/>
      <x v="32"/>
    </i>
    <i r="1">
      <x v="14"/>
      <x v="39"/>
    </i>
    <i r="1">
      <x v="15"/>
      <x v="8"/>
    </i>
    <i r="1">
      <x v="16"/>
      <x v="49"/>
    </i>
    <i r="1">
      <x v="17"/>
      <x v="40"/>
    </i>
    <i r="1">
      <x v="18"/>
      <x v="45"/>
    </i>
    <i r="1">
      <x v="19"/>
      <x v="27"/>
    </i>
    <i t="blank">
      <x v="12"/>
    </i>
    <i>
      <x v="13"/>
    </i>
    <i r="1">
      <x/>
      <x v="44"/>
    </i>
    <i r="1">
      <x v="1"/>
      <x v="42"/>
    </i>
    <i r="1">
      <x v="2"/>
      <x v="33"/>
    </i>
    <i r="1">
      <x v="3"/>
      <x/>
    </i>
    <i r="1">
      <x v="4"/>
      <x v="47"/>
    </i>
    <i r="1">
      <x v="5"/>
      <x v="32"/>
    </i>
    <i r="1">
      <x v="6"/>
      <x v="5"/>
    </i>
    <i r="1">
      <x v="7"/>
      <x v="48"/>
    </i>
    <i r="1">
      <x v="8"/>
      <x v="37"/>
    </i>
    <i r="1">
      <x v="9"/>
      <x v="1"/>
    </i>
    <i r="1">
      <x v="10"/>
      <x v="2"/>
    </i>
    <i r="1">
      <x v="11"/>
      <x v="15"/>
    </i>
    <i r="1">
      <x v="12"/>
      <x v="31"/>
    </i>
    <i r="2">
      <x v="39"/>
    </i>
    <i r="1">
      <x v="14"/>
      <x v="13"/>
    </i>
    <i r="1">
      <x v="15"/>
      <x v="30"/>
    </i>
    <i r="1">
      <x v="16"/>
      <x v="40"/>
    </i>
    <i r="1">
      <x v="17"/>
      <x v="27"/>
    </i>
    <i r="1">
      <x v="18"/>
      <x v="28"/>
    </i>
    <i r="1">
      <x v="19"/>
      <x v="50"/>
    </i>
    <i t="blank">
      <x v="13"/>
    </i>
    <i>
      <x v="14"/>
    </i>
    <i r="1">
      <x/>
      <x v="44"/>
    </i>
    <i r="1">
      <x v="1"/>
      <x v="42"/>
    </i>
    <i r="1">
      <x v="2"/>
      <x/>
    </i>
    <i r="1">
      <x v="3"/>
      <x v="47"/>
    </i>
    <i r="1">
      <x v="4"/>
      <x v="33"/>
    </i>
    <i r="1">
      <x v="5"/>
      <x v="1"/>
    </i>
    <i r="1">
      <x v="6"/>
      <x v="37"/>
    </i>
    <i r="1">
      <x v="7"/>
      <x v="2"/>
    </i>
    <i r="1">
      <x v="8"/>
      <x v="39"/>
    </i>
    <i r="1">
      <x v="9"/>
      <x v="48"/>
    </i>
    <i r="1">
      <x v="10"/>
      <x v="40"/>
    </i>
    <i r="1">
      <x v="11"/>
      <x v="31"/>
    </i>
    <i r="1">
      <x v="12"/>
      <x v="32"/>
    </i>
    <i r="1">
      <x v="13"/>
      <x v="36"/>
    </i>
    <i r="1">
      <x v="14"/>
      <x v="30"/>
    </i>
    <i r="1">
      <x v="15"/>
      <x v="15"/>
    </i>
    <i r="2">
      <x v="45"/>
    </i>
    <i r="1">
      <x v="17"/>
      <x v="29"/>
    </i>
    <i r="1">
      <x v="18"/>
      <x v="27"/>
    </i>
    <i r="1">
      <x v="19"/>
      <x v="49"/>
    </i>
    <i r="2">
      <x v="50"/>
    </i>
    <i t="blank">
      <x v="14"/>
    </i>
    <i>
      <x v="15"/>
    </i>
    <i r="1">
      <x/>
      <x/>
    </i>
    <i r="1">
      <x v="1"/>
      <x v="1"/>
    </i>
    <i r="1">
      <x v="2"/>
      <x v="44"/>
    </i>
    <i r="1">
      <x v="3"/>
      <x v="5"/>
    </i>
    <i r="2">
      <x v="42"/>
    </i>
    <i r="1">
      <x v="5"/>
      <x v="33"/>
    </i>
    <i r="1">
      <x v="6"/>
      <x v="32"/>
    </i>
    <i r="1">
      <x v="7"/>
      <x v="2"/>
    </i>
    <i r="1">
      <x v="8"/>
      <x v="6"/>
    </i>
    <i r="2">
      <x v="47"/>
    </i>
    <i r="1">
      <x v="10"/>
      <x v="10"/>
    </i>
    <i r="1">
      <x v="11"/>
      <x v="13"/>
    </i>
    <i r="2">
      <x v="31"/>
    </i>
    <i r="1">
      <x v="13"/>
      <x v="30"/>
    </i>
    <i r="1">
      <x v="14"/>
      <x v="14"/>
    </i>
    <i r="1">
      <x v="15"/>
      <x v="7"/>
    </i>
    <i r="2">
      <x v="48"/>
    </i>
    <i r="1">
      <x v="17"/>
      <x v="40"/>
    </i>
    <i r="1">
      <x v="18"/>
      <x v="15"/>
    </i>
    <i r="1">
      <x v="19"/>
      <x v="50"/>
    </i>
    <i t="blank">
      <x v="15"/>
    </i>
    <i>
      <x v="16"/>
    </i>
    <i r="1">
      <x/>
      <x v="37"/>
    </i>
    <i r="1">
      <x v="1"/>
      <x v="44"/>
    </i>
    <i r="1">
      <x v="2"/>
      <x v="42"/>
    </i>
    <i r="1">
      <x v="3"/>
      <x/>
    </i>
    <i r="2">
      <x v="33"/>
    </i>
    <i r="1">
      <x v="5"/>
      <x v="1"/>
    </i>
    <i r="1">
      <x v="6"/>
      <x v="47"/>
    </i>
    <i r="2">
      <x v="48"/>
    </i>
    <i r="1">
      <x v="8"/>
      <x v="32"/>
    </i>
    <i r="1">
      <x v="9"/>
      <x v="5"/>
    </i>
    <i r="1">
      <x v="10"/>
      <x v="39"/>
    </i>
    <i r="1">
      <x v="11"/>
      <x v="2"/>
    </i>
    <i r="1">
      <x v="12"/>
      <x v="40"/>
    </i>
    <i r="1">
      <x v="13"/>
      <x v="13"/>
    </i>
    <i r="1">
      <x v="14"/>
      <x v="31"/>
    </i>
    <i r="1">
      <x v="15"/>
      <x v="15"/>
    </i>
    <i r="2">
      <x v="50"/>
    </i>
    <i r="1">
      <x v="17"/>
      <x v="36"/>
    </i>
    <i r="1">
      <x v="18"/>
      <x v="29"/>
    </i>
    <i r="2">
      <x v="53"/>
    </i>
    <i t="blank">
      <x v="16"/>
    </i>
    <i>
      <x v="17"/>
    </i>
    <i r="1">
      <x/>
      <x v="42"/>
    </i>
    <i r="1">
      <x v="1"/>
      <x v="44"/>
    </i>
    <i r="1">
      <x v="2"/>
      <x v="33"/>
    </i>
    <i r="1">
      <x v="3"/>
      <x/>
    </i>
    <i r="1">
      <x v="4"/>
      <x v="47"/>
    </i>
    <i r="1">
      <x v="5"/>
      <x v="31"/>
    </i>
    <i r="1">
      <x v="6"/>
      <x v="48"/>
    </i>
    <i r="1">
      <x v="7"/>
      <x v="1"/>
    </i>
    <i r="1">
      <x v="8"/>
      <x v="41"/>
    </i>
    <i r="1">
      <x v="9"/>
      <x v="32"/>
    </i>
    <i r="1">
      <x v="10"/>
      <x v="40"/>
    </i>
    <i r="1">
      <x v="11"/>
      <x v="30"/>
    </i>
    <i r="1">
      <x v="12"/>
      <x v="2"/>
    </i>
    <i r="1">
      <x v="13"/>
      <x v="37"/>
    </i>
    <i r="1">
      <x v="14"/>
      <x v="3"/>
    </i>
    <i r="2">
      <x v="39"/>
    </i>
    <i r="1">
      <x v="16"/>
      <x v="7"/>
    </i>
    <i r="2">
      <x v="13"/>
    </i>
    <i r="2">
      <x v="49"/>
    </i>
    <i r="1">
      <x v="19"/>
      <x v="29"/>
    </i>
    <i t="blank">
      <x v="17"/>
    </i>
    <i>
      <x v="18"/>
    </i>
    <i r="1">
      <x/>
      <x/>
    </i>
    <i r="1">
      <x v="1"/>
      <x v="42"/>
    </i>
    <i r="1">
      <x v="2"/>
      <x v="44"/>
    </i>
    <i r="1">
      <x v="3"/>
      <x v="1"/>
    </i>
    <i r="1">
      <x v="4"/>
      <x v="30"/>
    </i>
    <i r="2">
      <x v="33"/>
    </i>
    <i r="1">
      <x v="6"/>
      <x v="32"/>
    </i>
    <i r="1">
      <x v="7"/>
      <x v="2"/>
    </i>
    <i r="2">
      <x v="48"/>
    </i>
    <i r="1">
      <x v="9"/>
      <x v="47"/>
    </i>
    <i r="1">
      <x v="10"/>
      <x v="5"/>
    </i>
    <i r="2">
      <x v="37"/>
    </i>
    <i r="2">
      <x v="50"/>
    </i>
    <i r="1">
      <x v="13"/>
      <x v="40"/>
    </i>
    <i r="1">
      <x v="14"/>
      <x v="31"/>
    </i>
    <i r="1">
      <x v="15"/>
      <x v="19"/>
    </i>
    <i r="1">
      <x v="16"/>
      <x v="49"/>
    </i>
    <i r="1">
      <x v="17"/>
      <x v="12"/>
    </i>
    <i r="2">
      <x v="28"/>
    </i>
    <i r="1">
      <x v="19"/>
      <x v="13"/>
    </i>
    <i r="2">
      <x v="15"/>
    </i>
    <i r="2">
      <x v="36"/>
    </i>
    <i t="blank">
      <x v="18"/>
    </i>
    <i>
      <x v="19"/>
    </i>
    <i r="1">
      <x/>
      <x v="42"/>
    </i>
    <i r="1">
      <x v="1"/>
      <x/>
    </i>
    <i r="2">
      <x v="44"/>
    </i>
    <i r="1">
      <x v="3"/>
      <x v="33"/>
    </i>
    <i r="1">
      <x v="4"/>
      <x v="1"/>
    </i>
    <i r="1">
      <x v="5"/>
      <x v="31"/>
    </i>
    <i r="1">
      <x v="6"/>
      <x v="41"/>
    </i>
    <i r="1">
      <x v="7"/>
      <x v="47"/>
    </i>
    <i r="1">
      <x v="8"/>
      <x v="2"/>
    </i>
    <i r="1">
      <x v="9"/>
      <x v="48"/>
    </i>
    <i r="1">
      <x v="10"/>
      <x v="30"/>
    </i>
    <i r="1">
      <x v="11"/>
      <x v="32"/>
    </i>
    <i r="1">
      <x v="12"/>
      <x v="37"/>
    </i>
    <i r="1">
      <x v="13"/>
      <x v="3"/>
    </i>
    <i r="1">
      <x v="14"/>
      <x v="39"/>
    </i>
    <i r="2">
      <x v="40"/>
    </i>
    <i r="1">
      <x v="16"/>
      <x v="13"/>
    </i>
    <i r="1">
      <x v="17"/>
      <x v="19"/>
    </i>
    <i r="1">
      <x v="18"/>
      <x v="50"/>
    </i>
    <i r="1">
      <x v="19"/>
      <x v="9"/>
    </i>
    <i t="blank">
      <x v="19"/>
    </i>
    <i>
      <x v="20"/>
    </i>
    <i r="1">
      <x/>
      <x v="42"/>
    </i>
    <i r="1">
      <x v="1"/>
      <x v="44"/>
    </i>
    <i r="1">
      <x v="2"/>
      <x/>
    </i>
    <i r="1">
      <x v="3"/>
      <x v="1"/>
    </i>
    <i r="1">
      <x v="4"/>
      <x v="33"/>
    </i>
    <i r="1">
      <x v="5"/>
      <x v="31"/>
    </i>
    <i r="1">
      <x v="6"/>
      <x v="37"/>
    </i>
    <i r="1">
      <x v="7"/>
      <x v="32"/>
    </i>
    <i r="1">
      <x v="8"/>
      <x v="47"/>
    </i>
    <i r="1">
      <x v="9"/>
      <x v="48"/>
    </i>
    <i r="1">
      <x v="10"/>
      <x v="30"/>
    </i>
    <i r="1">
      <x v="11"/>
      <x v="2"/>
    </i>
    <i r="1">
      <x v="12"/>
      <x v="41"/>
    </i>
    <i r="1">
      <x v="13"/>
      <x v="3"/>
    </i>
    <i r="1">
      <x v="14"/>
      <x v="40"/>
    </i>
    <i r="1">
      <x v="15"/>
      <x v="7"/>
    </i>
    <i r="2">
      <x v="39"/>
    </i>
    <i r="2">
      <x v="49"/>
    </i>
    <i r="1">
      <x v="18"/>
      <x v="26"/>
    </i>
    <i r="1">
      <x v="19"/>
      <x v="29"/>
    </i>
    <i t="blank">
      <x v="20"/>
    </i>
    <i>
      <x v="21"/>
    </i>
    <i r="1">
      <x/>
      <x v="44"/>
    </i>
    <i r="1">
      <x v="1"/>
      <x v="31"/>
    </i>
    <i r="1">
      <x v="2"/>
      <x v="33"/>
    </i>
    <i r="1">
      <x v="3"/>
      <x v="42"/>
    </i>
    <i r="1">
      <x v="4"/>
      <x/>
    </i>
    <i r="1">
      <x v="5"/>
      <x v="32"/>
    </i>
    <i r="1">
      <x v="6"/>
      <x v="1"/>
    </i>
    <i r="1">
      <x v="7"/>
      <x v="13"/>
    </i>
    <i r="2">
      <x v="48"/>
    </i>
    <i r="1">
      <x v="9"/>
      <x v="5"/>
    </i>
    <i r="2">
      <x v="30"/>
    </i>
    <i r="2">
      <x v="47"/>
    </i>
    <i r="1">
      <x v="12"/>
      <x v="2"/>
    </i>
    <i r="1">
      <x v="13"/>
      <x v="37"/>
    </i>
    <i r="2">
      <x v="40"/>
    </i>
    <i r="1">
      <x v="15"/>
      <x v="10"/>
    </i>
    <i r="2">
      <x v="49"/>
    </i>
    <i r="1">
      <x v="17"/>
      <x v="7"/>
    </i>
    <i r="2">
      <x v="39"/>
    </i>
    <i r="1">
      <x v="19"/>
      <x v="18"/>
    </i>
    <i t="blank">
      <x v="21"/>
    </i>
    <i>
      <x v="22"/>
    </i>
    <i r="1">
      <x/>
      <x v="37"/>
    </i>
    <i r="1">
      <x v="1"/>
      <x v="44"/>
    </i>
    <i r="1">
      <x v="2"/>
      <x v="5"/>
    </i>
    <i r="1">
      <x v="3"/>
      <x v="42"/>
    </i>
    <i r="1">
      <x v="4"/>
      <x v="1"/>
    </i>
    <i r="1">
      <x v="5"/>
      <x v="32"/>
    </i>
    <i r="1">
      <x v="6"/>
      <x/>
    </i>
    <i r="1">
      <x v="7"/>
      <x v="48"/>
    </i>
    <i r="1">
      <x v="8"/>
      <x v="2"/>
    </i>
    <i r="1">
      <x v="9"/>
      <x v="13"/>
    </i>
    <i r="2">
      <x v="15"/>
    </i>
    <i r="1">
      <x v="11"/>
      <x v="33"/>
    </i>
    <i r="1">
      <x v="12"/>
      <x v="39"/>
    </i>
    <i r="1">
      <x v="13"/>
      <x v="47"/>
    </i>
    <i r="1">
      <x v="14"/>
      <x v="28"/>
    </i>
    <i r="1">
      <x v="15"/>
      <x v="50"/>
    </i>
    <i r="1">
      <x v="16"/>
      <x v="31"/>
    </i>
    <i r="1">
      <x v="17"/>
      <x v="19"/>
    </i>
    <i r="2">
      <x v="29"/>
    </i>
    <i r="1">
      <x v="19"/>
      <x v="36"/>
    </i>
    <i r="2">
      <x v="40"/>
    </i>
    <i t="blank">
      <x v="22"/>
    </i>
    <i>
      <x v="23"/>
    </i>
    <i r="1">
      <x/>
      <x v="44"/>
    </i>
    <i r="1">
      <x v="1"/>
      <x v="33"/>
    </i>
    <i r="1">
      <x v="2"/>
      <x v="5"/>
    </i>
    <i r="1">
      <x v="3"/>
      <x v="31"/>
    </i>
    <i r="1">
      <x v="4"/>
      <x v="42"/>
    </i>
    <i r="1">
      <x v="5"/>
      <x v="37"/>
    </i>
    <i r="1">
      <x v="6"/>
      <x v="32"/>
    </i>
    <i r="1">
      <x v="7"/>
      <x/>
    </i>
    <i r="2">
      <x v="47"/>
    </i>
    <i r="1">
      <x v="9"/>
      <x v="48"/>
    </i>
    <i r="1">
      <x v="10"/>
      <x v="1"/>
    </i>
    <i r="2">
      <x v="50"/>
    </i>
    <i r="1">
      <x v="12"/>
      <x v="30"/>
    </i>
    <i r="1">
      <x v="13"/>
      <x v="2"/>
    </i>
    <i r="2">
      <x v="13"/>
    </i>
    <i r="1">
      <x v="15"/>
      <x v="39"/>
    </i>
    <i r="1">
      <x v="16"/>
      <x v="15"/>
    </i>
    <i r="1">
      <x v="17"/>
      <x v="25"/>
    </i>
    <i r="2">
      <x v="29"/>
    </i>
    <i r="1">
      <x v="19"/>
      <x v="7"/>
    </i>
    <i r="2">
      <x v="26"/>
    </i>
    <i r="2">
      <x v="28"/>
    </i>
    <i r="2">
      <x v="40"/>
    </i>
    <i t="blank">
      <x v="23"/>
    </i>
    <i>
      <x v="24"/>
    </i>
    <i r="1">
      <x/>
      <x v="44"/>
    </i>
    <i r="1">
      <x v="1"/>
      <x/>
    </i>
    <i r="1">
      <x v="2"/>
      <x v="33"/>
    </i>
    <i r="1">
      <x v="3"/>
      <x v="31"/>
    </i>
    <i r="1">
      <x v="4"/>
      <x v="42"/>
    </i>
    <i r="1">
      <x v="5"/>
      <x v="1"/>
    </i>
    <i r="1">
      <x v="6"/>
      <x v="2"/>
    </i>
    <i r="1">
      <x v="7"/>
      <x v="32"/>
    </i>
    <i r="1">
      <x v="8"/>
      <x v="47"/>
    </i>
    <i r="1">
      <x v="9"/>
      <x v="13"/>
    </i>
    <i r="1">
      <x v="10"/>
      <x v="48"/>
    </i>
    <i r="1">
      <x v="11"/>
      <x v="30"/>
    </i>
    <i r="1">
      <x v="12"/>
      <x v="15"/>
    </i>
    <i r="1">
      <x v="13"/>
      <x v="5"/>
    </i>
    <i r="1">
      <x v="14"/>
      <x v="37"/>
    </i>
    <i r="1">
      <x v="15"/>
      <x v="50"/>
    </i>
    <i r="1">
      <x v="16"/>
      <x v="43"/>
    </i>
    <i r="1">
      <x v="17"/>
      <x v="27"/>
    </i>
    <i r="2">
      <x v="28"/>
    </i>
    <i r="2">
      <x v="45"/>
    </i>
    <i t="blank">
      <x v="24"/>
    </i>
    <i>
      <x v="25"/>
    </i>
    <i r="1">
      <x/>
      <x v="44"/>
    </i>
    <i r="1">
      <x v="1"/>
      <x/>
    </i>
    <i r="1">
      <x v="2"/>
      <x v="42"/>
    </i>
    <i r="1">
      <x v="3"/>
      <x v="33"/>
    </i>
    <i r="1">
      <x v="4"/>
      <x v="47"/>
    </i>
    <i r="1">
      <x v="5"/>
      <x v="31"/>
    </i>
    <i r="1">
      <x v="6"/>
      <x v="1"/>
    </i>
    <i r="1">
      <x v="7"/>
      <x v="32"/>
    </i>
    <i r="2">
      <x v="48"/>
    </i>
    <i r="1">
      <x v="9"/>
      <x v="2"/>
    </i>
    <i r="2">
      <x v="39"/>
    </i>
    <i r="1">
      <x v="11"/>
      <x v="13"/>
    </i>
    <i r="1">
      <x v="12"/>
      <x v="7"/>
    </i>
    <i r="1">
      <x v="13"/>
      <x v="5"/>
    </i>
    <i r="1">
      <x v="14"/>
      <x v="30"/>
    </i>
    <i r="1">
      <x v="15"/>
      <x v="45"/>
    </i>
    <i r="1">
      <x v="16"/>
      <x v="40"/>
    </i>
    <i r="1">
      <x v="17"/>
      <x v="15"/>
    </i>
    <i r="1">
      <x v="18"/>
      <x v="29"/>
    </i>
    <i r="1">
      <x v="19"/>
      <x v="43"/>
    </i>
    <i r="2">
      <x v="49"/>
    </i>
    <i r="2">
      <x v="50"/>
    </i>
    <i t="blank">
      <x v="25"/>
    </i>
    <i>
      <x v="26"/>
    </i>
    <i r="1">
      <x/>
      <x/>
    </i>
    <i r="1">
      <x v="1"/>
      <x v="33"/>
    </i>
    <i r="1">
      <x v="2"/>
      <x v="44"/>
    </i>
    <i r="1">
      <x v="3"/>
      <x v="31"/>
    </i>
    <i r="2">
      <x v="42"/>
    </i>
    <i r="1">
      <x v="5"/>
      <x v="1"/>
    </i>
    <i r="2">
      <x v="47"/>
    </i>
    <i r="1">
      <x v="7"/>
      <x v="32"/>
    </i>
    <i r="1">
      <x v="8"/>
      <x v="13"/>
    </i>
    <i r="2">
      <x v="37"/>
    </i>
    <i r="1">
      <x v="10"/>
      <x v="48"/>
    </i>
    <i r="1">
      <x v="11"/>
      <x v="2"/>
    </i>
    <i r="2">
      <x v="5"/>
    </i>
    <i r="2">
      <x v="6"/>
    </i>
    <i r="1">
      <x v="14"/>
      <x v="27"/>
    </i>
    <i r="2">
      <x v="30"/>
    </i>
    <i r="1">
      <x v="16"/>
      <x v="3"/>
    </i>
    <i r="2">
      <x v="9"/>
    </i>
    <i r="2">
      <x v="49"/>
    </i>
    <i r="1">
      <x v="19"/>
      <x v="7"/>
    </i>
    <i r="2">
      <x v="10"/>
    </i>
    <i r="2">
      <x v="15"/>
    </i>
    <i r="2">
      <x v="19"/>
    </i>
    <i r="2">
      <x v="39"/>
    </i>
    <i r="2">
      <x v="41"/>
    </i>
    <i r="2">
      <x v="50"/>
    </i>
    <i t="blank">
      <x v="26"/>
    </i>
    <i>
      <x v="27"/>
    </i>
    <i r="1">
      <x/>
      <x v="44"/>
    </i>
    <i r="1">
      <x v="1"/>
      <x v="42"/>
    </i>
    <i r="1">
      <x v="2"/>
      <x v="1"/>
    </i>
    <i r="1">
      <x v="3"/>
      <x/>
    </i>
    <i r="1">
      <x v="4"/>
      <x v="48"/>
    </i>
    <i r="1">
      <x v="5"/>
      <x v="32"/>
    </i>
    <i r="2">
      <x v="33"/>
    </i>
    <i r="1">
      <x v="7"/>
      <x v="5"/>
    </i>
    <i r="1">
      <x v="8"/>
      <x v="47"/>
    </i>
    <i r="1">
      <x v="9"/>
      <x v="13"/>
    </i>
    <i r="2">
      <x v="50"/>
    </i>
    <i r="1">
      <x v="11"/>
      <x v="2"/>
    </i>
    <i r="1">
      <x v="12"/>
      <x v="31"/>
    </i>
    <i r="1">
      <x v="13"/>
      <x v="39"/>
    </i>
    <i r="2">
      <x v="40"/>
    </i>
    <i r="1">
      <x v="15"/>
      <x v="15"/>
    </i>
    <i r="1">
      <x v="16"/>
      <x v="12"/>
    </i>
    <i r="2">
      <x v="27"/>
    </i>
    <i r="2">
      <x v="28"/>
    </i>
    <i r="1">
      <x v="19"/>
      <x v="14"/>
    </i>
    <i r="2">
      <x v="30"/>
    </i>
    <i r="2">
      <x v="37"/>
    </i>
    <i t="blank">
      <x v="27"/>
    </i>
    <i>
      <x v="28"/>
    </i>
    <i r="1">
      <x/>
      <x/>
    </i>
    <i r="1">
      <x v="1"/>
      <x v="1"/>
    </i>
    <i r="1">
      <x v="2"/>
      <x v="5"/>
    </i>
    <i r="1">
      <x v="3"/>
      <x v="31"/>
    </i>
    <i r="2">
      <x v="44"/>
    </i>
    <i r="1">
      <x v="5"/>
      <x v="32"/>
    </i>
    <i r="1">
      <x v="6"/>
      <x v="42"/>
    </i>
    <i r="1">
      <x v="7"/>
      <x v="33"/>
    </i>
    <i r="1">
      <x v="8"/>
      <x v="13"/>
    </i>
    <i r="2">
      <x v="48"/>
    </i>
    <i r="1">
      <x v="10"/>
      <x v="10"/>
    </i>
    <i r="2">
      <x v="47"/>
    </i>
    <i r="1">
      <x v="12"/>
      <x v="18"/>
    </i>
    <i r="1">
      <x v="13"/>
      <x v="2"/>
    </i>
    <i r="2">
      <x v="37"/>
    </i>
    <i r="2">
      <x v="49"/>
    </i>
    <i r="2">
      <x v="50"/>
    </i>
    <i r="1">
      <x v="17"/>
      <x v="27"/>
    </i>
    <i r="2">
      <x v="29"/>
    </i>
    <i r="2">
      <x v="40"/>
    </i>
    <i r="2">
      <x v="43"/>
    </i>
    <i t="blank">
      <x v="28"/>
    </i>
    <i>
      <x v="29"/>
    </i>
    <i r="1">
      <x/>
      <x v="44"/>
    </i>
    <i r="1">
      <x v="1"/>
      <x v="1"/>
    </i>
    <i r="1">
      <x v="2"/>
      <x/>
    </i>
    <i r="2">
      <x v="5"/>
    </i>
    <i r="1">
      <x v="4"/>
      <x v="42"/>
    </i>
    <i r="1">
      <x v="5"/>
      <x v="2"/>
    </i>
    <i r="1">
      <x v="6"/>
      <x v="32"/>
    </i>
    <i r="1">
      <x v="7"/>
      <x v="48"/>
    </i>
    <i r="1">
      <x v="8"/>
      <x v="13"/>
    </i>
    <i r="1">
      <x v="9"/>
      <x v="33"/>
    </i>
    <i r="1">
      <x v="10"/>
      <x v="10"/>
    </i>
    <i r="2">
      <x v="15"/>
    </i>
    <i r="1">
      <x v="12"/>
      <x v="31"/>
    </i>
    <i r="1">
      <x v="13"/>
      <x v="14"/>
    </i>
    <i r="2">
      <x v="28"/>
    </i>
    <i r="2">
      <x v="29"/>
    </i>
    <i r="2">
      <x v="37"/>
    </i>
    <i r="2">
      <x v="50"/>
    </i>
    <i r="2">
      <x v="53"/>
    </i>
    <i r="1">
      <x v="19"/>
      <x v="6"/>
    </i>
    <i r="2">
      <x v="12"/>
    </i>
    <i r="2">
      <x v="18"/>
    </i>
    <i r="2">
      <x v="27"/>
    </i>
    <i r="2">
      <x v="30"/>
    </i>
    <i r="2">
      <x v="36"/>
    </i>
    <i r="2">
      <x v="51"/>
    </i>
    <i t="blank">
      <x v="29"/>
    </i>
    <i>
      <x v="30"/>
    </i>
    <i r="1">
      <x/>
      <x/>
    </i>
    <i r="1">
      <x v="1"/>
      <x v="44"/>
    </i>
    <i r="1">
      <x v="2"/>
      <x v="1"/>
    </i>
    <i r="1">
      <x v="3"/>
      <x v="42"/>
    </i>
    <i r="1">
      <x v="4"/>
      <x v="33"/>
    </i>
    <i r="1">
      <x v="5"/>
      <x v="47"/>
    </i>
    <i r="1">
      <x v="6"/>
      <x v="31"/>
    </i>
    <i r="1">
      <x v="7"/>
      <x v="2"/>
    </i>
    <i r="2">
      <x v="32"/>
    </i>
    <i r="1">
      <x v="9"/>
      <x v="48"/>
    </i>
    <i r="1">
      <x v="10"/>
      <x v="30"/>
    </i>
    <i r="1">
      <x v="11"/>
      <x v="40"/>
    </i>
    <i r="1">
      <x v="12"/>
      <x v="37"/>
    </i>
    <i r="2">
      <x v="39"/>
    </i>
    <i r="1">
      <x v="14"/>
      <x v="5"/>
    </i>
    <i r="2">
      <x v="12"/>
    </i>
    <i r="2">
      <x v="50"/>
    </i>
    <i r="1">
      <x v="17"/>
      <x v="4"/>
    </i>
    <i r="2">
      <x v="45"/>
    </i>
    <i r="1">
      <x v="19"/>
      <x v="6"/>
    </i>
    <i r="2">
      <x v="7"/>
    </i>
    <i r="2">
      <x v="14"/>
    </i>
    <i r="2">
      <x v="51"/>
    </i>
    <i r="2">
      <x v="53"/>
    </i>
    <i t="blank">
      <x v="30"/>
    </i>
    <i>
      <x v="31"/>
    </i>
    <i r="1">
      <x/>
      <x v="1"/>
    </i>
    <i r="1">
      <x v="1"/>
      <x v="44"/>
    </i>
    <i r="1">
      <x v="2"/>
      <x/>
    </i>
    <i r="1">
      <x v="3"/>
      <x v="47"/>
    </i>
    <i r="1">
      <x v="4"/>
      <x v="32"/>
    </i>
    <i r="1">
      <x v="5"/>
      <x v="42"/>
    </i>
    <i r="1">
      <x v="6"/>
      <x v="33"/>
    </i>
    <i r="1">
      <x v="7"/>
      <x v="2"/>
    </i>
    <i r="1">
      <x v="8"/>
      <x v="48"/>
    </i>
    <i r="1">
      <x v="9"/>
      <x v="30"/>
    </i>
    <i r="1">
      <x v="10"/>
      <x v="5"/>
    </i>
    <i r="1">
      <x v="11"/>
      <x v="31"/>
    </i>
    <i r="1">
      <x v="12"/>
      <x v="7"/>
    </i>
    <i r="2">
      <x v="50"/>
    </i>
    <i r="1">
      <x v="14"/>
      <x v="29"/>
    </i>
    <i r="2">
      <x v="37"/>
    </i>
    <i r="2">
      <x v="39"/>
    </i>
    <i r="1">
      <x v="17"/>
      <x v="34"/>
    </i>
    <i r="2">
      <x v="40"/>
    </i>
    <i r="2">
      <x v="45"/>
    </i>
    <i t="blank">
      <x v="31"/>
    </i>
    <i>
      <x v="32"/>
    </i>
    <i r="1">
      <x/>
      <x v="44"/>
    </i>
    <i r="1">
      <x v="1"/>
      <x/>
    </i>
    <i r="1">
      <x v="2"/>
      <x v="1"/>
    </i>
    <i r="1">
      <x v="3"/>
      <x v="47"/>
    </i>
    <i r="1">
      <x v="4"/>
      <x v="42"/>
    </i>
    <i r="1">
      <x v="5"/>
      <x v="33"/>
    </i>
    <i r="1">
      <x v="6"/>
      <x v="32"/>
    </i>
    <i r="1">
      <x v="7"/>
      <x v="2"/>
    </i>
    <i r="1">
      <x v="8"/>
      <x v="13"/>
    </i>
    <i r="1">
      <x v="9"/>
      <x v="31"/>
    </i>
    <i r="1">
      <x v="10"/>
      <x v="37"/>
    </i>
    <i r="2">
      <x v="40"/>
    </i>
    <i r="2">
      <x v="48"/>
    </i>
    <i r="1">
      <x v="13"/>
      <x v="39"/>
    </i>
    <i r="2">
      <x v="49"/>
    </i>
    <i r="1">
      <x v="15"/>
      <x v="45"/>
    </i>
    <i r="1">
      <x v="16"/>
      <x v="5"/>
    </i>
    <i r="2">
      <x v="15"/>
    </i>
    <i r="2">
      <x v="30"/>
    </i>
    <i r="2">
      <x v="50"/>
    </i>
    <i t="blank">
      <x v="32"/>
    </i>
    <i>
      <x v="33"/>
    </i>
    <i r="1">
      <x/>
      <x v="42"/>
    </i>
    <i r="2">
      <x v="44"/>
    </i>
    <i r="1">
      <x v="2"/>
      <x v="33"/>
    </i>
    <i r="1">
      <x v="3"/>
      <x v="37"/>
    </i>
    <i r="1">
      <x v="4"/>
      <x v="47"/>
    </i>
    <i r="1">
      <x v="5"/>
      <x v="48"/>
    </i>
    <i r="1">
      <x v="6"/>
      <x/>
    </i>
    <i r="1">
      <x v="7"/>
      <x v="30"/>
    </i>
    <i r="2">
      <x v="32"/>
    </i>
    <i r="1">
      <x v="9"/>
      <x v="1"/>
    </i>
    <i r="2">
      <x v="39"/>
    </i>
    <i r="1">
      <x v="11"/>
      <x v="5"/>
    </i>
    <i r="1">
      <x v="12"/>
      <x v="2"/>
    </i>
    <i r="2">
      <x v="36"/>
    </i>
    <i r="1">
      <x v="14"/>
      <x v="31"/>
    </i>
    <i r="1">
      <x v="15"/>
      <x v="40"/>
    </i>
    <i r="1">
      <x v="16"/>
      <x v="45"/>
    </i>
    <i r="1">
      <x v="17"/>
      <x v="38"/>
    </i>
    <i r="2">
      <x v="46"/>
    </i>
    <i r="2">
      <x v="53"/>
    </i>
    <i t="blank">
      <x v="33"/>
    </i>
    <i>
      <x v="34"/>
    </i>
    <i r="1">
      <x/>
      <x v="42"/>
    </i>
    <i r="1">
      <x v="1"/>
      <x v="44"/>
    </i>
    <i r="1">
      <x v="2"/>
      <x v="32"/>
    </i>
    <i r="1">
      <x v="3"/>
      <x/>
    </i>
    <i r="1">
      <x v="4"/>
      <x v="1"/>
    </i>
    <i r="2">
      <x v="2"/>
    </i>
    <i r="2">
      <x v="13"/>
    </i>
    <i r="2">
      <x v="47"/>
    </i>
    <i r="1">
      <x v="8"/>
      <x v="28"/>
    </i>
    <i r="2">
      <x v="37"/>
    </i>
    <i r="1">
      <x v="10"/>
      <x v="33"/>
    </i>
    <i r="1">
      <x v="11"/>
      <x v="12"/>
    </i>
    <i r="2">
      <x v="18"/>
    </i>
    <i r="2">
      <x v="43"/>
    </i>
    <i r="1">
      <x v="14"/>
      <x v="17"/>
    </i>
    <i r="2">
      <x v="24"/>
    </i>
    <i r="2">
      <x v="26"/>
    </i>
    <i r="2">
      <x v="31"/>
    </i>
    <i r="2">
      <x v="35"/>
    </i>
    <i r="2">
      <x v="39"/>
    </i>
    <i r="2">
      <x v="48"/>
    </i>
    <i r="2">
      <x v="50"/>
    </i>
    <i t="blank">
      <x v="34"/>
    </i>
    <i>
      <x v="35"/>
    </i>
    <i r="1">
      <x/>
      <x v="13"/>
    </i>
    <i r="2">
      <x v="44"/>
    </i>
    <i r="1">
      <x v="2"/>
      <x/>
    </i>
    <i r="1">
      <x v="3"/>
      <x v="42"/>
    </i>
    <i r="1">
      <x v="4"/>
      <x v="32"/>
    </i>
    <i r="1">
      <x v="5"/>
      <x v="1"/>
    </i>
    <i r="2">
      <x v="15"/>
    </i>
    <i r="1">
      <x v="7"/>
      <x v="39"/>
    </i>
    <i r="2">
      <x v="47"/>
    </i>
    <i r="1">
      <x v="9"/>
      <x v="2"/>
    </i>
    <i r="2">
      <x v="19"/>
    </i>
    <i r="1">
      <x v="11"/>
      <x v="10"/>
    </i>
    <i r="2">
      <x v="18"/>
    </i>
    <i r="2">
      <x v="31"/>
    </i>
    <i r="1">
      <x v="14"/>
      <x v="30"/>
    </i>
    <i r="2">
      <x v="33"/>
    </i>
    <i r="2">
      <x v="48"/>
    </i>
    <i r="2">
      <x v="53"/>
    </i>
    <i r="1">
      <x v="18"/>
      <x v="3"/>
    </i>
    <i r="2">
      <x v="5"/>
    </i>
    <i r="2">
      <x v="7"/>
    </i>
    <i r="2">
      <x v="9"/>
    </i>
    <i r="2">
      <x v="29"/>
    </i>
    <i r="2">
      <x v="36"/>
    </i>
    <i r="2">
      <x v="37"/>
    </i>
    <i r="2">
      <x v="45"/>
    </i>
    <i t="blank">
      <x v="35"/>
    </i>
    <i>
      <x v="36"/>
    </i>
    <i r="1">
      <x/>
      <x v="1"/>
    </i>
    <i r="2">
      <x v="42"/>
    </i>
    <i r="2">
      <x v="44"/>
    </i>
    <i r="1">
      <x v="3"/>
      <x v="33"/>
    </i>
    <i r="1">
      <x v="4"/>
      <x v="31"/>
    </i>
    <i r="1">
      <x v="5"/>
      <x/>
    </i>
    <i r="1">
      <x v="6"/>
      <x v="47"/>
    </i>
    <i r="1">
      <x v="7"/>
      <x v="48"/>
    </i>
    <i r="1">
      <x v="8"/>
      <x v="13"/>
    </i>
    <i r="2">
      <x v="39"/>
    </i>
    <i r="1">
      <x v="10"/>
      <x v="2"/>
    </i>
    <i r="1">
      <x v="11"/>
      <x v="32"/>
    </i>
    <i r="1">
      <x v="12"/>
      <x v="30"/>
    </i>
    <i r="2">
      <x v="37"/>
    </i>
    <i r="1">
      <x v="14"/>
      <x v="5"/>
    </i>
    <i r="2">
      <x v="7"/>
    </i>
    <i r="2">
      <x v="10"/>
    </i>
    <i r="2">
      <x v="15"/>
    </i>
    <i r="2">
      <x v="50"/>
    </i>
    <i r="1">
      <x v="19"/>
      <x v="49"/>
    </i>
    <i t="blank">
      <x v="36"/>
    </i>
    <i>
      <x v="37"/>
    </i>
    <i r="1">
      <x/>
      <x v="1"/>
    </i>
    <i r="1">
      <x v="1"/>
      <x/>
    </i>
    <i r="1">
      <x v="2"/>
      <x v="31"/>
    </i>
    <i r="2">
      <x v="42"/>
    </i>
    <i r="2">
      <x v="44"/>
    </i>
    <i r="1">
      <x v="5"/>
      <x v="33"/>
    </i>
    <i r="1">
      <x v="6"/>
      <x v="2"/>
    </i>
    <i r="1">
      <x v="7"/>
      <x v="32"/>
    </i>
    <i r="1">
      <x v="8"/>
      <x v="14"/>
    </i>
    <i r="1">
      <x v="9"/>
      <x v="6"/>
    </i>
    <i r="2">
      <x v="7"/>
    </i>
    <i r="1">
      <x v="11"/>
      <x v="3"/>
    </i>
    <i r="2">
      <x v="15"/>
    </i>
    <i r="2">
      <x v="16"/>
    </i>
    <i r="2">
      <x v="30"/>
    </i>
    <i r="2">
      <x v="35"/>
    </i>
    <i r="2">
      <x v="46"/>
    </i>
    <i r="2">
      <x v="47"/>
    </i>
    <i r="2">
      <x v="48"/>
    </i>
    <i r="2">
      <x v="50"/>
    </i>
    <i t="blank">
      <x v="37"/>
    </i>
    <i>
      <x v="38"/>
    </i>
    <i r="1">
      <x/>
      <x/>
    </i>
    <i r="1">
      <x v="1"/>
      <x v="31"/>
    </i>
    <i r="1">
      <x v="2"/>
      <x v="42"/>
    </i>
    <i r="2">
      <x v="44"/>
    </i>
    <i r="1">
      <x v="4"/>
      <x v="33"/>
    </i>
    <i r="1">
      <x v="5"/>
      <x v="1"/>
    </i>
    <i r="2">
      <x v="2"/>
    </i>
    <i r="1">
      <x v="7"/>
      <x v="13"/>
    </i>
    <i r="1">
      <x v="8"/>
      <x v="3"/>
    </i>
    <i r="2">
      <x v="32"/>
    </i>
    <i r="1">
      <x v="10"/>
      <x v="30"/>
    </i>
    <i r="1">
      <x v="11"/>
      <x v="47"/>
    </i>
    <i r="1">
      <x v="12"/>
      <x v="15"/>
    </i>
    <i r="2">
      <x v="49"/>
    </i>
    <i r="1">
      <x v="14"/>
      <x v="5"/>
    </i>
    <i r="2">
      <x v="10"/>
    </i>
    <i r="2">
      <x v="37"/>
    </i>
    <i r="2">
      <x v="39"/>
    </i>
    <i r="2">
      <x v="48"/>
    </i>
    <i r="1">
      <x v="19"/>
      <x v="6"/>
    </i>
    <i r="2">
      <x v="7"/>
    </i>
    <i t="blank">
      <x v="38"/>
    </i>
    <i>
      <x v="39"/>
    </i>
    <i r="1">
      <x/>
      <x/>
    </i>
    <i r="1">
      <x v="1"/>
      <x v="1"/>
    </i>
    <i r="1">
      <x v="2"/>
      <x v="44"/>
    </i>
    <i r="1">
      <x v="3"/>
      <x v="42"/>
    </i>
    <i r="1">
      <x v="4"/>
      <x v="33"/>
    </i>
    <i r="1">
      <x v="5"/>
      <x v="2"/>
    </i>
    <i r="1">
      <x v="6"/>
      <x v="31"/>
    </i>
    <i r="1">
      <x v="7"/>
      <x v="7"/>
    </i>
    <i r="1">
      <x v="8"/>
      <x v="32"/>
    </i>
    <i r="1">
      <x v="9"/>
      <x v="6"/>
    </i>
    <i r="1">
      <x v="10"/>
      <x v="3"/>
    </i>
    <i r="2">
      <x v="37"/>
    </i>
    <i r="1">
      <x v="12"/>
      <x v="4"/>
    </i>
    <i r="2">
      <x v="24"/>
    </i>
    <i r="2">
      <x v="47"/>
    </i>
    <i r="1">
      <x v="15"/>
      <x v="41"/>
    </i>
    <i r="2">
      <x v="48"/>
    </i>
    <i r="1">
      <x v="17"/>
      <x v="13"/>
    </i>
    <i r="2">
      <x v="19"/>
    </i>
    <i r="2">
      <x v="20"/>
    </i>
    <i r="2">
      <x v="39"/>
    </i>
    <i r="2">
      <x v="46"/>
    </i>
    <i r="2">
      <x v="50"/>
    </i>
    <i r="2">
      <x v="51"/>
    </i>
    <i t="blank">
      <x v="39"/>
    </i>
    <i>
      <x v="40"/>
    </i>
    <i r="1">
      <x/>
      <x/>
    </i>
    <i r="1">
      <x v="1"/>
      <x v="1"/>
    </i>
    <i r="1">
      <x v="2"/>
      <x v="44"/>
    </i>
    <i r="1">
      <x v="3"/>
      <x v="31"/>
    </i>
    <i r="1">
      <x v="4"/>
      <x v="6"/>
    </i>
    <i r="1">
      <x v="5"/>
      <x v="4"/>
    </i>
    <i r="2">
      <x v="33"/>
    </i>
    <i r="1">
      <x v="7"/>
      <x v="42"/>
    </i>
    <i r="1">
      <x v="8"/>
      <x v="2"/>
    </i>
    <i r="2">
      <x v="3"/>
    </i>
    <i r="2">
      <x v="32"/>
    </i>
    <i r="2">
      <x v="39"/>
    </i>
    <i r="1">
      <x v="12"/>
      <x v="7"/>
    </i>
    <i r="2">
      <x v="13"/>
    </i>
    <i r="2">
      <x v="19"/>
    </i>
    <i r="2">
      <x v="21"/>
    </i>
    <i r="2">
      <x v="27"/>
    </i>
    <i r="2">
      <x v="41"/>
    </i>
    <i r="2">
      <x v="43"/>
    </i>
    <i r="2">
      <x v="47"/>
    </i>
    <i t="blank">
      <x v="40"/>
    </i>
    <i>
      <x v="41"/>
    </i>
    <i r="1">
      <x/>
      <x v="44"/>
    </i>
    <i r="1">
      <x v="1"/>
      <x/>
    </i>
    <i r="2">
      <x v="42"/>
    </i>
    <i r="1">
      <x v="3"/>
      <x v="33"/>
    </i>
    <i r="1">
      <x v="4"/>
      <x v="31"/>
    </i>
    <i r="1">
      <x v="5"/>
      <x v="47"/>
    </i>
    <i r="1">
      <x v="6"/>
      <x v="1"/>
    </i>
    <i r="1">
      <x v="7"/>
      <x v="32"/>
    </i>
    <i r="2">
      <x v="48"/>
    </i>
    <i r="1">
      <x v="9"/>
      <x v="30"/>
    </i>
    <i r="2">
      <x v="50"/>
    </i>
    <i r="1">
      <x v="11"/>
      <x v="2"/>
    </i>
    <i r="2">
      <x v="40"/>
    </i>
    <i r="2">
      <x v="49"/>
    </i>
    <i r="1">
      <x v="14"/>
      <x v="37"/>
    </i>
    <i r="1">
      <x v="15"/>
      <x v="27"/>
    </i>
    <i r="2">
      <x v="36"/>
    </i>
    <i r="2">
      <x v="43"/>
    </i>
    <i r="2">
      <x v="45"/>
    </i>
    <i r="1">
      <x v="19"/>
      <x v="7"/>
    </i>
    <i r="2">
      <x v="10"/>
    </i>
    <i r="2">
      <x v="15"/>
    </i>
    <i r="2">
      <x v="39"/>
    </i>
    <i r="2">
      <x v="51"/>
    </i>
    <i t="blank">
      <x v="41"/>
    </i>
    <i>
      <x v="42"/>
    </i>
    <i r="1">
      <x/>
      <x v="41"/>
    </i>
    <i r="1">
      <x v="1"/>
      <x v="42"/>
    </i>
    <i r="1">
      <x v="2"/>
      <x v="31"/>
    </i>
    <i r="1">
      <x v="3"/>
      <x v="33"/>
    </i>
    <i r="1">
      <x v="4"/>
      <x v="47"/>
    </i>
    <i r="1">
      <x v="5"/>
      <x/>
    </i>
    <i r="1">
      <x v="6"/>
      <x v="3"/>
    </i>
    <i r="2">
      <x v="43"/>
    </i>
    <i r="2">
      <x v="44"/>
    </i>
    <i r="2">
      <x v="48"/>
    </i>
    <i r="2">
      <x v="49"/>
    </i>
    <i r="2">
      <x v="50"/>
    </i>
    <i r="1">
      <x v="12"/>
      <x v="1"/>
    </i>
    <i r="2">
      <x v="12"/>
    </i>
    <i r="2">
      <x v="32"/>
    </i>
    <i r="1">
      <x v="15"/>
      <x v="2"/>
    </i>
    <i r="2">
      <x v="4"/>
    </i>
    <i r="2">
      <x v="7"/>
    </i>
    <i r="2">
      <x v="11"/>
    </i>
    <i r="2">
      <x v="20"/>
    </i>
    <i r="2">
      <x v="21"/>
    </i>
    <i r="2">
      <x v="22"/>
    </i>
    <i r="2">
      <x v="23"/>
    </i>
    <i r="2">
      <x v="26"/>
    </i>
    <i r="2">
      <x v="29"/>
    </i>
    <i r="2">
      <x v="39"/>
    </i>
    <i r="2">
      <x v="51"/>
    </i>
    <i r="2">
      <x v="52"/>
    </i>
    <i r="2">
      <x v="53"/>
    </i>
    <i t="blank">
      <x v="42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7" baseField="0" baseItem="0" numFmtId="176"/>
    <dataField name="総数／構成比" fld="8" baseField="0" baseItem="0" numFmtId="178"/>
    <dataField name="個人／事業所数" fld="9" baseField="0" baseItem="0" numFmtId="176"/>
    <dataField name="個人／構成比" fld="10" baseField="0" baseItem="0" numFmtId="178"/>
    <dataField name="法人／事業所数" fld="11" baseField="0" baseItem="0" numFmtId="176"/>
    <dataField name="法人／構成比" fld="12" baseField="0" baseItem="0" numFmtId="178"/>
    <dataField name="法人以外の団体／事業所数" fld="13" baseField="0" baseItem="0" numFmtId="176"/>
  </dataFields>
  <formats count="17">
    <format dxfId="635">
      <pivotArea field="2" type="button" dataOnly="0" labelOnly="1" outline="0" axis="axisRow" fieldPosition="0"/>
    </format>
    <format dxfId="634">
      <pivotArea outline="0" fieldPosition="0">
        <references count="1">
          <reference field="4294967294" count="1">
            <x v="0"/>
          </reference>
        </references>
      </pivotArea>
    </format>
    <format dxfId="633">
      <pivotArea outline="0" fieldPosition="0">
        <references count="1">
          <reference field="4294967294" count="1">
            <x v="1"/>
          </reference>
        </references>
      </pivotArea>
    </format>
    <format dxfId="632">
      <pivotArea outline="0" fieldPosition="0">
        <references count="1">
          <reference field="4294967294" count="1">
            <x v="2"/>
          </reference>
        </references>
      </pivotArea>
    </format>
    <format dxfId="631">
      <pivotArea outline="0" fieldPosition="0">
        <references count="1">
          <reference field="4294967294" count="1">
            <x v="3"/>
          </reference>
        </references>
      </pivotArea>
    </format>
    <format dxfId="630">
      <pivotArea outline="0" fieldPosition="0">
        <references count="1">
          <reference field="4294967294" count="1">
            <x v="4"/>
          </reference>
        </references>
      </pivotArea>
    </format>
    <format dxfId="629">
      <pivotArea outline="0" fieldPosition="0">
        <references count="1">
          <reference field="4294967294" count="1">
            <x v="5"/>
          </reference>
        </references>
      </pivotArea>
    </format>
    <format dxfId="628">
      <pivotArea outline="0" fieldPosition="0">
        <references count="1">
          <reference field="4294967294" count="1">
            <x v="6"/>
          </reference>
        </references>
      </pivotArea>
    </format>
    <format dxfId="627">
      <pivotArea field="2" type="button" dataOnly="0" labelOnly="1" outline="0" axis="axisRow" fieldPosition="0"/>
    </format>
    <format dxfId="626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25">
      <pivotArea field="2" type="button" dataOnly="0" labelOnly="1" outline="0" axis="axisRow" fieldPosition="0"/>
    </format>
    <format dxfId="624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23">
      <pivotArea field="2" type="button" dataOnly="0" labelOnly="1" outline="0" axis="axisRow" fieldPosition="0"/>
    </format>
    <format dxfId="622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21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20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19">
      <pivotArea field="5" type="button" dataOnly="0" labelOnly="1" outline="0" axis="axisRow" fieldPosition="2"/>
    </format>
  </formats>
  <pivotTableStyleInfo name="PivotStyleLight22" showRowHeaders="0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1ECBF58-75C7-4245-B8A5-A77D518A826A}" name="pvt_S" cacheId="2190" applyNumberFormats="0" applyBorderFormats="0" applyFontFormats="0" applyPatternFormats="0" applyAlignmentFormats="0" applyWidthHeightFormats="1" dataCaption="値" updatedVersion="8" minRefreshableVersion="3" showDrill="0" enableDrill="0" useAutoFormatting="1" rowGrandTotals="0" colGrandTotals="0" itemPrintTitles="1" createdVersion="5" indent="0" outline="1" outlineData="1" multipleFieldFilters="0" rowHeaderCaption="自治体" fieldListSortAscending="1">
  <location ref="A1:I1037" firstHeaderRow="0" firstDataRow="1" firstDataCol="2"/>
  <pivotFields count="14">
    <pivotField showAll="0" defaultSubtotal="0">
      <items count="1">
        <item x="0"/>
      </items>
    </pivotField>
    <pivotField showAll="0" defaultSubtotal="0">
      <items count="43">
        <item x="29"/>
        <item x="27"/>
        <item x="28"/>
        <item x="23"/>
        <item x="22"/>
        <item x="9"/>
        <item x="20"/>
        <item x="34"/>
        <item x="37"/>
        <item x="36"/>
        <item x="40"/>
        <item x="39"/>
        <item x="38"/>
        <item x="35"/>
        <item x="41"/>
        <item x="14"/>
        <item x="21"/>
        <item x="13"/>
        <item x="5"/>
        <item x="0"/>
        <item x="1"/>
        <item x="19"/>
        <item x="10"/>
        <item x="3"/>
        <item x="15"/>
        <item x="16"/>
        <item x="8"/>
        <item x="4"/>
        <item x="2"/>
        <item x="42"/>
        <item x="6"/>
        <item x="12"/>
        <item x="17"/>
        <item x="11"/>
        <item x="7"/>
        <item x="26"/>
        <item x="25"/>
        <item x="33"/>
        <item x="18"/>
        <item x="31"/>
        <item x="32"/>
        <item x="30"/>
        <item x="24"/>
      </items>
    </pivotField>
    <pivotField axis="axisRow" showAll="0" insertBlankRow="1" defaultSubtotal="0">
      <items count="4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</items>
    </pivotField>
    <pivotField showAll="0" defaultSubtotal="0">
      <items count="107">
        <item x="7"/>
        <item x="11"/>
        <item x="10"/>
        <item x="68"/>
        <item x="27"/>
        <item x="67"/>
        <item x="90"/>
        <item x="91"/>
        <item x="70"/>
        <item x="61"/>
        <item x="58"/>
        <item x="54"/>
        <item x="44"/>
        <item x="12"/>
        <item x="38"/>
        <item x="94"/>
        <item x="99"/>
        <item x="96"/>
        <item x="51"/>
        <item x="46"/>
        <item x="20"/>
        <item x="56"/>
        <item x="55"/>
        <item x="92"/>
        <item x="98"/>
        <item x="100"/>
        <item x="84"/>
        <item x="69"/>
        <item x="37"/>
        <item x="50"/>
        <item x="39"/>
        <item x="40"/>
        <item x="36"/>
        <item x="17"/>
        <item x="43"/>
        <item x="49"/>
        <item x="30"/>
        <item x="34"/>
        <item x="71"/>
        <item x="31"/>
        <item x="95"/>
        <item x="72"/>
        <item x="57"/>
        <item x="33"/>
        <item x="32"/>
        <item x="47"/>
        <item x="85"/>
        <item x="64"/>
        <item x="101"/>
        <item x="80"/>
        <item x="81"/>
        <item x="29"/>
        <item x="65"/>
        <item x="82"/>
        <item x="28"/>
        <item x="75"/>
        <item x="35"/>
        <item x="60"/>
        <item x="102"/>
        <item x="59"/>
        <item x="26"/>
        <item x="19"/>
        <item x="6"/>
        <item x="41"/>
        <item x="63"/>
        <item x="14"/>
        <item x="48"/>
        <item x="93"/>
        <item x="78"/>
        <item x="9"/>
        <item x="42"/>
        <item x="83"/>
        <item x="52"/>
        <item x="15"/>
        <item x="2"/>
        <item x="24"/>
        <item x="86"/>
        <item x="87"/>
        <item x="88"/>
        <item x="16"/>
        <item x="25"/>
        <item x="103"/>
        <item x="45"/>
        <item x="5"/>
        <item x="104"/>
        <item x="97"/>
        <item x="13"/>
        <item x="21"/>
        <item x="1"/>
        <item x="106"/>
        <item x="105"/>
        <item x="73"/>
        <item x="22"/>
        <item x="3"/>
        <item x="0"/>
        <item x="53"/>
        <item x="62"/>
        <item x="23"/>
        <item x="8"/>
        <item x="79"/>
        <item x="4"/>
        <item x="89"/>
        <item x="77"/>
        <item x="74"/>
        <item x="18"/>
        <item x="76"/>
        <item x="66"/>
      </items>
    </pivotField>
    <pivotField showAll="0" defaultSubtotal="0">
      <items count="107">
        <item x="97"/>
        <item x="57"/>
        <item x="36"/>
        <item x="106"/>
        <item x="19"/>
        <item x="72"/>
        <item x="60"/>
        <item x="44"/>
        <item x="99"/>
        <item x="32"/>
        <item x="53"/>
        <item x="56"/>
        <item x="100"/>
        <item x="49"/>
        <item x="104"/>
        <item x="67"/>
        <item x="21"/>
        <item x="94"/>
        <item x="95"/>
        <item x="14"/>
        <item x="89"/>
        <item x="80"/>
        <item x="39"/>
        <item x="28"/>
        <item x="63"/>
        <item x="84"/>
        <item x="26"/>
        <item x="20"/>
        <item x="102"/>
        <item x="23"/>
        <item x="38"/>
        <item x="103"/>
        <item x="41"/>
        <item x="76"/>
        <item x="1"/>
        <item x="8"/>
        <item x="33"/>
        <item x="71"/>
        <item x="31"/>
        <item x="69"/>
        <item x="34"/>
        <item x="68"/>
        <item x="11"/>
        <item x="29"/>
        <item x="86"/>
        <item x="87"/>
        <item x="40"/>
        <item x="43"/>
        <item x="70"/>
        <item x="65"/>
        <item x="37"/>
        <item x="50"/>
        <item x="79"/>
        <item x="77"/>
        <item x="105"/>
        <item x="47"/>
        <item x="6"/>
        <item x="18"/>
        <item x="78"/>
        <item x="62"/>
        <item x="59"/>
        <item x="13"/>
        <item x="93"/>
        <item x="54"/>
        <item x="101"/>
        <item x="85"/>
        <item x="46"/>
        <item x="45"/>
        <item x="81"/>
        <item x="55"/>
        <item x="51"/>
        <item x="91"/>
        <item x="5"/>
        <item x="22"/>
        <item x="92"/>
        <item x="75"/>
        <item x="66"/>
        <item x="9"/>
        <item x="64"/>
        <item x="2"/>
        <item x="27"/>
        <item x="96"/>
        <item x="24"/>
        <item x="88"/>
        <item x="42"/>
        <item x="90"/>
        <item x="82"/>
        <item x="12"/>
        <item x="58"/>
        <item x="16"/>
        <item x="7"/>
        <item x="17"/>
        <item x="48"/>
        <item x="73"/>
        <item x="61"/>
        <item x="0"/>
        <item x="52"/>
        <item x="15"/>
        <item x="35"/>
        <item x="83"/>
        <item x="98"/>
        <item x="10"/>
        <item x="30"/>
        <item x="3"/>
        <item x="25"/>
        <item x="4"/>
        <item x="74"/>
      </items>
    </pivotField>
    <pivotField axis="axisRow" showAll="0" defaultSubtotal="0">
      <items count="107">
        <item x="7"/>
        <item x="11"/>
        <item x="10"/>
        <item x="68"/>
        <item x="27"/>
        <item x="67"/>
        <item x="90"/>
        <item x="91"/>
        <item x="70"/>
        <item x="61"/>
        <item x="58"/>
        <item x="54"/>
        <item x="44"/>
        <item x="12"/>
        <item x="38"/>
        <item x="94"/>
        <item x="99"/>
        <item x="96"/>
        <item x="51"/>
        <item x="46"/>
        <item x="20"/>
        <item x="56"/>
        <item x="55"/>
        <item x="92"/>
        <item x="98"/>
        <item x="100"/>
        <item x="84"/>
        <item x="69"/>
        <item x="37"/>
        <item x="50"/>
        <item x="39"/>
        <item x="40"/>
        <item x="36"/>
        <item x="17"/>
        <item x="43"/>
        <item x="49"/>
        <item x="30"/>
        <item x="34"/>
        <item x="71"/>
        <item x="31"/>
        <item x="95"/>
        <item x="72"/>
        <item x="57"/>
        <item x="33"/>
        <item x="32"/>
        <item x="47"/>
        <item x="85"/>
        <item x="64"/>
        <item x="101"/>
        <item x="80"/>
        <item x="81"/>
        <item x="29"/>
        <item x="65"/>
        <item x="82"/>
        <item x="28"/>
        <item x="75"/>
        <item x="35"/>
        <item x="60"/>
        <item x="102"/>
        <item x="59"/>
        <item x="26"/>
        <item x="19"/>
        <item x="6"/>
        <item x="41"/>
        <item x="63"/>
        <item x="14"/>
        <item x="48"/>
        <item x="93"/>
        <item x="78"/>
        <item x="9"/>
        <item x="42"/>
        <item x="83"/>
        <item x="52"/>
        <item x="15"/>
        <item x="2"/>
        <item x="24"/>
        <item x="86"/>
        <item x="87"/>
        <item x="88"/>
        <item x="16"/>
        <item x="25"/>
        <item x="103"/>
        <item x="45"/>
        <item x="5"/>
        <item x="104"/>
        <item x="97"/>
        <item x="13"/>
        <item x="21"/>
        <item x="1"/>
        <item x="106"/>
        <item x="105"/>
        <item x="73"/>
        <item x="22"/>
        <item x="3"/>
        <item x="0"/>
        <item x="53"/>
        <item x="62"/>
        <item x="23"/>
        <item x="8"/>
        <item x="79"/>
        <item x="4"/>
        <item x="89"/>
        <item x="77"/>
        <item x="74"/>
        <item x="18"/>
        <item x="76"/>
        <item x="66"/>
      </items>
    </pivotField>
    <pivotField axis="axisRow" outline="0" showAll="0" defaultSubtotal="0">
      <items count="20">
        <item x="0"/>
        <item x="1"/>
        <item x="2"/>
        <item x="3"/>
        <item x="18"/>
        <item x="4"/>
        <item x="5"/>
        <item x="6"/>
        <item x="7"/>
        <item x="8"/>
        <item x="9"/>
        <item x="10"/>
        <item x="11"/>
        <item x="12"/>
        <item x="13"/>
        <item x="19"/>
        <item x="14"/>
        <item x="15"/>
        <item x="16"/>
        <item x="1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 defaultSubtotal="0">
      <items count="142">
        <item x="141"/>
        <item x="140"/>
        <item x="139"/>
        <item x="138"/>
        <item x="137"/>
        <item x="136"/>
        <item x="135"/>
        <item x="134"/>
        <item x="103"/>
        <item x="102"/>
        <item x="127"/>
        <item x="101"/>
        <item x="100"/>
        <item x="129"/>
        <item x="99"/>
        <item x="98"/>
        <item x="97"/>
        <item x="113"/>
        <item x="112"/>
        <item x="111"/>
        <item x="110"/>
        <item x="96"/>
        <item x="109"/>
        <item x="117"/>
        <item x="108"/>
        <item x="107"/>
        <item x="95"/>
        <item x="94"/>
        <item x="93"/>
        <item x="118"/>
        <item x="106"/>
        <item x="116"/>
        <item x="78"/>
        <item x="92"/>
        <item x="105"/>
        <item x="85"/>
        <item x="77"/>
        <item x="76"/>
        <item x="84"/>
        <item x="75"/>
        <item x="130"/>
        <item x="91"/>
        <item x="126"/>
        <item x="74"/>
        <item x="73"/>
        <item x="104"/>
        <item x="51"/>
        <item x="50"/>
        <item x="49"/>
        <item x="133"/>
        <item x="72"/>
        <item x="83"/>
        <item x="115"/>
        <item x="82"/>
        <item x="71"/>
        <item x="125"/>
        <item x="70"/>
        <item x="48"/>
        <item x="90"/>
        <item x="47"/>
        <item x="46"/>
        <item x="65"/>
        <item x="45"/>
        <item x="89"/>
        <item x="128"/>
        <item x="124"/>
        <item x="88"/>
        <item x="64"/>
        <item x="81"/>
        <item x="114"/>
        <item x="63"/>
        <item x="62"/>
        <item x="44"/>
        <item x="61"/>
        <item x="69"/>
        <item x="60"/>
        <item x="120"/>
        <item x="132"/>
        <item x="131"/>
        <item x="68"/>
        <item x="59"/>
        <item x="123"/>
        <item x="43"/>
        <item x="42"/>
        <item x="41"/>
        <item x="122"/>
        <item x="58"/>
        <item x="57"/>
        <item x="56"/>
        <item x="87"/>
        <item x="55"/>
        <item x="86"/>
        <item x="67"/>
        <item x="40"/>
        <item x="39"/>
        <item x="54"/>
        <item x="38"/>
        <item x="53"/>
        <item x="80"/>
        <item x="35"/>
        <item x="34"/>
        <item x="79"/>
        <item x="121"/>
        <item x="33"/>
        <item x="52"/>
        <item x="32"/>
        <item x="31"/>
        <item x="30"/>
        <item x="37"/>
        <item x="29"/>
        <item x="28"/>
        <item x="27"/>
        <item x="26"/>
        <item x="36"/>
        <item x="66"/>
        <item x="25"/>
        <item x="24"/>
        <item x="23"/>
        <item x="22"/>
        <item x="21"/>
        <item x="20"/>
        <item x="119"/>
        <item x="19"/>
        <item x="17"/>
        <item x="18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</items>
    </pivotField>
    <pivotField dataField="1" showAll="0" defaultSubtotal="0">
      <items count="281">
        <item x="150"/>
        <item x="244"/>
        <item x="149"/>
        <item x="213"/>
        <item x="48"/>
        <item x="148"/>
        <item x="47"/>
        <item x="64"/>
        <item x="46"/>
        <item x="76"/>
        <item x="63"/>
        <item x="16"/>
        <item x="34"/>
        <item x="33"/>
        <item x="90"/>
        <item x="15"/>
        <item x="170"/>
        <item x="99"/>
        <item x="89"/>
        <item x="14"/>
        <item x="133"/>
        <item x="13"/>
        <item x="169"/>
        <item x="32"/>
        <item x="31"/>
        <item x="105"/>
        <item x="75"/>
        <item x="168"/>
        <item x="141"/>
        <item x="45"/>
        <item x="158"/>
        <item x="30"/>
        <item x="29"/>
        <item x="12"/>
        <item x="98"/>
        <item x="11"/>
        <item x="44"/>
        <item x="88"/>
        <item x="97"/>
        <item x="194"/>
        <item x="119"/>
        <item x="10"/>
        <item x="231"/>
        <item x="87"/>
        <item x="193"/>
        <item x="43"/>
        <item x="28"/>
        <item x="167"/>
        <item x="118"/>
        <item x="104"/>
        <item x="74"/>
        <item x="199"/>
        <item x="132"/>
        <item x="205"/>
        <item x="140"/>
        <item x="9"/>
        <item x="73"/>
        <item x="117"/>
        <item x="86"/>
        <item x="27"/>
        <item x="8"/>
        <item x="26"/>
        <item x="25"/>
        <item x="204"/>
        <item x="85"/>
        <item x="116"/>
        <item x="62"/>
        <item x="212"/>
        <item x="24"/>
        <item x="72"/>
        <item x="96"/>
        <item x="166"/>
        <item x="115"/>
        <item x="223"/>
        <item x="61"/>
        <item x="131"/>
        <item x="147"/>
        <item x="192"/>
        <item x="280"/>
        <item x="60"/>
        <item x="114"/>
        <item x="7"/>
        <item x="103"/>
        <item x="191"/>
        <item x="84"/>
        <item x="175"/>
        <item x="130"/>
        <item x="71"/>
        <item x="6"/>
        <item x="59"/>
        <item x="102"/>
        <item x="270"/>
        <item x="125"/>
        <item x="157"/>
        <item x="113"/>
        <item x="252"/>
        <item x="146"/>
        <item x="129"/>
        <item x="42"/>
        <item x="230"/>
        <item x="203"/>
        <item x="5"/>
        <item x="101"/>
        <item x="174"/>
        <item x="190"/>
        <item x="41"/>
        <item x="222"/>
        <item x="58"/>
        <item x="40"/>
        <item x="112"/>
        <item x="4"/>
        <item x="184"/>
        <item x="23"/>
        <item x="83"/>
        <item x="139"/>
        <item x="255"/>
        <item x="234"/>
        <item x="124"/>
        <item x="111"/>
        <item x="82"/>
        <item x="165"/>
        <item x="173"/>
        <item x="22"/>
        <item x="81"/>
        <item x="198"/>
        <item x="138"/>
        <item x="156"/>
        <item x="70"/>
        <item x="57"/>
        <item x="197"/>
        <item x="95"/>
        <item x="56"/>
        <item x="145"/>
        <item x="55"/>
        <item x="80"/>
        <item x="3"/>
        <item x="128"/>
        <item x="155"/>
        <item x="226"/>
        <item x="54"/>
        <item x="21"/>
        <item x="127"/>
        <item x="211"/>
        <item x="154"/>
        <item x="20"/>
        <item x="164"/>
        <item x="69"/>
        <item x="218"/>
        <item x="68"/>
        <item x="39"/>
        <item x="189"/>
        <item x="38"/>
        <item x="110"/>
        <item x="53"/>
        <item x="235"/>
        <item x="37"/>
        <item x="123"/>
        <item x="52"/>
        <item x="262"/>
        <item x="210"/>
        <item x="79"/>
        <item x="163"/>
        <item x="179"/>
        <item x="94"/>
        <item x="239"/>
        <item x="243"/>
        <item x="122"/>
        <item x="51"/>
        <item x="209"/>
        <item x="259"/>
        <item x="183"/>
        <item x="251"/>
        <item x="153"/>
        <item x="137"/>
        <item x="162"/>
        <item x="238"/>
        <item x="266"/>
        <item x="225"/>
        <item x="109"/>
        <item x="221"/>
        <item x="172"/>
        <item x="93"/>
        <item x="2"/>
        <item x="217"/>
        <item x="188"/>
        <item x="1"/>
        <item x="152"/>
        <item x="233"/>
        <item x="275"/>
        <item x="247"/>
        <item x="182"/>
        <item x="215"/>
        <item x="161"/>
        <item x="121"/>
        <item x="136"/>
        <item x="265"/>
        <item x="19"/>
        <item x="202"/>
        <item x="178"/>
        <item x="196"/>
        <item x="258"/>
        <item x="187"/>
        <item x="100"/>
        <item x="229"/>
        <item x="67"/>
        <item x="220"/>
        <item x="108"/>
        <item x="242"/>
        <item x="279"/>
        <item x="144"/>
        <item x="50"/>
        <item x="254"/>
        <item x="201"/>
        <item x="171"/>
        <item x="261"/>
        <item x="246"/>
        <item x="107"/>
        <item x="66"/>
        <item x="120"/>
        <item x="181"/>
        <item x="228"/>
        <item x="106"/>
        <item x="274"/>
        <item x="135"/>
        <item x="224"/>
        <item x="216"/>
        <item x="241"/>
        <item x="250"/>
        <item x="160"/>
        <item x="36"/>
        <item x="245"/>
        <item x="49"/>
        <item x="264"/>
        <item x="78"/>
        <item x="134"/>
        <item x="269"/>
        <item x="143"/>
        <item x="177"/>
        <item x="18"/>
        <item x="208"/>
        <item x="0"/>
        <item x="92"/>
        <item x="186"/>
        <item x="200"/>
        <item x="260"/>
        <item x="232"/>
        <item x="91"/>
        <item x="227"/>
        <item x="126"/>
        <item x="77"/>
        <item x="151"/>
        <item x="257"/>
        <item x="240"/>
        <item x="207"/>
        <item x="237"/>
        <item x="273"/>
        <item x="214"/>
        <item x="35"/>
        <item x="263"/>
        <item x="249"/>
        <item x="253"/>
        <item x="180"/>
        <item x="268"/>
        <item x="185"/>
        <item x="272"/>
        <item x="195"/>
        <item x="276"/>
        <item x="17"/>
        <item x="219"/>
        <item x="176"/>
        <item x="159"/>
        <item x="206"/>
        <item x="256"/>
        <item x="65"/>
        <item x="236"/>
        <item x="267"/>
        <item x="248"/>
        <item x="278"/>
        <item x="271"/>
        <item x="277"/>
        <item x="142"/>
      </items>
    </pivotField>
    <pivotField dataField="1" showAll="0" defaultSubtotal="0">
      <items count="131">
        <item x="130"/>
        <item x="129"/>
        <item x="118"/>
        <item x="105"/>
        <item x="107"/>
        <item x="80"/>
        <item x="108"/>
        <item x="48"/>
        <item x="79"/>
        <item x="78"/>
        <item x="106"/>
        <item x="102"/>
        <item x="104"/>
        <item x="54"/>
        <item x="82"/>
        <item x="83"/>
        <item x="49"/>
        <item x="61"/>
        <item x="35"/>
        <item x="84"/>
        <item x="72"/>
        <item x="103"/>
        <item x="94"/>
        <item x="93"/>
        <item x="110"/>
        <item x="101"/>
        <item x="127"/>
        <item x="52"/>
        <item x="76"/>
        <item x="55"/>
        <item x="68"/>
        <item x="70"/>
        <item x="50"/>
        <item x="67"/>
        <item x="117"/>
        <item x="81"/>
        <item x="95"/>
        <item x="113"/>
        <item x="92"/>
        <item x="69"/>
        <item x="71"/>
        <item x="66"/>
        <item x="109"/>
        <item x="114"/>
        <item x="53"/>
        <item x="115"/>
        <item x="77"/>
        <item x="128"/>
        <item x="36"/>
        <item x="51"/>
        <item x="88"/>
        <item x="33"/>
        <item x="126"/>
        <item x="98"/>
        <item x="125"/>
        <item x="63"/>
        <item x="100"/>
        <item x="112"/>
        <item x="91"/>
        <item x="47"/>
        <item x="34"/>
        <item x="111"/>
        <item x="121"/>
        <item x="89"/>
        <item x="99"/>
        <item x="65"/>
        <item x="87"/>
        <item x="122"/>
        <item x="90"/>
        <item x="75"/>
        <item x="46"/>
        <item x="39"/>
        <item x="59"/>
        <item x="45"/>
        <item x="123"/>
        <item x="64"/>
        <item x="25"/>
        <item x="120"/>
        <item x="58"/>
        <item x="85"/>
        <item x="96"/>
        <item x="62"/>
        <item x="74"/>
        <item x="38"/>
        <item x="37"/>
        <item x="97"/>
        <item x="43"/>
        <item x="29"/>
        <item x="124"/>
        <item x="60"/>
        <item x="28"/>
        <item x="44"/>
        <item x="41"/>
        <item x="57"/>
        <item x="42"/>
        <item x="73"/>
        <item x="27"/>
        <item x="86"/>
        <item x="32"/>
        <item x="119"/>
        <item x="56"/>
        <item x="30"/>
        <item x="31"/>
        <item x="40"/>
        <item x="15"/>
        <item x="11"/>
        <item x="7"/>
        <item x="23"/>
        <item x="26"/>
        <item x="116"/>
        <item x="16"/>
        <item x="24"/>
        <item x="14"/>
        <item x="12"/>
        <item x="22"/>
        <item x="17"/>
        <item x="19"/>
        <item x="20"/>
        <item x="10"/>
        <item x="21"/>
        <item x="18"/>
        <item x="9"/>
        <item x="6"/>
        <item x="13"/>
        <item x="8"/>
        <item x="5"/>
        <item x="2"/>
        <item x="4"/>
        <item x="3"/>
        <item x="1"/>
        <item x="0"/>
      </items>
    </pivotField>
    <pivotField dataField="1" showAll="0" defaultSubtotal="0">
      <items count="399">
        <item x="312"/>
        <item x="190"/>
        <item x="292"/>
        <item x="268"/>
        <item x="34"/>
        <item x="305"/>
        <item x="49"/>
        <item x="245"/>
        <item x="160"/>
        <item x="298"/>
        <item x="80"/>
        <item x="178"/>
        <item x="149"/>
        <item x="98"/>
        <item x="277"/>
        <item x="201"/>
        <item x="176"/>
        <item x="209"/>
        <item x="67"/>
        <item x="202"/>
        <item x="334"/>
        <item x="234"/>
        <item x="54"/>
        <item x="260"/>
        <item x="310"/>
        <item x="179"/>
        <item x="15"/>
        <item x="79"/>
        <item x="11"/>
        <item x="115"/>
        <item x="162"/>
        <item x="293"/>
        <item x="301"/>
        <item x="62"/>
        <item x="50"/>
        <item x="146"/>
        <item x="329"/>
        <item x="177"/>
        <item x="189"/>
        <item x="163"/>
        <item x="7"/>
        <item x="35"/>
        <item x="116"/>
        <item x="70"/>
        <item x="126"/>
        <item x="33"/>
        <item x="340"/>
        <item x="256"/>
        <item x="156"/>
        <item x="212"/>
        <item x="16"/>
        <item x="94"/>
        <item x="235"/>
        <item x="368"/>
        <item x="169"/>
        <item x="82"/>
        <item x="275"/>
        <item x="200"/>
        <item x="14"/>
        <item x="12"/>
        <item x="125"/>
        <item x="317"/>
        <item x="84"/>
        <item x="96"/>
        <item x="112"/>
        <item x="213"/>
        <item x="231"/>
        <item x="288"/>
        <item x="244"/>
        <item x="83"/>
        <item x="257"/>
        <item x="184"/>
        <item x="311"/>
        <item x="52"/>
        <item x="223"/>
        <item x="38"/>
        <item x="99"/>
        <item x="197"/>
        <item x="69"/>
        <item x="55"/>
        <item x="388"/>
        <item x="214"/>
        <item x="106"/>
        <item x="390"/>
        <item x="145"/>
        <item x="183"/>
        <item x="25"/>
        <item x="85"/>
        <item x="175"/>
        <item x="17"/>
        <item x="109"/>
        <item x="225"/>
        <item x="136"/>
        <item x="19"/>
        <item x="186"/>
        <item x="341"/>
        <item x="157"/>
        <item x="259"/>
        <item x="330"/>
        <item x="172"/>
        <item x="232"/>
        <item x="187"/>
        <item x="101"/>
        <item x="10"/>
        <item x="279"/>
        <item x="226"/>
        <item x="188"/>
        <item x="68"/>
        <item x="247"/>
        <item x="97"/>
        <item x="37"/>
        <item x="36"/>
        <item x="66"/>
        <item x="18"/>
        <item x="29"/>
        <item x="210"/>
        <item x="302"/>
        <item x="261"/>
        <item x="224"/>
        <item x="318"/>
        <item x="308"/>
        <item x="246"/>
        <item x="28"/>
        <item x="266"/>
        <item x="111"/>
        <item x="328"/>
        <item x="384"/>
        <item x="124"/>
        <item x="161"/>
        <item x="280"/>
        <item x="227"/>
        <item x="147"/>
        <item x="100"/>
        <item x="348"/>
        <item x="53"/>
        <item x="77"/>
        <item x="337"/>
        <item x="9"/>
        <item x="135"/>
        <item x="110"/>
        <item x="27"/>
        <item x="299"/>
        <item x="123"/>
        <item x="174"/>
        <item x="159"/>
        <item x="148"/>
        <item x="199"/>
        <item x="359"/>
        <item x="377"/>
        <item x="32"/>
        <item x="267"/>
        <item x="51"/>
        <item x="93"/>
        <item x="6"/>
        <item x="286"/>
        <item x="113"/>
        <item x="218"/>
        <item x="43"/>
        <item x="211"/>
        <item x="381"/>
        <item x="114"/>
        <item x="134"/>
        <item x="347"/>
        <item x="374"/>
        <item x="313"/>
        <item x="208"/>
        <item x="233"/>
        <item x="13"/>
        <item x="95"/>
        <item x="215"/>
        <item x="316"/>
        <item x="81"/>
        <item x="132"/>
        <item x="118"/>
        <item x="387"/>
        <item x="143"/>
        <item x="158"/>
        <item x="278"/>
        <item x="338"/>
        <item x="198"/>
        <item x="170"/>
        <item x="254"/>
        <item x="220"/>
        <item x="131"/>
        <item x="291"/>
        <item x="119"/>
        <item x="173"/>
        <item x="365"/>
        <item x="349"/>
        <item x="144"/>
        <item x="90"/>
        <item x="47"/>
        <item x="383"/>
        <item x="219"/>
        <item x="65"/>
        <item x="185"/>
        <item x="8"/>
        <item x="339"/>
        <item x="248"/>
        <item x="122"/>
        <item x="373"/>
        <item x="309"/>
        <item x="222"/>
        <item x="155"/>
        <item x="276"/>
        <item x="360"/>
        <item x="30"/>
        <item x="31"/>
        <item x="154"/>
        <item x="120"/>
        <item x="346"/>
        <item x="59"/>
        <item x="258"/>
        <item x="73"/>
        <item x="265"/>
        <item x="193"/>
        <item x="307"/>
        <item x="378"/>
        <item x="108"/>
        <item x="46"/>
        <item x="64"/>
        <item x="78"/>
        <item x="48"/>
        <item x="287"/>
        <item x="5"/>
        <item x="243"/>
        <item x="300"/>
        <item x="89"/>
        <item x="45"/>
        <item x="221"/>
        <item x="264"/>
        <item x="121"/>
        <item x="242"/>
        <item x="273"/>
        <item x="171"/>
        <item x="91"/>
        <item x="327"/>
        <item x="216"/>
        <item x="2"/>
        <item x="58"/>
        <item x="398"/>
        <item x="133"/>
        <item x="139"/>
        <item x="255"/>
        <item x="88"/>
        <item x="352"/>
        <item x="369"/>
        <item x="92"/>
        <item x="130"/>
        <item x="104"/>
        <item x="393"/>
        <item x="195"/>
        <item x="141"/>
        <item x="63"/>
        <item x="274"/>
        <item x="168"/>
        <item x="363"/>
        <item x="207"/>
        <item x="354"/>
        <item x="296"/>
        <item x="142"/>
        <item x="382"/>
        <item x="240"/>
        <item x="153"/>
        <item x="60"/>
        <item x="182"/>
        <item x="284"/>
        <item x="107"/>
        <item x="152"/>
        <item x="376"/>
        <item x="322"/>
        <item x="23"/>
        <item x="333"/>
        <item x="26"/>
        <item x="4"/>
        <item x="61"/>
        <item x="241"/>
        <item x="217"/>
        <item x="3"/>
        <item x="42"/>
        <item x="253"/>
        <item x="380"/>
        <item x="272"/>
        <item x="345"/>
        <item x="372"/>
        <item x="57"/>
        <item x="196"/>
        <item x="392"/>
        <item x="167"/>
        <item x="297"/>
        <item x="285"/>
        <item x="331"/>
        <item x="24"/>
        <item x="44"/>
        <item x="105"/>
        <item x="239"/>
        <item x="306"/>
        <item x="40"/>
        <item x="386"/>
        <item x="86"/>
        <item x="326"/>
        <item x="271"/>
        <item x="194"/>
        <item x="238"/>
        <item x="140"/>
        <item x="41"/>
        <item x="358"/>
        <item x="319"/>
        <item x="76"/>
        <item x="205"/>
        <item x="165"/>
        <item x="282"/>
        <item x="364"/>
        <item x="129"/>
        <item x="75"/>
        <item x="344"/>
        <item x="204"/>
        <item x="252"/>
        <item x="1"/>
        <item x="270"/>
        <item x="397"/>
        <item x="206"/>
        <item x="290"/>
        <item x="351"/>
        <item x="117"/>
        <item x="357"/>
        <item x="166"/>
        <item x="74"/>
        <item x="325"/>
        <item x="295"/>
        <item x="371"/>
        <item x="353"/>
        <item x="128"/>
        <item x="283"/>
        <item x="151"/>
        <item x="379"/>
        <item x="138"/>
        <item x="320"/>
        <item x="192"/>
        <item x="324"/>
        <item x="342"/>
        <item x="237"/>
        <item x="230"/>
        <item x="251"/>
        <item x="22"/>
        <item x="263"/>
        <item x="127"/>
        <item x="336"/>
        <item x="181"/>
        <item x="137"/>
        <item x="343"/>
        <item x="262"/>
        <item x="303"/>
        <item x="362"/>
        <item x="323"/>
        <item x="56"/>
        <item x="321"/>
        <item x="391"/>
        <item x="315"/>
        <item x="102"/>
        <item x="304"/>
        <item x="72"/>
        <item x="332"/>
        <item x="87"/>
        <item x="250"/>
        <item x="164"/>
        <item x="356"/>
        <item x="350"/>
        <item x="150"/>
        <item x="281"/>
        <item x="103"/>
        <item x="375"/>
        <item x="20"/>
        <item x="370"/>
        <item x="0"/>
        <item x="335"/>
        <item x="367"/>
        <item x="21"/>
        <item x="294"/>
        <item x="396"/>
        <item x="191"/>
        <item x="236"/>
        <item x="39"/>
        <item x="228"/>
        <item x="229"/>
        <item x="71"/>
        <item x="269"/>
        <item x="289"/>
        <item x="361"/>
        <item x="385"/>
        <item x="249"/>
        <item x="389"/>
        <item x="366"/>
        <item x="203"/>
        <item x="314"/>
        <item x="395"/>
        <item x="355"/>
        <item x="394"/>
        <item x="180"/>
      </items>
    </pivotField>
    <pivotField dataField="1" showAll="0" defaultSubtotal="0">
      <items count="88">
        <item x="80"/>
        <item x="48"/>
        <item x="78"/>
        <item x="67"/>
        <item x="42"/>
        <item x="52"/>
        <item x="61"/>
        <item x="45"/>
        <item x="74"/>
        <item x="59"/>
        <item x="26"/>
        <item x="69"/>
        <item x="79"/>
        <item x="71"/>
        <item x="75"/>
        <item x="54"/>
        <item x="43"/>
        <item x="66"/>
        <item x="31"/>
        <item x="30"/>
        <item x="46"/>
        <item x="77"/>
        <item x="24"/>
        <item x="40"/>
        <item x="76"/>
        <item x="65"/>
        <item x="73"/>
        <item x="72"/>
        <item x="47"/>
        <item x="50"/>
        <item x="22"/>
        <item x="51"/>
        <item x="87"/>
        <item x="82"/>
        <item x="56"/>
        <item x="53"/>
        <item x="85"/>
        <item x="70"/>
        <item x="60"/>
        <item x="63"/>
        <item x="86"/>
        <item x="62"/>
        <item x="68"/>
        <item x="57"/>
        <item x="84"/>
        <item x="55"/>
        <item x="83"/>
        <item x="3"/>
        <item x="38"/>
        <item x="21"/>
        <item x="64"/>
        <item x="13"/>
        <item x="32"/>
        <item x="49"/>
        <item x="37"/>
        <item x="23"/>
        <item x="41"/>
        <item x="44"/>
        <item x="4"/>
        <item x="39"/>
        <item x="58"/>
        <item x="27"/>
        <item x="28"/>
        <item x="29"/>
        <item x="34"/>
        <item x="36"/>
        <item x="33"/>
        <item x="1"/>
        <item x="35"/>
        <item x="81"/>
        <item x="18"/>
        <item x="25"/>
        <item x="8"/>
        <item x="0"/>
        <item x="20"/>
        <item x="19"/>
        <item x="5"/>
        <item x="17"/>
        <item x="9"/>
        <item x="14"/>
        <item x="16"/>
        <item x="10"/>
        <item x="12"/>
        <item x="15"/>
        <item x="6"/>
        <item x="11"/>
        <item x="2"/>
        <item x="7"/>
      </items>
    </pivotField>
    <pivotField dataField="1" showAll="0" defaultSubtotal="0">
      <items count="288">
        <item x="108"/>
        <item x="46"/>
        <item x="59"/>
        <item x="165"/>
        <item x="87"/>
        <item x="98"/>
        <item x="121"/>
        <item x="26"/>
        <item x="203"/>
        <item x="3"/>
        <item x="209"/>
        <item x="40"/>
        <item x="13"/>
        <item x="152"/>
        <item x="65"/>
        <item x="119"/>
        <item x="52"/>
        <item x="194"/>
        <item x="4"/>
        <item x="30"/>
        <item x="103"/>
        <item x="29"/>
        <item x="74"/>
        <item x="64"/>
        <item x="42"/>
        <item x="24"/>
        <item x="158"/>
        <item x="233"/>
        <item x="208"/>
        <item x="83"/>
        <item x="262"/>
        <item x="241"/>
        <item x="157"/>
        <item x="226"/>
        <item x="139"/>
        <item x="127"/>
        <item x="261"/>
        <item x="22"/>
        <item x="61"/>
        <item x="196"/>
        <item x="1"/>
        <item x="185"/>
        <item x="219"/>
        <item x="66"/>
        <item x="216"/>
        <item x="96"/>
        <item x="138"/>
        <item x="117"/>
        <item x="86"/>
        <item x="132"/>
        <item x="154"/>
        <item x="159"/>
        <item x="99"/>
        <item x="18"/>
        <item x="125"/>
        <item x="76"/>
        <item x="227"/>
        <item x="143"/>
        <item x="202"/>
        <item x="164"/>
        <item x="36"/>
        <item x="128"/>
        <item x="21"/>
        <item x="8"/>
        <item x="55"/>
        <item x="78"/>
        <item x="176"/>
        <item x="0"/>
        <item x="43"/>
        <item x="161"/>
        <item x="136"/>
        <item x="31"/>
        <item x="54"/>
        <item x="272"/>
        <item x="19"/>
        <item x="5"/>
        <item x="81"/>
        <item x="44"/>
        <item x="23"/>
        <item x="110"/>
        <item x="195"/>
        <item x="250"/>
        <item x="70"/>
        <item x="118"/>
        <item x="156"/>
        <item x="17"/>
        <item x="231"/>
        <item x="72"/>
        <item x="38"/>
        <item x="94"/>
        <item x="37"/>
        <item x="101"/>
        <item x="170"/>
        <item x="140"/>
        <item x="115"/>
        <item x="183"/>
        <item x="93"/>
        <item x="168"/>
        <item x="106"/>
        <item x="9"/>
        <item x="174"/>
        <item x="84"/>
        <item x="160"/>
        <item x="207"/>
        <item x="69"/>
        <item x="90"/>
        <item x="155"/>
        <item x="45"/>
        <item x="166"/>
        <item x="80"/>
        <item x="256"/>
        <item x="49"/>
        <item x="95"/>
        <item x="179"/>
        <item x="27"/>
        <item x="169"/>
        <item x="51"/>
        <item x="199"/>
        <item x="122"/>
        <item x="249"/>
        <item x="50"/>
        <item x="188"/>
        <item x="62"/>
        <item x="14"/>
        <item x="16"/>
        <item x="244"/>
        <item x="105"/>
        <item x="28"/>
        <item x="167"/>
        <item x="33"/>
        <item x="134"/>
        <item x="53"/>
        <item x="102"/>
        <item x="10"/>
        <item x="200"/>
        <item x="146"/>
        <item x="112"/>
        <item x="35"/>
        <item x="92"/>
        <item x="217"/>
        <item x="214"/>
        <item x="32"/>
        <item x="273"/>
        <item x="129"/>
        <item x="12"/>
        <item x="189"/>
        <item x="57"/>
        <item x="148"/>
        <item x="100"/>
        <item x="263"/>
        <item x="85"/>
        <item x="120"/>
        <item x="267"/>
        <item x="113"/>
        <item x="173"/>
        <item x="212"/>
        <item x="104"/>
        <item x="15"/>
        <item x="187"/>
        <item x="144"/>
        <item x="6"/>
        <item x="126"/>
        <item x="63"/>
        <item x="230"/>
        <item x="234"/>
        <item x="67"/>
        <item x="116"/>
        <item x="89"/>
        <item x="147"/>
        <item x="286"/>
        <item x="175"/>
        <item x="184"/>
        <item x="197"/>
        <item x="34"/>
        <item x="79"/>
        <item x="123"/>
        <item x="130"/>
        <item x="225"/>
        <item x="145"/>
        <item x="210"/>
        <item x="58"/>
        <item x="186"/>
        <item x="48"/>
        <item x="77"/>
        <item x="243"/>
        <item x="11"/>
        <item x="228"/>
        <item x="133"/>
        <item x="236"/>
        <item x="201"/>
        <item x="56"/>
        <item x="124"/>
        <item x="2"/>
        <item x="114"/>
        <item x="221"/>
        <item x="180"/>
        <item x="137"/>
        <item x="206"/>
        <item x="163"/>
        <item x="88"/>
        <item x="265"/>
        <item x="75"/>
        <item x="275"/>
        <item x="246"/>
        <item x="142"/>
        <item x="162"/>
        <item x="68"/>
        <item x="47"/>
        <item x="153"/>
        <item x="257"/>
        <item x="245"/>
        <item x="91"/>
        <item x="278"/>
        <item x="178"/>
        <item x="135"/>
        <item x="266"/>
        <item x="224"/>
        <item x="198"/>
        <item x="172"/>
        <item x="213"/>
        <item x="222"/>
        <item x="39"/>
        <item x="270"/>
        <item x="237"/>
        <item x="41"/>
        <item x="259"/>
        <item x="191"/>
        <item x="260"/>
        <item x="25"/>
        <item x="218"/>
        <item x="252"/>
        <item x="215"/>
        <item x="7"/>
        <item x="251"/>
        <item x="151"/>
        <item x="181"/>
        <item x="205"/>
        <item x="239"/>
        <item x="276"/>
        <item x="182"/>
        <item x="223"/>
        <item x="279"/>
        <item x="20"/>
        <item x="192"/>
        <item x="131"/>
        <item x="73"/>
        <item x="220"/>
        <item x="235"/>
        <item x="111"/>
        <item x="107"/>
        <item x="242"/>
        <item x="190"/>
        <item x="229"/>
        <item x="171"/>
        <item x="82"/>
        <item x="211"/>
        <item x="254"/>
        <item x="141"/>
        <item x="97"/>
        <item x="271"/>
        <item x="280"/>
        <item x="60"/>
        <item x="150"/>
        <item x="204"/>
        <item x="109"/>
        <item x="274"/>
        <item x="248"/>
        <item x="240"/>
        <item x="253"/>
        <item x="282"/>
        <item x="71"/>
        <item x="238"/>
        <item x="264"/>
        <item x="177"/>
        <item x="255"/>
        <item x="281"/>
        <item x="232"/>
        <item x="268"/>
        <item x="285"/>
        <item x="269"/>
        <item x="193"/>
        <item x="247"/>
        <item x="277"/>
        <item x="287"/>
        <item x="283"/>
        <item x="258"/>
        <item x="284"/>
        <item x="149"/>
      </items>
    </pivotField>
    <pivotField dataField="1" showAll="0" defaultSubtotal="0">
      <items count="6">
        <item x="0"/>
        <item x="4"/>
        <item x="5"/>
        <item x="3"/>
        <item x="1"/>
        <item x="2"/>
      </items>
    </pivotField>
  </pivotFields>
  <rowFields count="3">
    <field x="2"/>
    <field x="6"/>
    <field x="5"/>
  </rowFields>
  <rowItems count="1036">
    <i>
      <x/>
    </i>
    <i r="1">
      <x/>
      <x v="94"/>
    </i>
    <i r="1">
      <x v="1"/>
      <x v="88"/>
    </i>
    <i r="1">
      <x v="2"/>
      <x v="74"/>
    </i>
    <i r="1">
      <x v="3"/>
      <x v="93"/>
    </i>
    <i r="2">
      <x v="100"/>
    </i>
    <i r="1">
      <x v="5"/>
      <x v="83"/>
    </i>
    <i r="1">
      <x v="6"/>
      <x v="62"/>
    </i>
    <i r="1">
      <x v="7"/>
      <x/>
    </i>
    <i r="1">
      <x v="8"/>
      <x v="98"/>
    </i>
    <i r="1">
      <x v="9"/>
      <x v="69"/>
    </i>
    <i r="1">
      <x v="10"/>
      <x v="2"/>
    </i>
    <i r="1">
      <x v="11"/>
      <x v="1"/>
    </i>
    <i r="1">
      <x v="12"/>
      <x v="13"/>
    </i>
    <i r="1">
      <x v="13"/>
      <x v="86"/>
    </i>
    <i r="1">
      <x v="14"/>
      <x v="65"/>
    </i>
    <i r="2">
      <x v="73"/>
    </i>
    <i r="1">
      <x v="16"/>
      <x v="79"/>
    </i>
    <i r="1">
      <x v="17"/>
      <x v="33"/>
    </i>
    <i r="1">
      <x v="18"/>
      <x v="104"/>
    </i>
    <i r="1">
      <x v="19"/>
      <x v="61"/>
    </i>
    <i t="blank">
      <x/>
    </i>
    <i>
      <x v="1"/>
    </i>
    <i r="1">
      <x/>
      <x v="74"/>
    </i>
    <i r="1">
      <x v="1"/>
      <x v="94"/>
    </i>
    <i r="1">
      <x v="2"/>
      <x v="88"/>
    </i>
    <i r="1">
      <x v="3"/>
      <x v="83"/>
    </i>
    <i r="1">
      <x v="4"/>
      <x v="100"/>
    </i>
    <i r="1">
      <x v="5"/>
      <x v="73"/>
    </i>
    <i r="1">
      <x v="6"/>
      <x v="93"/>
    </i>
    <i r="1">
      <x v="7"/>
      <x v="69"/>
    </i>
    <i r="1">
      <x v="8"/>
      <x v="20"/>
    </i>
    <i r="1">
      <x v="9"/>
      <x v="62"/>
    </i>
    <i r="1">
      <x v="10"/>
      <x v="86"/>
    </i>
    <i r="2">
      <x v="87"/>
    </i>
    <i r="1">
      <x v="12"/>
      <x v="98"/>
    </i>
    <i r="1">
      <x v="13"/>
      <x v="79"/>
    </i>
    <i r="1">
      <x v="14"/>
      <x v="65"/>
    </i>
    <i r="1">
      <x v="15"/>
      <x v="1"/>
    </i>
    <i r="2">
      <x v="13"/>
    </i>
    <i r="1">
      <x v="17"/>
      <x v="92"/>
    </i>
    <i r="1">
      <x v="18"/>
      <x v="104"/>
    </i>
    <i r="1">
      <x v="19"/>
      <x v="97"/>
    </i>
    <i t="blank">
      <x v="1"/>
    </i>
    <i>
      <x v="2"/>
    </i>
    <i r="1">
      <x/>
      <x v="94"/>
    </i>
    <i r="1">
      <x v="1"/>
      <x v="74"/>
    </i>
    <i r="1">
      <x v="2"/>
      <x v="93"/>
    </i>
    <i r="1">
      <x v="3"/>
      <x v="88"/>
    </i>
    <i r="1">
      <x v="4"/>
      <x v="62"/>
    </i>
    <i r="2">
      <x v="100"/>
    </i>
    <i r="1">
      <x v="6"/>
      <x v="98"/>
    </i>
    <i r="1">
      <x v="7"/>
      <x v="83"/>
    </i>
    <i r="1">
      <x v="8"/>
      <x v="69"/>
    </i>
    <i r="1">
      <x v="9"/>
      <x v="87"/>
    </i>
    <i r="1">
      <x v="10"/>
      <x/>
    </i>
    <i r="2">
      <x v="73"/>
    </i>
    <i r="1">
      <x v="12"/>
      <x v="97"/>
    </i>
    <i r="1">
      <x v="13"/>
      <x v="75"/>
    </i>
    <i r="1">
      <x v="14"/>
      <x v="13"/>
    </i>
    <i r="2">
      <x v="65"/>
    </i>
    <i r="2">
      <x v="79"/>
    </i>
    <i r="1">
      <x v="17"/>
      <x v="86"/>
    </i>
    <i r="1">
      <x v="18"/>
      <x v="1"/>
    </i>
    <i r="1">
      <x v="19"/>
      <x v="92"/>
    </i>
    <i t="blank">
      <x v="2"/>
    </i>
    <i>
      <x v="3"/>
    </i>
    <i r="1">
      <x/>
      <x v="94"/>
    </i>
    <i r="1">
      <x v="1"/>
      <x v="74"/>
    </i>
    <i r="1">
      <x v="2"/>
      <x v="83"/>
    </i>
    <i r="1">
      <x v="3"/>
      <x v="80"/>
    </i>
    <i r="1">
      <x v="4"/>
      <x v="88"/>
    </i>
    <i r="1">
      <x v="5"/>
      <x v="100"/>
    </i>
    <i r="1">
      <x v="6"/>
      <x/>
    </i>
    <i r="1">
      <x v="7"/>
      <x v="86"/>
    </i>
    <i r="1">
      <x v="8"/>
      <x v="69"/>
    </i>
    <i r="1">
      <x v="9"/>
      <x v="2"/>
    </i>
    <i r="1">
      <x v="10"/>
      <x v="87"/>
    </i>
    <i r="1">
      <x v="11"/>
      <x v="93"/>
    </i>
    <i r="1">
      <x v="12"/>
      <x v="98"/>
    </i>
    <i r="1">
      <x v="13"/>
      <x v="60"/>
    </i>
    <i r="1">
      <x v="14"/>
      <x v="62"/>
    </i>
    <i r="1">
      <x v="15"/>
      <x v="79"/>
    </i>
    <i r="1">
      <x v="16"/>
      <x v="1"/>
    </i>
    <i r="2">
      <x v="61"/>
    </i>
    <i r="1">
      <x v="18"/>
      <x v="92"/>
    </i>
    <i r="1">
      <x v="19"/>
      <x v="4"/>
    </i>
    <i r="2">
      <x v="65"/>
    </i>
    <i t="blank">
      <x v="3"/>
    </i>
    <i>
      <x v="4"/>
    </i>
    <i r="1">
      <x/>
      <x v="33"/>
    </i>
    <i r="1">
      <x v="1"/>
      <x v="94"/>
    </i>
    <i r="1">
      <x v="2"/>
      <x v="54"/>
    </i>
    <i r="1">
      <x v="3"/>
      <x v="88"/>
    </i>
    <i r="1">
      <x v="4"/>
      <x v="93"/>
    </i>
    <i r="1">
      <x v="5"/>
      <x v="100"/>
    </i>
    <i r="1">
      <x v="6"/>
      <x v="74"/>
    </i>
    <i r="1">
      <x v="7"/>
      <x v="98"/>
    </i>
    <i r="1">
      <x v="8"/>
      <x v="13"/>
    </i>
    <i r="1">
      <x v="9"/>
      <x/>
    </i>
    <i r="2">
      <x v="1"/>
    </i>
    <i r="1">
      <x v="11"/>
      <x v="73"/>
    </i>
    <i r="1">
      <x v="12"/>
      <x v="83"/>
    </i>
    <i r="1">
      <x v="13"/>
      <x v="69"/>
    </i>
    <i r="2">
      <x v="97"/>
    </i>
    <i r="1">
      <x v="15"/>
      <x v="51"/>
    </i>
    <i r="1">
      <x v="16"/>
      <x v="65"/>
    </i>
    <i r="1">
      <x v="17"/>
      <x v="62"/>
    </i>
    <i r="1">
      <x v="18"/>
      <x v="79"/>
    </i>
    <i r="1">
      <x v="19"/>
      <x v="104"/>
    </i>
    <i t="blank">
      <x v="4"/>
    </i>
    <i>
      <x v="5"/>
    </i>
    <i r="1">
      <x/>
      <x v="36"/>
    </i>
    <i r="1">
      <x v="1"/>
      <x v="94"/>
    </i>
    <i r="1">
      <x v="2"/>
      <x v="74"/>
    </i>
    <i r="1">
      <x v="3"/>
      <x v="39"/>
    </i>
    <i r="1">
      <x v="4"/>
      <x v="62"/>
    </i>
    <i r="1">
      <x v="5"/>
      <x v="88"/>
    </i>
    <i r="1">
      <x v="6"/>
      <x v="93"/>
    </i>
    <i r="1">
      <x v="7"/>
      <x v="100"/>
    </i>
    <i r="1">
      <x v="8"/>
      <x v="83"/>
    </i>
    <i r="1">
      <x v="9"/>
      <x v="1"/>
    </i>
    <i r="2">
      <x v="98"/>
    </i>
    <i r="1">
      <x v="11"/>
      <x v="44"/>
    </i>
    <i r="2">
      <x v="104"/>
    </i>
    <i r="1">
      <x v="13"/>
      <x v="13"/>
    </i>
    <i r="1">
      <x v="14"/>
      <x/>
    </i>
    <i r="1">
      <x v="15"/>
      <x v="43"/>
    </i>
    <i r="1">
      <x v="16"/>
      <x v="37"/>
    </i>
    <i r="1">
      <x v="17"/>
      <x v="65"/>
    </i>
    <i r="1">
      <x v="18"/>
      <x v="69"/>
    </i>
    <i r="2">
      <x v="79"/>
    </i>
    <i r="2">
      <x v="86"/>
    </i>
    <i r="2">
      <x v="97"/>
    </i>
    <i t="blank">
      <x v="5"/>
    </i>
    <i>
      <x v="6"/>
    </i>
    <i r="1">
      <x/>
      <x v="94"/>
    </i>
    <i r="1">
      <x v="1"/>
      <x v="88"/>
    </i>
    <i r="1">
      <x v="2"/>
      <x v="2"/>
    </i>
    <i r="1">
      <x v="3"/>
      <x v="100"/>
    </i>
    <i r="1">
      <x v="4"/>
      <x/>
    </i>
    <i r="1">
      <x v="5"/>
      <x v="93"/>
    </i>
    <i r="1">
      <x v="6"/>
      <x v="83"/>
    </i>
    <i r="1">
      <x v="7"/>
      <x v="13"/>
    </i>
    <i r="2">
      <x v="62"/>
    </i>
    <i r="1">
      <x v="9"/>
      <x v="60"/>
    </i>
    <i r="1">
      <x v="10"/>
      <x v="69"/>
    </i>
    <i r="1">
      <x v="11"/>
      <x v="79"/>
    </i>
    <i r="1">
      <x v="12"/>
      <x v="4"/>
    </i>
    <i r="2">
      <x v="86"/>
    </i>
    <i r="2">
      <x v="98"/>
    </i>
    <i r="1">
      <x v="15"/>
      <x v="65"/>
    </i>
    <i r="1">
      <x v="16"/>
      <x v="74"/>
    </i>
    <i r="1">
      <x v="17"/>
      <x v="1"/>
    </i>
    <i r="2">
      <x v="56"/>
    </i>
    <i r="2">
      <x v="61"/>
    </i>
    <i t="blank">
      <x v="6"/>
    </i>
    <i>
      <x v="7"/>
    </i>
    <i r="1">
      <x/>
      <x v="94"/>
    </i>
    <i r="1">
      <x v="1"/>
      <x v="74"/>
    </i>
    <i r="1">
      <x v="2"/>
      <x v="69"/>
    </i>
    <i r="1">
      <x v="3"/>
      <x/>
    </i>
    <i r="2">
      <x v="2"/>
    </i>
    <i r="2">
      <x v="88"/>
    </i>
    <i r="2">
      <x v="93"/>
    </i>
    <i r="1">
      <x v="7"/>
      <x v="32"/>
    </i>
    <i r="2">
      <x v="83"/>
    </i>
    <i r="1">
      <x v="9"/>
      <x v="39"/>
    </i>
    <i r="2">
      <x v="60"/>
    </i>
    <i r="1">
      <x v="11"/>
      <x v="98"/>
    </i>
    <i r="1">
      <x v="12"/>
      <x v="28"/>
    </i>
    <i r="2">
      <x v="79"/>
    </i>
    <i r="1">
      <x v="14"/>
      <x v="13"/>
    </i>
    <i r="2">
      <x v="14"/>
    </i>
    <i r="2">
      <x v="30"/>
    </i>
    <i r="2">
      <x v="31"/>
    </i>
    <i r="2">
      <x v="62"/>
    </i>
    <i r="2">
      <x v="63"/>
    </i>
    <i r="2">
      <x v="70"/>
    </i>
    <i r="2">
      <x v="86"/>
    </i>
    <i r="2">
      <x v="100"/>
    </i>
    <i t="blank">
      <x v="7"/>
    </i>
    <i>
      <x v="8"/>
    </i>
    <i r="1">
      <x/>
      <x v="33"/>
    </i>
    <i r="1">
      <x v="1"/>
      <x v="88"/>
    </i>
    <i r="1">
      <x v="2"/>
      <x v="94"/>
    </i>
    <i r="1">
      <x v="3"/>
      <x v="93"/>
    </i>
    <i r="1">
      <x v="4"/>
      <x v="83"/>
    </i>
    <i r="1">
      <x v="5"/>
      <x/>
    </i>
    <i r="1">
      <x v="6"/>
      <x v="2"/>
    </i>
    <i r="2">
      <x v="62"/>
    </i>
    <i r="2">
      <x v="74"/>
    </i>
    <i r="1">
      <x v="9"/>
      <x v="100"/>
    </i>
    <i r="1">
      <x v="10"/>
      <x v="69"/>
    </i>
    <i r="1">
      <x v="11"/>
      <x v="61"/>
    </i>
    <i r="1">
      <x v="12"/>
      <x v="98"/>
    </i>
    <i r="1">
      <x v="13"/>
      <x v="104"/>
    </i>
    <i r="1">
      <x v="14"/>
      <x v="34"/>
    </i>
    <i r="1">
      <x v="15"/>
      <x v="54"/>
    </i>
    <i r="2">
      <x v="86"/>
    </i>
    <i r="1">
      <x v="17"/>
      <x v="12"/>
    </i>
    <i r="2">
      <x v="65"/>
    </i>
    <i r="2">
      <x v="82"/>
    </i>
    <i t="blank">
      <x v="8"/>
    </i>
    <i>
      <x v="9"/>
    </i>
    <i r="1">
      <x/>
      <x v="94"/>
    </i>
    <i r="1">
      <x v="1"/>
      <x v="88"/>
    </i>
    <i r="1">
      <x v="2"/>
      <x v="62"/>
    </i>
    <i r="1">
      <x v="3"/>
      <x v="93"/>
    </i>
    <i r="1">
      <x v="4"/>
      <x v="19"/>
    </i>
    <i r="1">
      <x v="5"/>
      <x v="100"/>
    </i>
    <i r="1">
      <x v="6"/>
      <x v="20"/>
    </i>
    <i r="1">
      <x v="7"/>
      <x v="98"/>
    </i>
    <i r="1">
      <x v="8"/>
      <x v="74"/>
    </i>
    <i r="1">
      <x v="9"/>
      <x v="104"/>
    </i>
    <i r="1">
      <x v="10"/>
      <x/>
    </i>
    <i r="2">
      <x v="83"/>
    </i>
    <i r="2">
      <x v="97"/>
    </i>
    <i r="1">
      <x v="13"/>
      <x v="45"/>
    </i>
    <i r="1">
      <x v="14"/>
      <x v="13"/>
    </i>
    <i r="1">
      <x v="15"/>
      <x v="1"/>
    </i>
    <i r="2">
      <x v="69"/>
    </i>
    <i r="1">
      <x v="17"/>
      <x v="86"/>
    </i>
    <i r="1">
      <x v="18"/>
      <x v="12"/>
    </i>
    <i r="2">
      <x v="14"/>
    </i>
    <i r="2">
      <x v="79"/>
    </i>
    <i t="blank">
      <x v="9"/>
    </i>
    <i>
      <x v="10"/>
    </i>
    <i r="1">
      <x/>
      <x v="94"/>
    </i>
    <i r="1">
      <x v="1"/>
      <x v="88"/>
    </i>
    <i r="1">
      <x v="2"/>
      <x v="93"/>
    </i>
    <i r="2">
      <x v="100"/>
    </i>
    <i r="1">
      <x v="4"/>
      <x v="2"/>
    </i>
    <i r="2">
      <x v="74"/>
    </i>
    <i r="1">
      <x v="6"/>
      <x v="62"/>
    </i>
    <i r="1">
      <x v="7"/>
      <x/>
    </i>
    <i r="2">
      <x v="69"/>
    </i>
    <i r="1">
      <x v="9"/>
      <x v="83"/>
    </i>
    <i r="1">
      <x v="10"/>
      <x v="65"/>
    </i>
    <i r="1">
      <x v="11"/>
      <x v="86"/>
    </i>
    <i r="1">
      <x v="12"/>
      <x v="79"/>
    </i>
    <i r="2">
      <x v="98"/>
    </i>
    <i r="1">
      <x v="14"/>
      <x v="13"/>
    </i>
    <i r="1">
      <x v="15"/>
      <x v="61"/>
    </i>
    <i r="1">
      <x v="16"/>
      <x v="1"/>
    </i>
    <i r="2">
      <x v="60"/>
    </i>
    <i r="1">
      <x v="18"/>
      <x v="66"/>
    </i>
    <i r="2">
      <x v="73"/>
    </i>
    <i t="blank">
      <x v="10"/>
    </i>
    <i>
      <x v="11"/>
    </i>
    <i r="1">
      <x/>
      <x v="94"/>
    </i>
    <i r="1">
      <x v="1"/>
      <x v="74"/>
    </i>
    <i r="1">
      <x v="2"/>
      <x v="88"/>
    </i>
    <i r="1">
      <x v="3"/>
      <x v="62"/>
    </i>
    <i r="1">
      <x v="4"/>
      <x v="100"/>
    </i>
    <i r="1">
      <x v="5"/>
      <x v="93"/>
    </i>
    <i r="2">
      <x v="98"/>
    </i>
    <i r="1">
      <x v="7"/>
      <x/>
    </i>
    <i r="2">
      <x v="65"/>
    </i>
    <i r="1">
      <x v="9"/>
      <x v="86"/>
    </i>
    <i r="1">
      <x v="10"/>
      <x v="83"/>
    </i>
    <i r="1">
      <x v="11"/>
      <x v="13"/>
    </i>
    <i r="1">
      <x v="12"/>
      <x v="104"/>
    </i>
    <i r="1">
      <x v="13"/>
      <x v="69"/>
    </i>
    <i r="1">
      <x v="14"/>
      <x v="87"/>
    </i>
    <i r="2">
      <x v="97"/>
    </i>
    <i r="1">
      <x v="16"/>
      <x v="2"/>
    </i>
    <i r="1">
      <x v="17"/>
      <x v="56"/>
    </i>
    <i r="2">
      <x v="79"/>
    </i>
    <i r="1">
      <x v="19"/>
      <x v="1"/>
    </i>
    <i r="2">
      <x v="14"/>
    </i>
    <i r="2">
      <x v="73"/>
    </i>
    <i t="blank">
      <x v="11"/>
    </i>
    <i>
      <x v="12"/>
    </i>
    <i r="1">
      <x/>
      <x v="33"/>
    </i>
    <i r="1">
      <x v="1"/>
      <x v="54"/>
    </i>
    <i r="1">
      <x v="2"/>
      <x v="94"/>
    </i>
    <i r="1">
      <x v="3"/>
      <x v="88"/>
    </i>
    <i r="1">
      <x v="4"/>
      <x v="35"/>
    </i>
    <i r="1">
      <x v="5"/>
      <x v="93"/>
    </i>
    <i r="1">
      <x v="6"/>
      <x v="100"/>
    </i>
    <i r="1">
      <x v="7"/>
      <x/>
    </i>
    <i r="1">
      <x v="8"/>
      <x v="83"/>
    </i>
    <i r="1">
      <x v="9"/>
      <x v="2"/>
    </i>
    <i r="1">
      <x v="10"/>
      <x v="13"/>
    </i>
    <i r="2">
      <x v="61"/>
    </i>
    <i r="2">
      <x v="62"/>
    </i>
    <i r="1">
      <x v="13"/>
      <x v="74"/>
    </i>
    <i r="1">
      <x v="14"/>
      <x v="69"/>
    </i>
    <i r="1">
      <x v="15"/>
      <x v="14"/>
    </i>
    <i r="2">
      <x v="29"/>
    </i>
    <i r="2">
      <x v="98"/>
    </i>
    <i r="1">
      <x v="18"/>
      <x v="1"/>
    </i>
    <i r="2">
      <x v="56"/>
    </i>
    <i r="2">
      <x v="73"/>
    </i>
    <i t="blank">
      <x v="12"/>
    </i>
    <i>
      <x v="13"/>
    </i>
    <i r="1">
      <x/>
      <x v="94"/>
    </i>
    <i r="1">
      <x v="1"/>
      <x v="100"/>
    </i>
    <i r="1">
      <x v="2"/>
      <x v="62"/>
    </i>
    <i r="1">
      <x v="3"/>
      <x v="88"/>
    </i>
    <i r="1">
      <x v="4"/>
      <x v="98"/>
    </i>
    <i r="1">
      <x v="5"/>
      <x v="83"/>
    </i>
    <i r="1">
      <x v="6"/>
      <x v="93"/>
    </i>
    <i r="1">
      <x v="7"/>
      <x v="74"/>
    </i>
    <i r="1">
      <x v="8"/>
      <x/>
    </i>
    <i r="1">
      <x v="9"/>
      <x v="18"/>
    </i>
    <i r="1">
      <x v="10"/>
      <x v="86"/>
    </i>
    <i r="1">
      <x v="11"/>
      <x v="97"/>
    </i>
    <i r="1">
      <x v="12"/>
      <x v="65"/>
    </i>
    <i r="1">
      <x v="13"/>
      <x v="43"/>
    </i>
    <i r="1">
      <x v="14"/>
      <x v="14"/>
    </i>
    <i r="1">
      <x v="15"/>
      <x v="1"/>
    </i>
    <i r="2">
      <x v="69"/>
    </i>
    <i r="2">
      <x v="104"/>
    </i>
    <i r="1">
      <x v="18"/>
      <x v="13"/>
    </i>
    <i r="2">
      <x v="92"/>
    </i>
    <i t="blank">
      <x v="13"/>
    </i>
    <i>
      <x v="14"/>
    </i>
    <i r="1">
      <x/>
      <x v="94"/>
    </i>
    <i r="1">
      <x v="1"/>
      <x v="88"/>
    </i>
    <i r="1">
      <x v="2"/>
      <x v="98"/>
    </i>
    <i r="1">
      <x v="3"/>
      <x v="93"/>
    </i>
    <i r="1">
      <x v="4"/>
      <x v="100"/>
    </i>
    <i r="1">
      <x v="5"/>
      <x v="83"/>
    </i>
    <i r="1">
      <x v="6"/>
      <x v="74"/>
    </i>
    <i r="1">
      <x v="7"/>
      <x/>
    </i>
    <i r="1">
      <x v="8"/>
      <x v="13"/>
    </i>
    <i r="2">
      <x v="62"/>
    </i>
    <i r="1">
      <x v="10"/>
      <x v="69"/>
    </i>
    <i r="1">
      <x v="11"/>
      <x v="79"/>
    </i>
    <i r="1">
      <x v="12"/>
      <x v="1"/>
    </i>
    <i r="2">
      <x v="2"/>
    </i>
    <i r="1">
      <x v="14"/>
      <x v="73"/>
    </i>
    <i r="1">
      <x v="15"/>
      <x v="92"/>
    </i>
    <i r="1">
      <x v="16"/>
      <x v="65"/>
    </i>
    <i r="2">
      <x v="72"/>
    </i>
    <i r="2">
      <x v="86"/>
    </i>
    <i r="2">
      <x v="95"/>
    </i>
    <i r="2">
      <x v="97"/>
    </i>
    <i t="blank">
      <x v="14"/>
    </i>
    <i>
      <x v="15"/>
    </i>
    <i r="1">
      <x/>
      <x/>
    </i>
    <i r="1">
      <x v="1"/>
      <x v="2"/>
    </i>
    <i r="2">
      <x v="94"/>
    </i>
    <i r="1">
      <x v="3"/>
      <x v="20"/>
    </i>
    <i r="1">
      <x v="4"/>
      <x v="1"/>
    </i>
    <i r="2">
      <x v="62"/>
    </i>
    <i r="1">
      <x v="6"/>
      <x v="11"/>
    </i>
    <i r="2">
      <x v="22"/>
    </i>
    <i r="1">
      <x v="8"/>
      <x v="12"/>
    </i>
    <i r="2">
      <x v="88"/>
    </i>
    <i r="1">
      <x v="10"/>
      <x v="13"/>
    </i>
    <i r="2">
      <x v="21"/>
    </i>
    <i r="2">
      <x v="93"/>
    </i>
    <i r="1">
      <x v="13"/>
      <x v="83"/>
    </i>
    <i r="1">
      <x v="14"/>
      <x v="31"/>
    </i>
    <i r="2">
      <x v="42"/>
    </i>
    <i r="2">
      <x v="69"/>
    </i>
    <i r="1">
      <x v="17"/>
      <x v="104"/>
    </i>
    <i r="1">
      <x v="18"/>
      <x v="10"/>
    </i>
    <i r="2">
      <x v="63"/>
    </i>
    <i r="2">
      <x v="97"/>
    </i>
    <i r="2">
      <x v="98"/>
    </i>
    <i r="2">
      <x v="100"/>
    </i>
    <i t="blank">
      <x v="15"/>
    </i>
    <i>
      <x v="16"/>
    </i>
    <i r="1">
      <x/>
      <x v="74"/>
    </i>
    <i r="1">
      <x v="1"/>
      <x v="94"/>
    </i>
    <i r="1">
      <x v="2"/>
      <x v="100"/>
    </i>
    <i r="1">
      <x v="3"/>
      <x v="88"/>
    </i>
    <i r="1">
      <x v="4"/>
      <x v="93"/>
    </i>
    <i r="1">
      <x v="5"/>
      <x/>
    </i>
    <i r="2">
      <x v="98"/>
    </i>
    <i r="1">
      <x v="7"/>
      <x v="65"/>
    </i>
    <i r="1">
      <x v="8"/>
      <x v="73"/>
    </i>
    <i r="2">
      <x v="75"/>
    </i>
    <i r="1">
      <x v="10"/>
      <x v="62"/>
    </i>
    <i r="2">
      <x v="104"/>
    </i>
    <i r="1">
      <x v="12"/>
      <x v="1"/>
    </i>
    <i r="2">
      <x v="2"/>
    </i>
    <i r="2">
      <x v="83"/>
    </i>
    <i r="1">
      <x v="15"/>
      <x v="20"/>
    </i>
    <i r="2">
      <x v="69"/>
    </i>
    <i r="1">
      <x v="17"/>
      <x v="37"/>
    </i>
    <i r="2">
      <x v="97"/>
    </i>
    <i r="1">
      <x v="19"/>
      <x v="92"/>
    </i>
    <i t="blank">
      <x v="16"/>
    </i>
    <i>
      <x v="17"/>
    </i>
    <i r="1">
      <x/>
      <x v="94"/>
    </i>
    <i r="1">
      <x v="1"/>
      <x v="100"/>
    </i>
    <i r="1">
      <x v="2"/>
      <x v="86"/>
    </i>
    <i r="2">
      <x v="98"/>
    </i>
    <i r="1">
      <x v="4"/>
      <x v="80"/>
    </i>
    <i r="2">
      <x v="93"/>
    </i>
    <i r="1">
      <x v="6"/>
      <x v="83"/>
    </i>
    <i r="1">
      <x v="7"/>
      <x v="2"/>
    </i>
    <i r="1">
      <x v="8"/>
      <x v="87"/>
    </i>
    <i r="1">
      <x v="9"/>
      <x v="88"/>
    </i>
    <i r="1">
      <x v="10"/>
      <x v="79"/>
    </i>
    <i r="1">
      <x v="11"/>
      <x v="1"/>
    </i>
    <i r="2">
      <x v="65"/>
    </i>
    <i r="1">
      <x v="13"/>
      <x/>
    </i>
    <i r="2">
      <x v="61"/>
    </i>
    <i r="1">
      <x v="15"/>
      <x v="63"/>
    </i>
    <i r="2">
      <x v="66"/>
    </i>
    <i r="2">
      <x v="69"/>
    </i>
    <i r="2">
      <x v="97"/>
    </i>
    <i r="1">
      <x v="19"/>
      <x v="59"/>
    </i>
    <i r="2">
      <x v="60"/>
    </i>
    <i t="blank">
      <x v="17"/>
    </i>
    <i>
      <x v="18"/>
    </i>
    <i r="1">
      <x/>
      <x/>
    </i>
    <i r="1">
      <x v="1"/>
      <x v="88"/>
    </i>
    <i r="1">
      <x v="2"/>
      <x v="94"/>
    </i>
    <i r="1">
      <x v="3"/>
      <x v="100"/>
    </i>
    <i r="1">
      <x v="4"/>
      <x v="93"/>
    </i>
    <i r="1">
      <x v="5"/>
      <x v="83"/>
    </i>
    <i r="1">
      <x v="6"/>
      <x v="62"/>
    </i>
    <i r="2">
      <x v="104"/>
    </i>
    <i r="1">
      <x v="8"/>
      <x v="1"/>
    </i>
    <i r="2">
      <x v="2"/>
    </i>
    <i r="2">
      <x v="56"/>
    </i>
    <i r="1">
      <x v="11"/>
      <x v="12"/>
    </i>
    <i r="2">
      <x v="74"/>
    </i>
    <i r="1">
      <x v="13"/>
      <x v="13"/>
    </i>
    <i r="2">
      <x v="14"/>
    </i>
    <i r="1">
      <x v="15"/>
      <x v="20"/>
    </i>
    <i r="2">
      <x v="69"/>
    </i>
    <i r="2">
      <x v="98"/>
    </i>
    <i r="1">
      <x v="18"/>
      <x v="57"/>
    </i>
    <i r="2">
      <x v="63"/>
    </i>
    <i t="blank">
      <x v="18"/>
    </i>
    <i>
      <x v="19"/>
    </i>
    <i r="1">
      <x/>
      <x v="94"/>
    </i>
    <i r="1">
      <x v="1"/>
      <x v="88"/>
    </i>
    <i r="1">
      <x v="2"/>
      <x v="80"/>
    </i>
    <i r="1">
      <x v="3"/>
      <x v="2"/>
    </i>
    <i r="1">
      <x v="4"/>
      <x v="83"/>
    </i>
    <i r="1">
      <x v="5"/>
      <x/>
    </i>
    <i r="1">
      <x v="6"/>
      <x v="93"/>
    </i>
    <i r="1">
      <x v="7"/>
      <x v="100"/>
    </i>
    <i r="1">
      <x v="8"/>
      <x v="98"/>
    </i>
    <i r="1">
      <x v="9"/>
      <x v="86"/>
    </i>
    <i r="1">
      <x v="10"/>
      <x v="69"/>
    </i>
    <i r="1">
      <x v="11"/>
      <x v="1"/>
    </i>
    <i r="1">
      <x v="12"/>
      <x v="60"/>
    </i>
    <i r="2">
      <x v="87"/>
    </i>
    <i r="1">
      <x v="14"/>
      <x v="13"/>
    </i>
    <i r="2">
      <x v="61"/>
    </i>
    <i r="1">
      <x v="16"/>
      <x v="9"/>
    </i>
    <i r="1">
      <x v="17"/>
      <x v="104"/>
    </i>
    <i r="1">
      <x v="18"/>
      <x v="82"/>
    </i>
    <i r="2">
      <x v="96"/>
    </i>
    <i t="blank">
      <x v="19"/>
    </i>
    <i>
      <x v="20"/>
    </i>
    <i r="1">
      <x/>
      <x v="94"/>
    </i>
    <i r="1">
      <x v="1"/>
      <x v="88"/>
    </i>
    <i r="1">
      <x v="2"/>
      <x v="74"/>
    </i>
    <i r="1">
      <x v="3"/>
      <x v="93"/>
    </i>
    <i r="1">
      <x v="4"/>
      <x v="83"/>
    </i>
    <i r="2">
      <x v="100"/>
    </i>
    <i r="1">
      <x v="6"/>
      <x v="2"/>
    </i>
    <i r="1">
      <x v="7"/>
      <x/>
    </i>
    <i r="1">
      <x v="8"/>
      <x v="98"/>
    </i>
    <i r="1">
      <x v="9"/>
      <x v="63"/>
    </i>
    <i r="1">
      <x v="10"/>
      <x v="62"/>
    </i>
    <i r="1">
      <x v="11"/>
      <x v="79"/>
    </i>
    <i r="2">
      <x v="80"/>
    </i>
    <i r="1">
      <x v="13"/>
      <x v="1"/>
    </i>
    <i r="2">
      <x v="86"/>
    </i>
    <i r="2">
      <x v="87"/>
    </i>
    <i r="1">
      <x v="16"/>
      <x v="60"/>
    </i>
    <i r="1">
      <x v="17"/>
      <x v="13"/>
    </i>
    <i r="2">
      <x v="61"/>
    </i>
    <i r="2">
      <x v="82"/>
    </i>
    <i t="blank">
      <x v="20"/>
    </i>
    <i>
      <x v="21"/>
    </i>
    <i r="1">
      <x/>
      <x v="94"/>
    </i>
    <i r="1">
      <x v="1"/>
      <x v="62"/>
    </i>
    <i r="1">
      <x v="2"/>
      <x v="93"/>
    </i>
    <i r="1">
      <x v="3"/>
      <x v="60"/>
    </i>
    <i r="2">
      <x v="88"/>
    </i>
    <i r="1">
      <x v="5"/>
      <x v="61"/>
    </i>
    <i r="1">
      <x v="6"/>
      <x v="83"/>
    </i>
    <i r="1">
      <x v="7"/>
      <x/>
    </i>
    <i r="1">
      <x v="8"/>
      <x v="100"/>
    </i>
    <i r="1">
      <x v="9"/>
      <x v="66"/>
    </i>
    <i r="2">
      <x v="69"/>
    </i>
    <i r="1">
      <x v="11"/>
      <x v="37"/>
    </i>
    <i r="1">
      <x v="12"/>
      <x v="1"/>
    </i>
    <i r="2">
      <x v="2"/>
    </i>
    <i r="1">
      <x v="14"/>
      <x v="79"/>
    </i>
    <i r="1">
      <x v="15"/>
      <x v="63"/>
    </i>
    <i r="2">
      <x v="98"/>
    </i>
    <i r="1">
      <x v="17"/>
      <x v="45"/>
    </i>
    <i r="1">
      <x v="18"/>
      <x v="13"/>
    </i>
    <i r="2">
      <x v="20"/>
    </i>
    <i r="2">
      <x v="59"/>
    </i>
    <i r="2">
      <x v="64"/>
    </i>
    <i t="blank">
      <x v="21"/>
    </i>
    <i>
      <x v="22"/>
    </i>
    <i r="1">
      <x/>
      <x v="74"/>
    </i>
    <i r="1">
      <x v="1"/>
      <x v="73"/>
    </i>
    <i r="1">
      <x v="2"/>
      <x v="62"/>
    </i>
    <i r="1">
      <x v="3"/>
      <x v="94"/>
    </i>
    <i r="1">
      <x v="4"/>
      <x v="88"/>
    </i>
    <i r="1">
      <x v="5"/>
      <x v="100"/>
    </i>
    <i r="1">
      <x v="6"/>
      <x v="20"/>
    </i>
    <i r="1">
      <x v="7"/>
      <x v="104"/>
    </i>
    <i r="1">
      <x v="8"/>
      <x v="37"/>
    </i>
    <i r="2">
      <x v="98"/>
    </i>
    <i r="1">
      <x v="10"/>
      <x v="1"/>
    </i>
    <i r="1">
      <x v="11"/>
      <x v="93"/>
    </i>
    <i r="1">
      <x v="12"/>
      <x v="12"/>
    </i>
    <i r="2">
      <x v="44"/>
    </i>
    <i r="1">
      <x v="14"/>
      <x v="10"/>
    </i>
    <i r="2">
      <x v="14"/>
    </i>
    <i r="2">
      <x v="83"/>
    </i>
    <i r="2">
      <x v="92"/>
    </i>
    <i r="1">
      <x v="18"/>
      <x v="11"/>
    </i>
    <i r="2">
      <x v="13"/>
    </i>
    <i r="2">
      <x v="47"/>
    </i>
    <i r="2">
      <x v="52"/>
    </i>
    <i r="2">
      <x v="106"/>
    </i>
    <i t="blank">
      <x v="22"/>
    </i>
    <i>
      <x v="23"/>
    </i>
    <i r="1">
      <x/>
      <x v="94"/>
    </i>
    <i r="1">
      <x v="1"/>
      <x v="88"/>
    </i>
    <i r="1">
      <x v="2"/>
      <x v="100"/>
    </i>
    <i r="2">
      <x v="104"/>
    </i>
    <i r="1">
      <x v="4"/>
      <x v="62"/>
    </i>
    <i r="2">
      <x v="93"/>
    </i>
    <i r="1">
      <x v="6"/>
      <x v="74"/>
    </i>
    <i r="1">
      <x v="7"/>
      <x v="20"/>
    </i>
    <i r="2">
      <x v="60"/>
    </i>
    <i r="2">
      <x v="73"/>
    </i>
    <i r="1">
      <x v="10"/>
      <x v="98"/>
    </i>
    <i r="1">
      <x v="11"/>
      <x v="69"/>
    </i>
    <i r="1">
      <x v="12"/>
      <x v="1"/>
    </i>
    <i r="2">
      <x v="21"/>
    </i>
    <i r="2">
      <x v="61"/>
    </i>
    <i r="2">
      <x v="63"/>
    </i>
    <i r="2">
      <x v="65"/>
    </i>
    <i r="2">
      <x v="66"/>
    </i>
    <i r="2">
      <x v="92"/>
    </i>
    <i r="2">
      <x v="97"/>
    </i>
    <i t="blank">
      <x v="23"/>
    </i>
    <i>
      <x v="24"/>
    </i>
    <i r="1">
      <x/>
      <x v="94"/>
    </i>
    <i r="1">
      <x v="1"/>
      <x v="93"/>
    </i>
    <i r="1">
      <x v="2"/>
      <x/>
    </i>
    <i r="1">
      <x v="3"/>
      <x v="69"/>
    </i>
    <i r="1">
      <x v="4"/>
      <x v="2"/>
    </i>
    <i r="2">
      <x v="13"/>
    </i>
    <i r="2">
      <x v="62"/>
    </i>
    <i r="2">
      <x v="88"/>
    </i>
    <i r="1">
      <x v="8"/>
      <x v="61"/>
    </i>
    <i r="1">
      <x v="9"/>
      <x v="60"/>
    </i>
    <i r="2">
      <x v="83"/>
    </i>
    <i r="1">
      <x v="11"/>
      <x v="37"/>
    </i>
    <i r="2">
      <x v="100"/>
    </i>
    <i r="1">
      <x v="13"/>
      <x v="1"/>
    </i>
    <i r="2">
      <x v="104"/>
    </i>
    <i r="1">
      <x v="15"/>
      <x v="5"/>
    </i>
    <i r="2">
      <x v="66"/>
    </i>
    <i r="2">
      <x v="96"/>
    </i>
    <i r="1">
      <x v="18"/>
      <x v="44"/>
    </i>
    <i r="2">
      <x v="59"/>
    </i>
    <i t="blank">
      <x v="24"/>
    </i>
    <i>
      <x v="25"/>
    </i>
    <i r="1">
      <x/>
      <x v="94"/>
    </i>
    <i r="1">
      <x v="1"/>
      <x v="93"/>
    </i>
    <i r="1">
      <x v="2"/>
      <x/>
    </i>
    <i r="1">
      <x v="3"/>
      <x v="62"/>
    </i>
    <i r="2">
      <x v="88"/>
    </i>
    <i r="1">
      <x v="5"/>
      <x v="1"/>
    </i>
    <i r="1">
      <x v="6"/>
      <x v="100"/>
    </i>
    <i r="1">
      <x v="7"/>
      <x v="37"/>
    </i>
    <i r="1">
      <x v="8"/>
      <x v="13"/>
    </i>
    <i r="1">
      <x v="9"/>
      <x v="2"/>
    </i>
    <i r="2">
      <x v="83"/>
    </i>
    <i r="1">
      <x v="11"/>
      <x v="98"/>
    </i>
    <i r="1">
      <x v="12"/>
      <x v="69"/>
    </i>
    <i r="2">
      <x v="92"/>
    </i>
    <i r="1">
      <x v="14"/>
      <x v="3"/>
    </i>
    <i r="2">
      <x v="27"/>
    </i>
    <i r="2">
      <x v="60"/>
    </i>
    <i r="2">
      <x v="96"/>
    </i>
    <i r="1">
      <x v="18"/>
      <x v="12"/>
    </i>
    <i r="2">
      <x v="79"/>
    </i>
    <i r="2">
      <x v="97"/>
    </i>
    <i t="blank">
      <x v="25"/>
    </i>
    <i>
      <x v="26"/>
    </i>
    <i r="1">
      <x/>
      <x v="2"/>
    </i>
    <i r="2">
      <x v="88"/>
    </i>
    <i r="2">
      <x v="94"/>
    </i>
    <i r="1">
      <x v="3"/>
      <x/>
    </i>
    <i r="1">
      <x v="4"/>
      <x v="22"/>
    </i>
    <i r="1">
      <x v="5"/>
      <x v="37"/>
    </i>
    <i r="2">
      <x v="51"/>
    </i>
    <i r="2">
      <x v="61"/>
    </i>
    <i r="2">
      <x v="62"/>
    </i>
    <i r="2">
      <x v="69"/>
    </i>
    <i r="2">
      <x v="96"/>
    </i>
    <i r="2">
      <x v="100"/>
    </i>
    <i r="1">
      <x v="12"/>
      <x v="8"/>
    </i>
    <i r="2">
      <x v="12"/>
    </i>
    <i r="2">
      <x v="13"/>
    </i>
    <i r="2">
      <x v="30"/>
    </i>
    <i r="2">
      <x v="59"/>
    </i>
    <i r="2">
      <x v="63"/>
    </i>
    <i r="2">
      <x v="65"/>
    </i>
    <i r="2">
      <x v="74"/>
    </i>
    <i r="2">
      <x v="92"/>
    </i>
    <i r="2">
      <x v="93"/>
    </i>
    <i r="2">
      <x v="97"/>
    </i>
    <i r="2">
      <x v="98"/>
    </i>
    <i t="blank">
      <x v="26"/>
    </i>
    <i>
      <x v="27"/>
    </i>
    <i r="1">
      <x/>
      <x v="94"/>
    </i>
    <i r="1">
      <x v="1"/>
      <x v="93"/>
    </i>
    <i r="1">
      <x v="2"/>
      <x v="100"/>
    </i>
    <i r="1">
      <x v="3"/>
      <x v="88"/>
    </i>
    <i r="1">
      <x v="4"/>
      <x v="104"/>
    </i>
    <i r="1">
      <x v="5"/>
      <x v="62"/>
    </i>
    <i r="1">
      <x v="6"/>
      <x v="83"/>
    </i>
    <i r="1">
      <x v="7"/>
      <x v="20"/>
    </i>
    <i r="1">
      <x v="8"/>
      <x/>
    </i>
    <i r="2">
      <x v="12"/>
    </i>
    <i r="1">
      <x v="10"/>
      <x v="37"/>
    </i>
    <i r="2">
      <x v="86"/>
    </i>
    <i r="2">
      <x v="98"/>
    </i>
    <i r="1">
      <x v="13"/>
      <x v="21"/>
    </i>
    <i r="2">
      <x v="69"/>
    </i>
    <i r="2">
      <x v="97"/>
    </i>
    <i r="1">
      <x v="16"/>
      <x v="1"/>
    </i>
    <i r="2">
      <x v="61"/>
    </i>
    <i r="1">
      <x v="18"/>
      <x v="10"/>
    </i>
    <i r="2">
      <x v="11"/>
    </i>
    <i r="2">
      <x v="38"/>
    </i>
    <i r="2">
      <x v="42"/>
    </i>
    <i r="2">
      <x v="63"/>
    </i>
    <i r="2">
      <x v="74"/>
    </i>
    <i r="2">
      <x v="79"/>
    </i>
    <i t="blank">
      <x v="27"/>
    </i>
    <i>
      <x v="28"/>
    </i>
    <i r="1">
      <x/>
      <x v="62"/>
    </i>
    <i r="1">
      <x v="1"/>
      <x/>
    </i>
    <i r="2">
      <x v="1"/>
    </i>
    <i r="2">
      <x v="93"/>
    </i>
    <i r="1">
      <x v="4"/>
      <x v="88"/>
    </i>
    <i r="1">
      <x v="5"/>
      <x v="2"/>
    </i>
    <i r="2">
      <x v="4"/>
    </i>
    <i r="2">
      <x v="19"/>
    </i>
    <i r="2">
      <x v="20"/>
    </i>
    <i r="2">
      <x v="60"/>
    </i>
    <i r="1">
      <x v="10"/>
      <x v="45"/>
    </i>
    <i r="2">
      <x v="94"/>
    </i>
    <i r="2">
      <x v="97"/>
    </i>
    <i r="2">
      <x v="100"/>
    </i>
    <i r="2">
      <x v="104"/>
    </i>
    <i r="1">
      <x v="15"/>
      <x v="11"/>
    </i>
    <i r="2">
      <x v="12"/>
    </i>
    <i r="2">
      <x v="18"/>
    </i>
    <i r="2">
      <x v="37"/>
    </i>
    <i r="2">
      <x v="41"/>
    </i>
    <i r="2">
      <x v="59"/>
    </i>
    <i r="2">
      <x v="61"/>
    </i>
    <i r="2">
      <x v="73"/>
    </i>
    <i r="2">
      <x v="83"/>
    </i>
    <i r="2">
      <x v="91"/>
    </i>
    <i r="2">
      <x v="103"/>
    </i>
    <i t="blank">
      <x v="28"/>
    </i>
    <i>
      <x v="29"/>
    </i>
    <i r="1">
      <x/>
      <x v="94"/>
    </i>
    <i r="1">
      <x v="1"/>
      <x v="88"/>
    </i>
    <i r="1">
      <x v="2"/>
      <x/>
    </i>
    <i r="1">
      <x v="3"/>
      <x v="18"/>
    </i>
    <i r="2">
      <x v="20"/>
    </i>
    <i r="2">
      <x v="93"/>
    </i>
    <i r="1">
      <x v="6"/>
      <x v="62"/>
    </i>
    <i r="1">
      <x v="7"/>
      <x v="11"/>
    </i>
    <i r="2">
      <x v="37"/>
    </i>
    <i r="1">
      <x v="9"/>
      <x v="1"/>
    </i>
    <i r="2">
      <x v="14"/>
    </i>
    <i r="2">
      <x v="100"/>
    </i>
    <i r="1">
      <x v="12"/>
      <x v="12"/>
    </i>
    <i r="2">
      <x v="13"/>
    </i>
    <i r="2">
      <x v="104"/>
    </i>
    <i r="1">
      <x v="15"/>
      <x v="2"/>
    </i>
    <i r="2">
      <x v="8"/>
    </i>
    <i r="2">
      <x v="43"/>
    </i>
    <i r="2">
      <x v="55"/>
    </i>
    <i r="2">
      <x v="83"/>
    </i>
    <i r="2">
      <x v="105"/>
    </i>
    <i r="2">
      <x v="106"/>
    </i>
    <i t="blank">
      <x v="29"/>
    </i>
    <i>
      <x v="30"/>
    </i>
    <i r="1">
      <x/>
      <x/>
    </i>
    <i r="1">
      <x v="1"/>
      <x v="94"/>
    </i>
    <i r="1">
      <x v="2"/>
      <x v="93"/>
    </i>
    <i r="1">
      <x v="3"/>
      <x v="62"/>
    </i>
    <i r="1">
      <x v="4"/>
      <x v="88"/>
    </i>
    <i r="1">
      <x v="5"/>
      <x v="96"/>
    </i>
    <i r="1">
      <x v="6"/>
      <x v="2"/>
    </i>
    <i r="1">
      <x v="7"/>
      <x v="1"/>
    </i>
    <i r="1">
      <x v="8"/>
      <x v="4"/>
    </i>
    <i r="2">
      <x v="61"/>
    </i>
    <i r="1">
      <x v="10"/>
      <x v="98"/>
    </i>
    <i r="2">
      <x v="100"/>
    </i>
    <i r="1">
      <x v="12"/>
      <x v="13"/>
    </i>
    <i r="1">
      <x v="13"/>
      <x v="14"/>
    </i>
    <i r="2">
      <x v="66"/>
    </i>
    <i r="2">
      <x v="69"/>
    </i>
    <i r="2">
      <x v="79"/>
    </i>
    <i r="2">
      <x v="82"/>
    </i>
    <i r="1">
      <x v="18"/>
      <x v="9"/>
    </i>
    <i r="2">
      <x v="65"/>
    </i>
    <i r="2">
      <x v="83"/>
    </i>
    <i t="blank">
      <x v="30"/>
    </i>
    <i>
      <x v="31"/>
    </i>
    <i r="1">
      <x/>
      <x v="62"/>
    </i>
    <i r="1">
      <x v="1"/>
      <x v="94"/>
    </i>
    <i r="2">
      <x v="98"/>
    </i>
    <i r="1">
      <x v="3"/>
      <x v="88"/>
    </i>
    <i r="1">
      <x v="4"/>
      <x v="1"/>
    </i>
    <i r="2">
      <x v="93"/>
    </i>
    <i r="1">
      <x v="6"/>
      <x v="100"/>
    </i>
    <i r="1">
      <x v="7"/>
      <x/>
    </i>
    <i r="2">
      <x v="9"/>
    </i>
    <i r="2">
      <x v="97"/>
    </i>
    <i r="1">
      <x v="10"/>
      <x v="2"/>
    </i>
    <i r="2">
      <x v="13"/>
    </i>
    <i r="1">
      <x v="12"/>
      <x v="12"/>
    </i>
    <i r="2">
      <x v="69"/>
    </i>
    <i r="2">
      <x v="104"/>
    </i>
    <i r="1">
      <x v="15"/>
      <x v="20"/>
    </i>
    <i r="2">
      <x v="63"/>
    </i>
    <i r="1">
      <x v="17"/>
      <x v="14"/>
    </i>
    <i r="2">
      <x v="56"/>
    </i>
    <i r="1">
      <x v="19"/>
      <x v="4"/>
    </i>
    <i r="2">
      <x v="5"/>
    </i>
    <i r="2">
      <x v="70"/>
    </i>
    <i r="2">
      <x v="86"/>
    </i>
    <i r="2">
      <x v="92"/>
    </i>
    <i t="blank">
      <x v="31"/>
    </i>
    <i>
      <x v="32"/>
    </i>
    <i r="1">
      <x/>
      <x v="94"/>
    </i>
    <i r="1">
      <x v="1"/>
      <x v="98"/>
    </i>
    <i r="1">
      <x v="2"/>
      <x/>
    </i>
    <i r="1">
      <x v="3"/>
      <x v="62"/>
    </i>
    <i r="2">
      <x v="93"/>
    </i>
    <i r="1">
      <x v="5"/>
      <x v="88"/>
    </i>
    <i r="1">
      <x v="6"/>
      <x v="37"/>
    </i>
    <i r="2">
      <x v="97"/>
    </i>
    <i r="1">
      <x v="8"/>
      <x v="1"/>
    </i>
    <i r="2">
      <x v="100"/>
    </i>
    <i r="1">
      <x v="10"/>
      <x v="2"/>
    </i>
    <i r="2">
      <x v="74"/>
    </i>
    <i r="1">
      <x v="12"/>
      <x v="4"/>
    </i>
    <i r="2">
      <x v="83"/>
    </i>
    <i r="1">
      <x v="14"/>
      <x v="13"/>
    </i>
    <i r="2">
      <x v="79"/>
    </i>
    <i r="2">
      <x v="102"/>
    </i>
    <i r="2">
      <x v="104"/>
    </i>
    <i r="1">
      <x v="18"/>
      <x v="65"/>
    </i>
    <i r="2">
      <x v="69"/>
    </i>
    <i t="blank">
      <x v="32"/>
    </i>
    <i>
      <x v="33"/>
    </i>
    <i r="1">
      <x/>
      <x v="94"/>
    </i>
    <i r="1">
      <x v="1"/>
      <x v="74"/>
    </i>
    <i r="1">
      <x v="2"/>
      <x v="83"/>
    </i>
    <i r="1">
      <x v="3"/>
      <x v="88"/>
    </i>
    <i r="1">
      <x v="4"/>
      <x v="86"/>
    </i>
    <i r="2">
      <x v="100"/>
    </i>
    <i r="1">
      <x v="6"/>
      <x v="69"/>
    </i>
    <i r="1">
      <x v="7"/>
      <x v="62"/>
    </i>
    <i r="1">
      <x v="8"/>
      <x v="92"/>
    </i>
    <i r="2">
      <x v="98"/>
    </i>
    <i r="1">
      <x v="10"/>
      <x v="20"/>
    </i>
    <i r="2">
      <x v="93"/>
    </i>
    <i r="2">
      <x v="97"/>
    </i>
    <i r="1">
      <x v="13"/>
      <x v="65"/>
    </i>
    <i r="1">
      <x v="14"/>
      <x v="14"/>
    </i>
    <i r="2">
      <x v="60"/>
    </i>
    <i r="2">
      <x v="72"/>
    </i>
    <i r="2">
      <x v="87"/>
    </i>
    <i r="1">
      <x v="18"/>
      <x/>
    </i>
    <i r="1">
      <x v="19"/>
      <x v="1"/>
    </i>
    <i r="2">
      <x v="68"/>
    </i>
    <i r="2">
      <x v="99"/>
    </i>
    <i t="blank">
      <x v="33"/>
    </i>
    <i>
      <x v="34"/>
    </i>
    <i r="1">
      <x/>
      <x v="88"/>
    </i>
    <i r="2">
      <x v="94"/>
    </i>
    <i r="1">
      <x v="2"/>
      <x v="1"/>
    </i>
    <i r="2">
      <x v="62"/>
    </i>
    <i r="1">
      <x v="4"/>
      <x v="13"/>
    </i>
    <i r="2">
      <x v="37"/>
    </i>
    <i r="2">
      <x v="98"/>
    </i>
    <i r="1">
      <x v="7"/>
      <x v="12"/>
    </i>
    <i r="2">
      <x v="45"/>
    </i>
    <i r="2">
      <x v="63"/>
    </i>
    <i r="2">
      <x v="69"/>
    </i>
    <i r="2">
      <x v="73"/>
    </i>
    <i r="2">
      <x v="83"/>
    </i>
    <i r="2">
      <x v="93"/>
    </i>
    <i r="1">
      <x v="14"/>
      <x v="4"/>
    </i>
    <i r="2">
      <x v="14"/>
    </i>
    <i r="2">
      <x v="49"/>
    </i>
    <i r="2">
      <x v="50"/>
    </i>
    <i r="2">
      <x v="53"/>
    </i>
    <i r="2">
      <x v="71"/>
    </i>
    <i r="2">
      <x v="74"/>
    </i>
    <i r="2">
      <x v="91"/>
    </i>
    <i r="2">
      <x v="92"/>
    </i>
    <i r="2">
      <x v="97"/>
    </i>
    <i r="2">
      <x v="104"/>
    </i>
    <i t="blank">
      <x v="34"/>
    </i>
    <i>
      <x v="35"/>
    </i>
    <i r="1">
      <x/>
      <x v="94"/>
    </i>
    <i r="1">
      <x v="1"/>
      <x v="88"/>
    </i>
    <i r="1">
      <x v="2"/>
      <x v="1"/>
    </i>
    <i r="1">
      <x v="3"/>
      <x v="36"/>
    </i>
    <i r="2">
      <x v="37"/>
    </i>
    <i r="2">
      <x v="43"/>
    </i>
    <i r="2">
      <x v="62"/>
    </i>
    <i r="1">
      <x v="7"/>
      <x v="2"/>
    </i>
    <i r="2">
      <x v="39"/>
    </i>
    <i r="2">
      <x v="45"/>
    </i>
    <i r="2">
      <x v="92"/>
    </i>
    <i r="2">
      <x v="98"/>
    </i>
    <i r="1">
      <x v="12"/>
      <x/>
    </i>
    <i r="2">
      <x v="11"/>
    </i>
    <i r="2">
      <x v="44"/>
    </i>
    <i r="2">
      <x v="47"/>
    </i>
    <i r="2">
      <x v="63"/>
    </i>
    <i r="2">
      <x v="93"/>
    </i>
    <i r="2">
      <x v="100"/>
    </i>
    <i r="1">
      <x v="19"/>
      <x v="13"/>
    </i>
    <i r="2">
      <x v="14"/>
    </i>
    <i r="2">
      <x v="26"/>
    </i>
    <i r="2">
      <x v="30"/>
    </i>
    <i r="2">
      <x v="38"/>
    </i>
    <i r="2">
      <x v="46"/>
    </i>
    <i r="2">
      <x v="55"/>
    </i>
    <i r="2">
      <x v="60"/>
    </i>
    <i r="2">
      <x v="76"/>
    </i>
    <i r="2">
      <x v="77"/>
    </i>
    <i r="2">
      <x v="78"/>
    </i>
    <i r="2">
      <x v="97"/>
    </i>
    <i r="2">
      <x v="106"/>
    </i>
    <i t="blank">
      <x v="35"/>
    </i>
    <i>
      <x v="36"/>
    </i>
    <i r="1">
      <x/>
      <x v="94"/>
    </i>
    <i r="1">
      <x v="1"/>
      <x v="88"/>
    </i>
    <i r="2">
      <x v="98"/>
    </i>
    <i r="1">
      <x v="3"/>
      <x v="59"/>
    </i>
    <i r="2">
      <x v="93"/>
    </i>
    <i r="1">
      <x v="5"/>
      <x/>
    </i>
    <i r="2">
      <x v="83"/>
    </i>
    <i r="1">
      <x v="7"/>
      <x v="12"/>
    </i>
    <i r="2">
      <x v="62"/>
    </i>
    <i r="2">
      <x v="100"/>
    </i>
    <i r="1">
      <x v="10"/>
      <x v="37"/>
    </i>
    <i r="2">
      <x v="64"/>
    </i>
    <i r="2">
      <x v="65"/>
    </i>
    <i r="2">
      <x v="74"/>
    </i>
    <i r="2">
      <x v="76"/>
    </i>
    <i r="2">
      <x v="101"/>
    </i>
    <i r="2">
      <x v="104"/>
    </i>
    <i r="1">
      <x v="17"/>
      <x v="10"/>
    </i>
    <i r="2">
      <x v="13"/>
    </i>
    <i r="2">
      <x v="56"/>
    </i>
    <i r="2">
      <x v="60"/>
    </i>
    <i t="blank">
      <x v="36"/>
    </i>
    <i>
      <x v="37"/>
    </i>
    <i r="1">
      <x/>
      <x v="94"/>
    </i>
    <i r="1">
      <x v="1"/>
      <x v="2"/>
    </i>
    <i r="1">
      <x v="2"/>
      <x/>
    </i>
    <i r="2">
      <x v="61"/>
    </i>
    <i r="2">
      <x v="62"/>
    </i>
    <i r="1">
      <x v="5"/>
      <x v="4"/>
    </i>
    <i r="2">
      <x v="42"/>
    </i>
    <i r="2">
      <x v="66"/>
    </i>
    <i r="2">
      <x v="83"/>
    </i>
    <i r="2">
      <x v="88"/>
    </i>
    <i r="1">
      <x v="10"/>
      <x v="1"/>
    </i>
    <i r="2">
      <x v="6"/>
    </i>
    <i r="2">
      <x v="8"/>
    </i>
    <i r="2">
      <x v="13"/>
    </i>
    <i r="2">
      <x v="27"/>
    </i>
    <i r="2">
      <x v="93"/>
    </i>
    <i r="1">
      <x v="16"/>
      <x v="7"/>
    </i>
    <i r="2">
      <x v="10"/>
    </i>
    <i r="2">
      <x v="14"/>
    </i>
    <i r="2">
      <x v="23"/>
    </i>
    <i r="2">
      <x v="43"/>
    </i>
    <i r="2">
      <x v="59"/>
    </i>
    <i r="2">
      <x v="60"/>
    </i>
    <i r="2">
      <x v="65"/>
    </i>
    <i r="2">
      <x v="67"/>
    </i>
    <i r="2">
      <x v="71"/>
    </i>
    <i r="2">
      <x v="82"/>
    </i>
    <i r="2">
      <x v="100"/>
    </i>
    <i r="2">
      <x v="104"/>
    </i>
    <i t="blank">
      <x v="37"/>
    </i>
    <i>
      <x v="38"/>
    </i>
    <i r="1">
      <x/>
      <x v="88"/>
    </i>
    <i r="1">
      <x v="1"/>
      <x v="15"/>
    </i>
    <i r="1">
      <x v="2"/>
      <x v="40"/>
    </i>
    <i r="1">
      <x v="3"/>
      <x v="62"/>
    </i>
    <i r="2">
      <x v="94"/>
    </i>
    <i r="1">
      <x v="5"/>
      <x/>
    </i>
    <i r="2">
      <x v="2"/>
    </i>
    <i r="2">
      <x v="13"/>
    </i>
    <i r="2">
      <x v="60"/>
    </i>
    <i r="2">
      <x v="61"/>
    </i>
    <i r="2">
      <x v="66"/>
    </i>
    <i r="2">
      <x v="93"/>
    </i>
    <i r="1">
      <x v="12"/>
      <x v="56"/>
    </i>
    <i r="1">
      <x v="13"/>
      <x v="1"/>
    </i>
    <i r="2">
      <x v="4"/>
    </i>
    <i r="2">
      <x v="103"/>
    </i>
    <i r="1">
      <x v="16"/>
      <x v="14"/>
    </i>
    <i r="2">
      <x v="69"/>
    </i>
    <i r="2">
      <x v="73"/>
    </i>
    <i r="2">
      <x v="98"/>
    </i>
    <i r="2">
      <x v="100"/>
    </i>
    <i t="blank">
      <x v="38"/>
    </i>
    <i>
      <x v="39"/>
    </i>
    <i r="1">
      <x/>
      <x v="2"/>
    </i>
    <i r="1">
      <x v="1"/>
      <x v="94"/>
    </i>
    <i r="1">
      <x v="2"/>
      <x/>
    </i>
    <i r="1">
      <x v="3"/>
      <x v="27"/>
    </i>
    <i r="1">
      <x v="4"/>
      <x v="93"/>
    </i>
    <i r="1">
      <x v="5"/>
      <x v="13"/>
    </i>
    <i r="2">
      <x v="61"/>
    </i>
    <i r="1">
      <x v="7"/>
      <x v="4"/>
    </i>
    <i r="2">
      <x v="14"/>
    </i>
    <i r="1">
      <x v="9"/>
      <x v="1"/>
    </i>
    <i r="2">
      <x v="62"/>
    </i>
    <i r="2">
      <x v="88"/>
    </i>
    <i r="1">
      <x v="12"/>
      <x v="8"/>
    </i>
    <i r="2">
      <x v="9"/>
    </i>
    <i r="1">
      <x v="14"/>
      <x v="17"/>
    </i>
    <i r="2">
      <x v="59"/>
    </i>
    <i r="2">
      <x v="83"/>
    </i>
    <i r="2">
      <x v="85"/>
    </i>
    <i r="1">
      <x v="18"/>
      <x v="3"/>
    </i>
    <i r="2">
      <x v="5"/>
    </i>
    <i r="2">
      <x v="12"/>
    </i>
    <i r="2">
      <x v="24"/>
    </i>
    <i r="2">
      <x v="26"/>
    </i>
    <i r="2">
      <x v="49"/>
    </i>
    <i r="2">
      <x v="69"/>
    </i>
    <i r="2">
      <x v="98"/>
    </i>
    <i r="2">
      <x v="100"/>
    </i>
    <i t="blank">
      <x v="39"/>
    </i>
    <i>
      <x v="40"/>
    </i>
    <i r="1">
      <x/>
      <x v="2"/>
    </i>
    <i r="1">
      <x v="1"/>
      <x v="94"/>
    </i>
    <i r="1">
      <x v="2"/>
      <x v="22"/>
    </i>
    <i r="1">
      <x v="3"/>
      <x v="1"/>
    </i>
    <i r="2">
      <x v="61"/>
    </i>
    <i r="1">
      <x v="5"/>
      <x v="4"/>
    </i>
    <i r="2">
      <x v="17"/>
    </i>
    <i r="1">
      <x v="7"/>
      <x/>
    </i>
    <i r="2">
      <x v="5"/>
    </i>
    <i r="2">
      <x v="8"/>
    </i>
    <i r="2">
      <x v="9"/>
    </i>
    <i r="2">
      <x v="14"/>
    </i>
    <i r="2">
      <x v="16"/>
    </i>
    <i r="2">
      <x v="25"/>
    </i>
    <i r="2">
      <x v="27"/>
    </i>
    <i r="2">
      <x v="46"/>
    </i>
    <i r="2">
      <x v="48"/>
    </i>
    <i r="2">
      <x v="51"/>
    </i>
    <i r="2">
      <x v="58"/>
    </i>
    <i r="2">
      <x v="59"/>
    </i>
    <i r="2">
      <x v="80"/>
    </i>
    <i r="2">
      <x v="86"/>
    </i>
    <i r="2">
      <x v="91"/>
    </i>
    <i r="2">
      <x v="93"/>
    </i>
    <i t="blank">
      <x v="40"/>
    </i>
    <i>
      <x v="41"/>
    </i>
    <i r="1">
      <x/>
      <x v="94"/>
    </i>
    <i r="1">
      <x v="1"/>
      <x/>
    </i>
    <i r="2">
      <x v="93"/>
    </i>
    <i r="1">
      <x v="3"/>
      <x v="88"/>
    </i>
    <i r="1">
      <x v="4"/>
      <x v="2"/>
    </i>
    <i r="2">
      <x v="98"/>
    </i>
    <i r="2">
      <x v="100"/>
    </i>
    <i r="2">
      <x v="104"/>
    </i>
    <i r="1">
      <x v="8"/>
      <x v="62"/>
    </i>
    <i r="1">
      <x v="9"/>
      <x v="56"/>
    </i>
    <i r="2">
      <x v="69"/>
    </i>
    <i r="1">
      <x v="11"/>
      <x v="61"/>
    </i>
    <i r="2">
      <x v="86"/>
    </i>
    <i r="1">
      <x v="13"/>
      <x v="65"/>
    </i>
    <i r="2">
      <x v="82"/>
    </i>
    <i r="2">
      <x v="83"/>
    </i>
    <i r="2">
      <x v="92"/>
    </i>
    <i r="1">
      <x v="17"/>
      <x v="1"/>
    </i>
    <i r="2">
      <x v="3"/>
    </i>
    <i r="2">
      <x v="5"/>
    </i>
    <i r="2">
      <x v="14"/>
    </i>
    <i r="2">
      <x v="59"/>
    </i>
    <i r="2">
      <x v="91"/>
    </i>
    <i t="blank">
      <x v="41"/>
    </i>
    <i>
      <x v="42"/>
    </i>
    <i r="1">
      <x/>
      <x v="81"/>
    </i>
    <i r="1">
      <x v="1"/>
      <x v="80"/>
    </i>
    <i r="1">
      <x v="2"/>
      <x v="82"/>
    </i>
    <i r="2">
      <x v="88"/>
    </i>
    <i r="1">
      <x v="4"/>
      <x v="60"/>
    </i>
    <i r="2">
      <x v="61"/>
    </i>
    <i r="1">
      <x v="6"/>
      <x v="84"/>
    </i>
    <i r="2">
      <x v="96"/>
    </i>
    <i r="1">
      <x v="8"/>
      <x v="69"/>
    </i>
    <i r="1">
      <x v="9"/>
      <x v="3"/>
    </i>
    <i r="2">
      <x v="59"/>
    </i>
    <i r="1">
      <x v="11"/>
      <x v="66"/>
    </i>
    <i r="2">
      <x v="90"/>
    </i>
    <i r="2">
      <x v="104"/>
    </i>
    <i r="1">
      <x v="14"/>
      <x v="1"/>
    </i>
    <i r="2">
      <x v="15"/>
    </i>
    <i r="2">
      <x v="62"/>
    </i>
    <i r="2">
      <x v="65"/>
    </i>
    <i r="2">
      <x v="83"/>
    </i>
    <i r="2">
      <x v="86"/>
    </i>
    <i r="2">
      <x v="89"/>
    </i>
    <i r="2">
      <x v="100"/>
    </i>
    <i r="2">
      <x v="103"/>
    </i>
    <i t="blank">
      <x v="42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7" baseField="0" baseItem="0" numFmtId="176"/>
    <dataField name="総数／構成比" fld="8" baseField="0" baseItem="0" numFmtId="178"/>
    <dataField name="個人／事業所数" fld="9" baseField="0" baseItem="0" numFmtId="176"/>
    <dataField name="個人／構成比" fld="10" baseField="0" baseItem="0" numFmtId="178"/>
    <dataField name="法人／事業所数" fld="11" baseField="0" baseItem="0" numFmtId="176"/>
    <dataField name="法人／構成比" fld="12" baseField="0" baseItem="0" numFmtId="178"/>
    <dataField name="法人以外の団体／事業所数" fld="13" baseField="0" baseItem="0" numFmtId="176"/>
  </dataFields>
  <formats count="17">
    <format dxfId="618">
      <pivotArea field="2" type="button" dataOnly="0" labelOnly="1" outline="0" axis="axisRow" fieldPosition="0"/>
    </format>
    <format dxfId="617">
      <pivotArea outline="0" fieldPosition="0">
        <references count="1">
          <reference field="4294967294" count="1">
            <x v="0"/>
          </reference>
        </references>
      </pivotArea>
    </format>
    <format dxfId="616">
      <pivotArea outline="0" fieldPosition="0">
        <references count="1">
          <reference field="4294967294" count="1">
            <x v="1"/>
          </reference>
        </references>
      </pivotArea>
    </format>
    <format dxfId="615">
      <pivotArea outline="0" fieldPosition="0">
        <references count="1">
          <reference field="4294967294" count="1">
            <x v="2"/>
          </reference>
        </references>
      </pivotArea>
    </format>
    <format dxfId="614">
      <pivotArea outline="0" fieldPosition="0">
        <references count="1">
          <reference field="4294967294" count="1">
            <x v="3"/>
          </reference>
        </references>
      </pivotArea>
    </format>
    <format dxfId="613">
      <pivotArea outline="0" fieldPosition="0">
        <references count="1">
          <reference field="4294967294" count="1">
            <x v="4"/>
          </reference>
        </references>
      </pivotArea>
    </format>
    <format dxfId="612">
      <pivotArea outline="0" fieldPosition="0">
        <references count="1">
          <reference field="4294967294" count="1">
            <x v="5"/>
          </reference>
        </references>
      </pivotArea>
    </format>
    <format dxfId="611">
      <pivotArea outline="0" fieldPosition="0">
        <references count="1">
          <reference field="4294967294" count="1">
            <x v="6"/>
          </reference>
        </references>
      </pivotArea>
    </format>
    <format dxfId="610">
      <pivotArea field="2" type="button" dataOnly="0" labelOnly="1" outline="0" axis="axisRow" fieldPosition="0"/>
    </format>
    <format dxfId="609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08">
      <pivotArea field="2" type="button" dataOnly="0" labelOnly="1" outline="0" axis="axisRow" fieldPosition="0"/>
    </format>
    <format dxfId="607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06">
      <pivotArea field="2" type="button" dataOnly="0" labelOnly="1" outline="0" axis="axisRow" fieldPosition="0"/>
    </format>
    <format dxfId="605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04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03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02">
      <pivotArea field="5" type="button" dataOnly="0" labelOnly="1" outline="0" axis="axisRow" fieldPosition="2"/>
    </format>
  </formats>
  <pivotTableStyleInfo name="PivotStyleLight22" showRowHeaders="0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4B5AC5C-C23F-4C71-8412-240D4FCD827D}" name="LTBL_21000" displayName="LTBL_21000" ref="B4:I20" totalsRowCount="1">
  <autoFilter ref="B4:I19" xr:uid="{14B5AC5C-C23F-4C71-8412-240D4FCD827D}"/>
  <tableColumns count="8">
    <tableColumn id="9" xr3:uid="{EDD0D928-FB9C-430D-9B52-48D967D6041B}" name="産業大分類" totalsRowLabel="合計" totalsRowDxfId="601"/>
    <tableColumn id="10" xr3:uid="{FE5E8923-B5FB-454C-9CAA-E5945A671691}" name="総数／事業所数" totalsRowFunction="custom" totalsRowDxfId="600" dataCellStyle="桁区切り" totalsRowCellStyle="桁区切り">
      <totalsRowFormula>SUM(LTBL_21000[総数／事業所数])</totalsRowFormula>
    </tableColumn>
    <tableColumn id="11" xr3:uid="{9F1967F2-4FB5-4249-9A58-A9E0C68153D2}" name="総数／構成比" dataDxfId="599"/>
    <tableColumn id="12" xr3:uid="{72D2B280-6E5E-4454-BC62-B850BEBCD75A}" name="個人／事業所数" totalsRowFunction="sum" totalsRowDxfId="598" dataCellStyle="桁区切り" totalsRowCellStyle="桁区切り"/>
    <tableColumn id="13" xr3:uid="{B00D1BE8-A08D-487B-B0B2-1A74FF6BA2AC}" name="個人／構成比" dataDxfId="597"/>
    <tableColumn id="14" xr3:uid="{9090F76D-9666-491A-A4BC-D94C04D4F52B}" name="法人／事業所数" totalsRowFunction="sum" totalsRowDxfId="596" dataCellStyle="桁区切り" totalsRowCellStyle="桁区切り"/>
    <tableColumn id="15" xr3:uid="{05F2F0C7-FC0C-4724-A65E-6070CFDD1E2C}" name="法人／構成比" dataDxfId="595"/>
    <tableColumn id="16" xr3:uid="{FE3B7675-1216-4D07-86D1-4B9F47044259}" name="法人以外の団体／事業所数" totalsRowFunction="sum" totalsRowDxfId="594" dataCellStyle="桁区切り" totalsRowCellStyle="桁区切り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AABE7F33-D994-4F7B-8394-5612CE7011EF}" name="LTBL_21203" displayName="LTBL_21203" ref="B4:I20" totalsRowCount="1">
  <autoFilter ref="B4:I19" xr:uid="{AABE7F33-D994-4F7B-8394-5612CE7011EF}"/>
  <tableColumns count="8">
    <tableColumn id="9" xr3:uid="{C429AF2C-A6FD-4868-8E46-1AEDA6B0503C}" name="産業大分類" totalsRowLabel="合計" totalsRowDxfId="559"/>
    <tableColumn id="10" xr3:uid="{7B33D6F6-B40D-4863-A13A-47AB28411EAA}" name="総数／事業所数" totalsRowFunction="custom" totalsRowDxfId="558" dataCellStyle="桁区切り" totalsRowCellStyle="桁区切り">
      <totalsRowFormula>SUM(LTBL_21203[総数／事業所数])</totalsRowFormula>
    </tableColumn>
    <tableColumn id="11" xr3:uid="{809478F7-0FF2-4839-ADAC-F99882EC3E90}" name="総数／構成比" dataDxfId="557"/>
    <tableColumn id="12" xr3:uid="{2DDA76C0-356D-439D-A8E1-1199A9423086}" name="個人／事業所数" totalsRowFunction="sum" totalsRowDxfId="556" dataCellStyle="桁区切り" totalsRowCellStyle="桁区切り"/>
    <tableColumn id="13" xr3:uid="{1D4F21AC-1C83-44F6-B1AA-63454587BF6C}" name="個人／構成比" dataDxfId="555"/>
    <tableColumn id="14" xr3:uid="{0B05080C-7A95-42BB-8692-07E7689D96A1}" name="法人／事業所数" totalsRowFunction="sum" totalsRowDxfId="554" dataCellStyle="桁区切り" totalsRowCellStyle="桁区切り"/>
    <tableColumn id="15" xr3:uid="{7F404DE4-C8F9-44EC-A0F7-2F6D88D2C49E}" name="法人／構成比" dataDxfId="553"/>
    <tableColumn id="16" xr3:uid="{C21D00C0-CDCB-42FC-8FDB-FD7180CB9178}" name="法人以外の団体／事業所数" totalsRowFunction="sum" totalsRowDxfId="552" dataCellStyle="桁区切り" totalsRowCellStyle="桁区切り"/>
  </tableColumns>
  <tableStyleInfo name="TableStyleMedium9" showFirstColumn="0" showLastColumn="0" showRowStripes="1" showColumnStripes="0"/>
</table>
</file>

<file path=xl/tables/table10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0" xr:uid="{B4F29D03-AA43-4B9A-AF72-96BE4928FCF1}" name="LTBL_21421" displayName="LTBL_21421" ref="B4:I20" totalsRowCount="1">
  <autoFilter ref="B4:I19" xr:uid="{B4F29D03-AA43-4B9A-AF72-96BE4928FCF1}"/>
  <tableColumns count="8">
    <tableColumn id="9" xr3:uid="{9F2C73A3-8C4B-405C-92EE-03407F713B1E}" name="産業大分類" totalsRowLabel="合計" totalsRowDxfId="139"/>
    <tableColumn id="10" xr3:uid="{3D5F2ADE-A98C-493A-8CF5-70CDEE1954CE}" name="総数／事業所数" totalsRowFunction="custom" totalsRowDxfId="138" dataCellStyle="桁区切り" totalsRowCellStyle="桁区切り">
      <totalsRowFormula>SUM(LTBL_21421[総数／事業所数])</totalsRowFormula>
    </tableColumn>
    <tableColumn id="11" xr3:uid="{93D769BF-1AF2-46CF-95A5-864F10BDFDA4}" name="総数／構成比" dataDxfId="137"/>
    <tableColumn id="12" xr3:uid="{61F07BCD-5E33-4C35-9BD1-78F84336B84D}" name="個人／事業所数" totalsRowFunction="sum" totalsRowDxfId="136" dataCellStyle="桁区切り" totalsRowCellStyle="桁区切り"/>
    <tableColumn id="13" xr3:uid="{638B3531-84C6-4AAA-8011-2A87265371B2}" name="個人／構成比" dataDxfId="135"/>
    <tableColumn id="14" xr3:uid="{2D9F2203-C2C1-41D7-AC31-30A8D7FE751E}" name="法人／事業所数" totalsRowFunction="sum" totalsRowDxfId="134" dataCellStyle="桁区切り" totalsRowCellStyle="桁区切り"/>
    <tableColumn id="15" xr3:uid="{F2FFB264-2245-4F38-BF62-D86CABD74B39}" name="法人／構成比" dataDxfId="133"/>
    <tableColumn id="16" xr3:uid="{E0C40E1C-CC88-4A96-93F7-E3F3E3B9291B}" name="法人以外の団体／事業所数" totalsRowFunction="sum" totalsRowDxfId="132" dataCellStyle="桁区切り" totalsRowCellStyle="桁区切り"/>
  </tableColumns>
  <tableStyleInfo name="TableStyleMedium9" showFirstColumn="0" showLastColumn="0" showRowStripes="1" showColumnStripes="0"/>
</table>
</file>

<file path=xl/tables/table10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1" xr:uid="{B62881DC-3CEF-4A43-A0E9-FFBFC7A9BF28}" name="M_TABLE_21421" displayName="M_TABLE_21421" ref="B23:I43" totalsRowShown="0">
  <autoFilter ref="B23:I43" xr:uid="{B62881DC-3CEF-4A43-A0E9-FFBFC7A9BF28}"/>
  <tableColumns count="8">
    <tableColumn id="9" xr3:uid="{593AEFC8-6C3D-4B3B-B913-29A9D5D7BA77}" name="産業中分類上位２０"/>
    <tableColumn id="10" xr3:uid="{98AE1D3E-5E44-4B76-9AA8-1885DA2B9021}" name="総数／事業所数" dataCellStyle="桁区切り"/>
    <tableColumn id="11" xr3:uid="{EC46345D-1629-44A5-B59B-4869334EE9BC}" name="総数／構成比" dataDxfId="131"/>
    <tableColumn id="12" xr3:uid="{2969825C-5472-4A96-B7D2-E928B012D991}" name="個人／事業所数" dataCellStyle="桁区切り"/>
    <tableColumn id="13" xr3:uid="{B0608CF7-FCC4-4783-BA88-66C38AFC1301}" name="個人／構成比" dataDxfId="130"/>
    <tableColumn id="14" xr3:uid="{E4F686F3-DCD2-4AF1-9DDE-53ECB016054D}" name="法人／事業所数" dataCellStyle="桁区切り"/>
    <tableColumn id="15" xr3:uid="{FBEBBB77-E13B-4DDD-8EA0-84F7CD74B9B9}" name="法人／構成比" dataDxfId="129"/>
    <tableColumn id="16" xr3:uid="{8EEB386A-C411-467C-80F8-1785A063F660}" name="法人以外の団体／事業所数" dataCellStyle="桁区切り"/>
  </tableColumns>
  <tableStyleInfo name="TableStyleMedium9" showFirstColumn="0" showLastColumn="0" showRowStripes="1" showColumnStripes="0"/>
</table>
</file>

<file path=xl/tables/table10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2" xr:uid="{0A8AF5D6-4CD5-49DA-B2C7-FD06D2A95B69}" name="S_TABLE_21421" displayName="S_TABLE_21421" ref="B46:I68" totalsRowShown="0">
  <autoFilter ref="B46:I68" xr:uid="{0A8AF5D6-4CD5-49DA-B2C7-FD06D2A95B69}"/>
  <tableColumns count="8">
    <tableColumn id="9" xr3:uid="{E3DB8B7B-9822-41A4-A279-889D3F352EAB}" name="産業小分類上位２０"/>
    <tableColumn id="10" xr3:uid="{2D5B1B4D-5093-4E3F-A3F0-991F483520D7}" name="総数／事業所数" dataCellStyle="桁区切り"/>
    <tableColumn id="11" xr3:uid="{26F670C5-5B86-42C3-AC5E-6EC3B628F376}" name="総数／構成比" dataDxfId="128"/>
    <tableColumn id="12" xr3:uid="{5F3830B8-2871-4AFF-B2D5-1011A7B0CE06}" name="個人／事業所数" dataCellStyle="桁区切り"/>
    <tableColumn id="13" xr3:uid="{BB6759EA-9FAE-4A11-8697-0961DC2F835C}" name="個人／構成比" dataDxfId="127"/>
    <tableColumn id="14" xr3:uid="{7CC42268-4FFD-4E26-8CE1-C0D0318C2C99}" name="法人／事業所数" dataCellStyle="桁区切り"/>
    <tableColumn id="15" xr3:uid="{A0CE3C26-CBAC-4055-99FF-466D3B47DB4D}" name="法人／構成比" dataDxfId="126"/>
    <tableColumn id="16" xr3:uid="{04A1752E-545F-4CCA-A0EA-23B2B270356D}" name="法人以外の団体／事業所数" dataCellStyle="桁区切り"/>
  </tableColumns>
  <tableStyleInfo name="TableStyleMedium9" showFirstColumn="0" showLastColumn="0" showRowStripes="1" showColumnStripes="0"/>
</table>
</file>

<file path=xl/tables/table10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3" xr:uid="{22E9517E-4336-4D2A-A55E-E6CA366063F6}" name="LTBL_21501" displayName="LTBL_21501" ref="B4:I20" totalsRowCount="1">
  <autoFilter ref="B4:I19" xr:uid="{22E9517E-4336-4D2A-A55E-E6CA366063F6}"/>
  <tableColumns count="8">
    <tableColumn id="9" xr3:uid="{23EC0B2C-A3C1-40E1-8B23-4D5439CEF937}" name="産業大分類" totalsRowLabel="合計" totalsRowDxfId="125"/>
    <tableColumn id="10" xr3:uid="{F469517B-262B-482D-BE7B-E65143F4F7CB}" name="総数／事業所数" totalsRowFunction="custom" totalsRowDxfId="124" dataCellStyle="桁区切り" totalsRowCellStyle="桁区切り">
      <totalsRowFormula>SUM(LTBL_21501[総数／事業所数])</totalsRowFormula>
    </tableColumn>
    <tableColumn id="11" xr3:uid="{84457D7F-7FD2-4AA7-8CAF-94FDA3F30EB5}" name="総数／構成比" dataDxfId="123"/>
    <tableColumn id="12" xr3:uid="{E286AA58-50A8-42E1-815D-12EEF09B320D}" name="個人／事業所数" totalsRowFunction="sum" totalsRowDxfId="122" dataCellStyle="桁区切り" totalsRowCellStyle="桁区切り"/>
    <tableColumn id="13" xr3:uid="{8674F5FC-4D34-43B1-9B16-871CF9078EF2}" name="個人／構成比" dataDxfId="121"/>
    <tableColumn id="14" xr3:uid="{9812A8A9-BCD0-48CE-A986-0A9C34A8004F}" name="法人／事業所数" totalsRowFunction="sum" totalsRowDxfId="120" dataCellStyle="桁区切り" totalsRowCellStyle="桁区切り"/>
    <tableColumn id="15" xr3:uid="{C8F3A702-D840-440B-BE32-DDDB367F5F98}" name="法人／構成比" dataDxfId="119"/>
    <tableColumn id="16" xr3:uid="{74189EC5-4497-4C10-9623-5FF799C084CD}" name="法人以外の団体／事業所数" totalsRowFunction="sum" totalsRowDxfId="118" dataCellStyle="桁区切り" totalsRowCellStyle="桁区切り"/>
  </tableColumns>
  <tableStyleInfo name="TableStyleMedium9" showFirstColumn="0" showLastColumn="0" showRowStripes="1" showColumnStripes="0"/>
</table>
</file>

<file path=xl/tables/table10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4" xr:uid="{3BDD8CDE-1381-4439-91EA-D47DF9E83B31}" name="M_TABLE_21501" displayName="M_TABLE_21501" ref="B23:I45" totalsRowShown="0">
  <autoFilter ref="B23:I45" xr:uid="{3BDD8CDE-1381-4439-91EA-D47DF9E83B31}"/>
  <tableColumns count="8">
    <tableColumn id="9" xr3:uid="{30175091-6414-4BDE-B4E6-18D4E776815B}" name="産業中分類上位２０"/>
    <tableColumn id="10" xr3:uid="{4E815358-D11D-44F1-8D34-BDFAF5128468}" name="総数／事業所数" dataCellStyle="桁区切り"/>
    <tableColumn id="11" xr3:uid="{AFAA944B-BBE9-4E88-BE80-42331C299FF9}" name="総数／構成比" dataDxfId="117"/>
    <tableColumn id="12" xr3:uid="{FC819436-52D6-4FBB-BBFB-DE3B10F87353}" name="個人／事業所数" dataCellStyle="桁区切り"/>
    <tableColumn id="13" xr3:uid="{6CC44545-676E-41C2-9011-C78F0ABD17BA}" name="個人／構成比" dataDxfId="116"/>
    <tableColumn id="14" xr3:uid="{091F3303-93E9-4D8D-8441-52A3596AE503}" name="法人／事業所数" dataCellStyle="桁区切り"/>
    <tableColumn id="15" xr3:uid="{50CBF384-2D8D-47BA-A606-8034B3E65ABF}" name="法人／構成比" dataDxfId="115"/>
    <tableColumn id="16" xr3:uid="{4D8401C0-309E-4C1C-88FA-6EDC8D59B272}" name="法人以外の団体／事業所数" dataCellStyle="桁区切り"/>
  </tableColumns>
  <tableStyleInfo name="TableStyleMedium9" showFirstColumn="0" showLastColumn="0" showRowStripes="1" showColumnStripes="0"/>
</table>
</file>

<file path=xl/tables/table10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5" xr:uid="{5A4CD14A-67CA-4F20-9943-10C8CEA3B0D6}" name="S_TABLE_21501" displayName="S_TABLE_21501" ref="B48:I73" totalsRowShown="0">
  <autoFilter ref="B48:I73" xr:uid="{5A4CD14A-67CA-4F20-9943-10C8CEA3B0D6}"/>
  <tableColumns count="8">
    <tableColumn id="9" xr3:uid="{9987006F-4BED-4CC0-B777-D61CE2F1A702}" name="産業小分類上位２０"/>
    <tableColumn id="10" xr3:uid="{3C650F3E-BAFF-4CAC-BC51-DBA115D59772}" name="総数／事業所数" dataCellStyle="桁区切り"/>
    <tableColumn id="11" xr3:uid="{AFC29AB8-B5D8-4270-ABDC-8FF8219ECA07}" name="総数／構成比" dataDxfId="114"/>
    <tableColumn id="12" xr3:uid="{1FB3AB9C-8273-4F26-AF8C-FD769B82E809}" name="個人／事業所数" dataCellStyle="桁区切り"/>
    <tableColumn id="13" xr3:uid="{61D3C6AF-5DA8-4644-9C34-E5F9EAF755C0}" name="個人／構成比" dataDxfId="113"/>
    <tableColumn id="14" xr3:uid="{C4A730A2-103E-41B5-9A35-9E7D891B3FFD}" name="法人／事業所数" dataCellStyle="桁区切り"/>
    <tableColumn id="15" xr3:uid="{8A5BAA83-ED0F-4F88-992D-9F121C58D826}" name="法人／構成比" dataDxfId="112"/>
    <tableColumn id="16" xr3:uid="{1E99E0B1-3CD0-4925-8370-3B2B7E29DD3F}" name="法人以外の団体／事業所数" dataCellStyle="桁区切り"/>
  </tableColumns>
  <tableStyleInfo name="TableStyleMedium9" showFirstColumn="0" showLastColumn="0" showRowStripes="1" showColumnStripes="0"/>
</table>
</file>

<file path=xl/tables/table10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6" xr:uid="{C050B1C1-E73B-4261-BA97-8B61D8D920F9}" name="LTBL_21502" displayName="LTBL_21502" ref="B4:I20" totalsRowCount="1">
  <autoFilter ref="B4:I19" xr:uid="{C050B1C1-E73B-4261-BA97-8B61D8D920F9}"/>
  <tableColumns count="8">
    <tableColumn id="9" xr3:uid="{E8A0F11E-AFCA-4067-A2AF-4215492D29C1}" name="産業大分類" totalsRowLabel="合計" totalsRowDxfId="111"/>
    <tableColumn id="10" xr3:uid="{573C89A6-AD88-408A-8CC1-FE2C61E86D8B}" name="総数／事業所数" totalsRowFunction="custom" totalsRowDxfId="110" dataCellStyle="桁区切り" totalsRowCellStyle="桁区切り">
      <totalsRowFormula>SUM(LTBL_21502[総数／事業所数])</totalsRowFormula>
    </tableColumn>
    <tableColumn id="11" xr3:uid="{6FAEE1BC-C0C3-42B2-8E48-8C7698B0A37D}" name="総数／構成比" dataDxfId="109"/>
    <tableColumn id="12" xr3:uid="{FA254C49-9924-4A75-BE57-4C4CB3215E98}" name="個人／事業所数" totalsRowFunction="sum" totalsRowDxfId="108" dataCellStyle="桁区切り" totalsRowCellStyle="桁区切り"/>
    <tableColumn id="13" xr3:uid="{D1A99C7E-8F11-4080-9B5F-7C1383B7850D}" name="個人／構成比" dataDxfId="107"/>
    <tableColumn id="14" xr3:uid="{9B0CE0BE-FEFB-495F-888A-5D48773C82AD}" name="法人／事業所数" totalsRowFunction="sum" totalsRowDxfId="106" dataCellStyle="桁区切り" totalsRowCellStyle="桁区切り"/>
    <tableColumn id="15" xr3:uid="{CC315E06-F143-4CB1-BA05-EBBE2095ABC0}" name="法人／構成比" dataDxfId="105"/>
    <tableColumn id="16" xr3:uid="{A3CEA00F-8AF3-48AE-91DF-169C46CB2830}" name="法人以外の団体／事業所数" totalsRowFunction="sum" totalsRowDxfId="104" dataCellStyle="桁区切り" totalsRowCellStyle="桁区切り"/>
  </tableColumns>
  <tableStyleInfo name="TableStyleMedium9" showFirstColumn="0" showLastColumn="0" showRowStripes="1" showColumnStripes="0"/>
</table>
</file>

<file path=xl/tables/table10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7" xr:uid="{6979F369-E80A-4246-BABB-5BB7FBF15E90}" name="M_TABLE_21502" displayName="M_TABLE_21502" ref="B23:I49" totalsRowShown="0">
  <autoFilter ref="B23:I49" xr:uid="{6979F369-E80A-4246-BABB-5BB7FBF15E90}"/>
  <tableColumns count="8">
    <tableColumn id="9" xr3:uid="{B70D8FF8-008B-454A-AD83-180903B209D3}" name="産業中分類上位２０"/>
    <tableColumn id="10" xr3:uid="{F74D066E-9C73-4178-85D3-FE522EBA59DE}" name="総数／事業所数" dataCellStyle="桁区切り"/>
    <tableColumn id="11" xr3:uid="{A32C08BE-CF9A-4A0E-B62A-7979E622D93F}" name="総数／構成比" dataDxfId="103"/>
    <tableColumn id="12" xr3:uid="{2ED844B2-926B-4EF2-9762-71C1E7CB55B5}" name="個人／事業所数" dataCellStyle="桁区切り"/>
    <tableColumn id="13" xr3:uid="{AD2A53D8-B599-4E5D-9E81-70F3A9CFDD39}" name="個人／構成比" dataDxfId="102"/>
    <tableColumn id="14" xr3:uid="{9A618AE3-6475-4B2B-973F-B4B0131A21EB}" name="法人／事業所数" dataCellStyle="桁区切り"/>
    <tableColumn id="15" xr3:uid="{3D205784-4D61-4D48-A7C0-70826B763080}" name="法人／構成比" dataDxfId="101"/>
    <tableColumn id="16" xr3:uid="{AEF2FF1C-2F9A-4C0E-B425-48DE5A519C31}" name="法人以外の団体／事業所数" dataCellStyle="桁区切り"/>
  </tableColumns>
  <tableStyleInfo name="TableStyleMedium9" showFirstColumn="0" showLastColumn="0" showRowStripes="1" showColumnStripes="0"/>
</table>
</file>

<file path=xl/tables/table10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8" xr:uid="{2156DF7A-64A0-4CA2-B274-49A030CC820A}" name="S_TABLE_21502" displayName="S_TABLE_21502" ref="B52:I84" totalsRowShown="0">
  <autoFilter ref="B52:I84" xr:uid="{2156DF7A-64A0-4CA2-B274-49A030CC820A}"/>
  <tableColumns count="8">
    <tableColumn id="9" xr3:uid="{158A09CE-32DB-479B-8CF5-EA7D175BAC94}" name="産業小分類上位２０"/>
    <tableColumn id="10" xr3:uid="{A3AED211-E1F0-4339-86EB-20DD650C874E}" name="総数／事業所数" dataCellStyle="桁区切り"/>
    <tableColumn id="11" xr3:uid="{9F49BD2B-66AB-4A14-8963-25F5DB3728F8}" name="総数／構成比" dataDxfId="100"/>
    <tableColumn id="12" xr3:uid="{3F9ECE67-D245-49B2-B401-D37A78FF53C2}" name="個人／事業所数" dataCellStyle="桁区切り"/>
    <tableColumn id="13" xr3:uid="{9A928FC8-9DAC-4CC5-931B-792A91741182}" name="個人／構成比" dataDxfId="99"/>
    <tableColumn id="14" xr3:uid="{5DF993E5-CBA8-45B8-9968-82CD13892F64}" name="法人／事業所数" dataCellStyle="桁区切り"/>
    <tableColumn id="15" xr3:uid="{8B85840F-6517-4B51-B0E1-506D6A0DEB73}" name="法人／構成比" dataDxfId="98"/>
    <tableColumn id="16" xr3:uid="{89D08D1F-2E82-4F7B-92B4-594605DFF4F8}" name="法人以外の団体／事業所数" dataCellStyle="桁区切り"/>
  </tableColumns>
  <tableStyleInfo name="TableStyleMedium9" showFirstColumn="0" showLastColumn="0" showRowStripes="1" showColumnStripes="0"/>
</table>
</file>

<file path=xl/tables/table10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9" xr:uid="{221BFDAD-A0A9-4F3D-9213-658D2FFE8C9D}" name="LTBL_21503" displayName="LTBL_21503" ref="B4:I20" totalsRowCount="1">
  <autoFilter ref="B4:I19" xr:uid="{221BFDAD-A0A9-4F3D-9213-658D2FFE8C9D}"/>
  <tableColumns count="8">
    <tableColumn id="9" xr3:uid="{44DB4CFD-1AFB-4D13-AB14-4F08ADE92CA3}" name="産業大分類" totalsRowLabel="合計" totalsRowDxfId="97"/>
    <tableColumn id="10" xr3:uid="{CC6303DC-63B0-466A-ADC6-D265D4C4A530}" name="総数／事業所数" totalsRowFunction="custom" totalsRowDxfId="96" dataCellStyle="桁区切り" totalsRowCellStyle="桁区切り">
      <totalsRowFormula>SUM(LTBL_21503[総数／事業所数])</totalsRowFormula>
    </tableColumn>
    <tableColumn id="11" xr3:uid="{8703F16C-653D-4C72-BD1F-6782155F3547}" name="総数／構成比" dataDxfId="95"/>
    <tableColumn id="12" xr3:uid="{E803599F-1081-498C-B33E-EB090160F9F5}" name="個人／事業所数" totalsRowFunction="sum" totalsRowDxfId="94" dataCellStyle="桁区切り" totalsRowCellStyle="桁区切り"/>
    <tableColumn id="13" xr3:uid="{33F49A3B-FFD0-4AFF-B763-9D9F07D50C77}" name="個人／構成比" dataDxfId="93"/>
    <tableColumn id="14" xr3:uid="{0A55381D-E180-48B5-9F03-B6722D8FD987}" name="法人／事業所数" totalsRowFunction="sum" totalsRowDxfId="92" dataCellStyle="桁区切り" totalsRowCellStyle="桁区切り"/>
    <tableColumn id="15" xr3:uid="{D849BA07-82AF-4635-A169-5FB07FF1E16F}" name="法人／構成比" dataDxfId="91"/>
    <tableColumn id="16" xr3:uid="{A22B5820-C0C4-4576-8FA1-94758AAFED00}" name="法人以外の団体／事業所数" totalsRowFunction="sum" totalsRowDxfId="90" dataCellStyle="桁区切り" totalsRowCellStyle="桁区切り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6D4ADAD8-E529-43BE-A961-B73A146F0C2A}" name="M_TABLE_21203" displayName="M_TABLE_21203" ref="B23:I43" totalsRowShown="0">
  <autoFilter ref="B23:I43" xr:uid="{6D4ADAD8-E529-43BE-A961-B73A146F0C2A}"/>
  <tableColumns count="8">
    <tableColumn id="9" xr3:uid="{2AE2CE24-F3B0-4BA1-9C66-5DD31412AABC}" name="産業中分類上位２０"/>
    <tableColumn id="10" xr3:uid="{68C2398E-DCB7-46CF-9134-D96E3E0FDAE1}" name="総数／事業所数" dataCellStyle="桁区切り"/>
    <tableColumn id="11" xr3:uid="{B9DA0693-9302-4E49-B283-F629E600C2E6}" name="総数／構成比" dataDxfId="551"/>
    <tableColumn id="12" xr3:uid="{90ED82BC-3B78-4B70-93FD-B40142029E4D}" name="個人／事業所数" dataCellStyle="桁区切り"/>
    <tableColumn id="13" xr3:uid="{370182F3-90D8-422F-B495-C130C04C0D3A}" name="個人／構成比" dataDxfId="550"/>
    <tableColumn id="14" xr3:uid="{2B4B2275-44D0-490E-A1BC-3F9B1249269F}" name="法人／事業所数" dataCellStyle="桁区切り"/>
    <tableColumn id="15" xr3:uid="{CE0C4675-8AD2-42DB-82B9-F849D6A0888E}" name="法人／構成比" dataDxfId="549"/>
    <tableColumn id="16" xr3:uid="{1FB19992-2B2E-48F0-8B0E-E4E079EBD98D}" name="法人以外の団体／事業所数" dataCellStyle="桁区切り"/>
  </tableColumns>
  <tableStyleInfo name="TableStyleMedium9" showFirstColumn="0" showLastColumn="0" showRowStripes="1" showColumnStripes="0"/>
</table>
</file>

<file path=xl/tables/table1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0" xr:uid="{8248977F-9BAF-4AA9-AB17-4878C236DE1C}" name="M_TABLE_21503" displayName="M_TABLE_21503" ref="B23:I43" totalsRowShown="0">
  <autoFilter ref="B23:I43" xr:uid="{8248977F-9BAF-4AA9-AB17-4878C236DE1C}"/>
  <tableColumns count="8">
    <tableColumn id="9" xr3:uid="{565743A3-1D98-414C-A7F0-E04C1F7AC256}" name="産業中分類上位２０"/>
    <tableColumn id="10" xr3:uid="{FA862337-2BDD-4245-84CB-A89DB7462A90}" name="総数／事業所数" dataCellStyle="桁区切り"/>
    <tableColumn id="11" xr3:uid="{701EEE0A-3C8E-4FEE-8DF6-55791FE3E629}" name="総数／構成比" dataDxfId="89"/>
    <tableColumn id="12" xr3:uid="{6A1A4C0E-8B39-4EF6-B44F-E30C83D830C8}" name="個人／事業所数" dataCellStyle="桁区切り"/>
    <tableColumn id="13" xr3:uid="{56884921-4D4D-4079-A74F-5122CDE83419}" name="個人／構成比" dataDxfId="88"/>
    <tableColumn id="14" xr3:uid="{0C17960B-8AA6-4E92-9F3B-052E2ED145D7}" name="法人／事業所数" dataCellStyle="桁区切り"/>
    <tableColumn id="15" xr3:uid="{63367BE2-C3B5-4ACA-9808-62856B1050A8}" name="法人／構成比" dataDxfId="87"/>
    <tableColumn id="16" xr3:uid="{34BD19AA-1CF8-482A-AB9B-AABD954B89CE}" name="法人以外の団体／事業所数" dataCellStyle="桁区切り"/>
  </tableColumns>
  <tableStyleInfo name="TableStyleMedium9" showFirstColumn="0" showLastColumn="0" showRowStripes="1" showColumnStripes="0"/>
</table>
</file>

<file path=xl/tables/table1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1" xr:uid="{A0C4C0C7-4BE2-4C45-9022-04C5DB62A870}" name="S_TABLE_21503" displayName="S_TABLE_21503" ref="B46:I67" totalsRowShown="0">
  <autoFilter ref="B46:I67" xr:uid="{A0C4C0C7-4BE2-4C45-9022-04C5DB62A870}"/>
  <tableColumns count="8">
    <tableColumn id="9" xr3:uid="{668585D4-C7DB-49F7-8216-150F637EBAB5}" name="産業小分類上位２０"/>
    <tableColumn id="10" xr3:uid="{8FB13D79-3CF9-460F-923B-A3948A9F8282}" name="総数／事業所数" dataCellStyle="桁区切り"/>
    <tableColumn id="11" xr3:uid="{875BC0E4-FEDB-4FBA-A070-AAFB11FF60EB}" name="総数／構成比" dataDxfId="86"/>
    <tableColumn id="12" xr3:uid="{854BD083-5655-43A6-B8B3-7EF42560B392}" name="個人／事業所数" dataCellStyle="桁区切り"/>
    <tableColumn id="13" xr3:uid="{3C457D4B-4778-4AA2-A1FA-36F3C6544B54}" name="個人／構成比" dataDxfId="85"/>
    <tableColumn id="14" xr3:uid="{5C9617F0-2948-4F56-B97A-1AAD4E7C50DE}" name="法人／事業所数" dataCellStyle="桁区切り"/>
    <tableColumn id="15" xr3:uid="{FE16242D-CF22-4CD1-BA9E-51407DF3CDC6}" name="法人／構成比" dataDxfId="84"/>
    <tableColumn id="16" xr3:uid="{E03A16AC-1396-490F-85C5-9161FA75CBBA}" name="法人以外の団体／事業所数" dataCellStyle="桁区切り"/>
  </tableColumns>
  <tableStyleInfo name="TableStyleMedium9" showFirstColumn="0" showLastColumn="0" showRowStripes="1" showColumnStripes="0"/>
</table>
</file>

<file path=xl/tables/table1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2" xr:uid="{036E6395-A9F6-4651-A9AD-C75020634338}" name="LTBL_21504" displayName="LTBL_21504" ref="B4:I20" totalsRowCount="1">
  <autoFilter ref="B4:I19" xr:uid="{036E6395-A9F6-4651-A9AD-C75020634338}"/>
  <tableColumns count="8">
    <tableColumn id="9" xr3:uid="{7EF5BAC5-F44C-41FB-B4FE-41FF31224354}" name="産業大分類" totalsRowLabel="合計" totalsRowDxfId="83"/>
    <tableColumn id="10" xr3:uid="{1A8E5271-7422-45C0-80CC-180F1CD68685}" name="総数／事業所数" totalsRowFunction="custom" totalsRowDxfId="82" dataCellStyle="桁区切り" totalsRowCellStyle="桁区切り">
      <totalsRowFormula>SUM(LTBL_21504[総数／事業所数])</totalsRowFormula>
    </tableColumn>
    <tableColumn id="11" xr3:uid="{729399B3-541F-483D-92A7-466C491A3FFA}" name="総数／構成比" dataDxfId="81"/>
    <tableColumn id="12" xr3:uid="{5225BD97-63D3-4445-BAC5-04731B0FF905}" name="個人／事業所数" totalsRowFunction="sum" totalsRowDxfId="80" dataCellStyle="桁区切り" totalsRowCellStyle="桁区切り"/>
    <tableColumn id="13" xr3:uid="{56C5C7DC-4120-4788-8DB2-156DDD53F3ED}" name="個人／構成比" dataDxfId="79"/>
    <tableColumn id="14" xr3:uid="{7953737F-C1AC-4D94-9769-76314C162449}" name="法人／事業所数" totalsRowFunction="sum" totalsRowDxfId="78" dataCellStyle="桁区切り" totalsRowCellStyle="桁区切り"/>
    <tableColumn id="15" xr3:uid="{D9D732D3-74C8-4EBD-B757-E4131971EDB7}" name="法人／構成比" dataDxfId="77"/>
    <tableColumn id="16" xr3:uid="{5CB8381A-1F1E-4636-B621-BE42B90B21C4}" name="法人以外の団体／事業所数" totalsRowFunction="sum" totalsRowDxfId="76" dataCellStyle="桁区切り" totalsRowCellStyle="桁区切り"/>
  </tableColumns>
  <tableStyleInfo name="TableStyleMedium9" showFirstColumn="0" showLastColumn="0" showRowStripes="1" showColumnStripes="0"/>
</table>
</file>

<file path=xl/tables/table1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3" xr:uid="{BD36002F-38EF-4AE7-913C-AEAA6B4DED79}" name="M_TABLE_21504" displayName="M_TABLE_21504" ref="B23:I43" totalsRowShown="0">
  <autoFilter ref="B23:I43" xr:uid="{BD36002F-38EF-4AE7-913C-AEAA6B4DED79}"/>
  <tableColumns count="8">
    <tableColumn id="9" xr3:uid="{6166A526-36A9-4547-B890-65D032135905}" name="産業中分類上位２０"/>
    <tableColumn id="10" xr3:uid="{E0E92F56-0FF2-488D-955D-6D4307294C6C}" name="総数／事業所数" dataCellStyle="桁区切り"/>
    <tableColumn id="11" xr3:uid="{537837A6-17F7-4EB9-A6EB-26692E03A554}" name="総数／構成比" dataDxfId="75"/>
    <tableColumn id="12" xr3:uid="{00EEC2F7-6B72-48B1-A157-F590C4CD400F}" name="個人／事業所数" dataCellStyle="桁区切り"/>
    <tableColumn id="13" xr3:uid="{3E4ADAB4-ABCA-47CC-86AF-B01DFE0DD849}" name="個人／構成比" dataDxfId="74"/>
    <tableColumn id="14" xr3:uid="{7BCD1826-E8F6-43CF-B232-0216FF1C0A31}" name="法人／事業所数" dataCellStyle="桁区切り"/>
    <tableColumn id="15" xr3:uid="{72634E45-ACFC-4274-8585-468376C6502E}" name="法人／構成比" dataDxfId="73"/>
    <tableColumn id="16" xr3:uid="{2D8BC67C-2551-42C2-9DC8-BF6139C12ED7}" name="法人以外の団体／事業所数" dataCellStyle="桁区切り"/>
  </tableColumns>
  <tableStyleInfo name="TableStyleMedium9" showFirstColumn="0" showLastColumn="0" showRowStripes="1" showColumnStripes="0"/>
</table>
</file>

<file path=xl/tables/table1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4" xr:uid="{0AE9648C-867F-4EED-8609-FDA9365A6B9B}" name="S_TABLE_21504" displayName="S_TABLE_21504" ref="B46:I75" totalsRowShown="0">
  <autoFilter ref="B46:I75" xr:uid="{0AE9648C-867F-4EED-8609-FDA9365A6B9B}"/>
  <tableColumns count="8">
    <tableColumn id="9" xr3:uid="{4BD18307-CF67-4968-9974-2DA64D310CBA}" name="産業小分類上位２０"/>
    <tableColumn id="10" xr3:uid="{C0EFB5EF-6555-4D43-92F8-24486F0A32C6}" name="総数／事業所数" dataCellStyle="桁区切り"/>
    <tableColumn id="11" xr3:uid="{385C5A0A-4A6D-453B-AC85-052E65912373}" name="総数／構成比" dataDxfId="72"/>
    <tableColumn id="12" xr3:uid="{5AEE2293-15F5-4DC4-9633-CB986ED35EA9}" name="個人／事業所数" dataCellStyle="桁区切り"/>
    <tableColumn id="13" xr3:uid="{5E89EB25-0EED-4BB3-AA65-05EC2B1761D6}" name="個人／構成比" dataDxfId="71"/>
    <tableColumn id="14" xr3:uid="{BFFD7901-07D0-4E1D-BFC6-194764DBAC5D}" name="法人／事業所数" dataCellStyle="桁区切り"/>
    <tableColumn id="15" xr3:uid="{33F695C1-D268-4A8E-B691-1A12A82493DA}" name="法人／構成比" dataDxfId="70"/>
    <tableColumn id="16" xr3:uid="{4F26862A-9F5D-44C1-820F-DD43F04604B8}" name="法人以外の団体／事業所数" dataCellStyle="桁区切り"/>
  </tableColumns>
  <tableStyleInfo name="TableStyleMedium9" showFirstColumn="0" showLastColumn="0" showRowStripes="1" showColumnStripes="0"/>
</table>
</file>

<file path=xl/tables/table1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5" xr:uid="{3E0A899F-C26C-4BD8-A9D1-2862EC42B160}" name="LTBL_21505" displayName="LTBL_21505" ref="B4:I20" totalsRowCount="1">
  <autoFilter ref="B4:I19" xr:uid="{3E0A899F-C26C-4BD8-A9D1-2862EC42B160}"/>
  <tableColumns count="8">
    <tableColumn id="9" xr3:uid="{AF63F1B3-BF30-4138-BAB1-78E0CB028358}" name="産業大分類" totalsRowLabel="合計" totalsRowDxfId="69"/>
    <tableColumn id="10" xr3:uid="{F4FDB270-FB09-4133-90A0-6BEE7A627F80}" name="総数／事業所数" totalsRowFunction="custom" totalsRowDxfId="68" dataCellStyle="桁区切り" totalsRowCellStyle="桁区切り">
      <totalsRowFormula>SUM(LTBL_21505[総数／事業所数])</totalsRowFormula>
    </tableColumn>
    <tableColumn id="11" xr3:uid="{497E81DC-47F8-4622-B990-4CFC9D20C690}" name="総数／構成比" dataDxfId="67"/>
    <tableColumn id="12" xr3:uid="{9EA47CDC-C636-4771-A89E-7318B29DDCAF}" name="個人／事業所数" totalsRowFunction="sum" totalsRowDxfId="66" dataCellStyle="桁区切り" totalsRowCellStyle="桁区切り"/>
    <tableColumn id="13" xr3:uid="{D4F39133-1EBE-4690-BC95-0590717026B5}" name="個人／構成比" dataDxfId="65"/>
    <tableColumn id="14" xr3:uid="{7F6BF287-C554-4874-85F9-F74B4FD4B691}" name="法人／事業所数" totalsRowFunction="sum" totalsRowDxfId="64" dataCellStyle="桁区切り" totalsRowCellStyle="桁区切り"/>
    <tableColumn id="15" xr3:uid="{2E8D4590-A81E-4BCA-A13B-0ABFFB758A55}" name="法人／構成比" dataDxfId="63"/>
    <tableColumn id="16" xr3:uid="{7B2238FA-A638-4EFE-88A4-A996D36C612B}" name="法人以外の団体／事業所数" totalsRowFunction="sum" totalsRowDxfId="62" dataCellStyle="桁区切り" totalsRowCellStyle="桁区切り"/>
  </tableColumns>
  <tableStyleInfo name="TableStyleMedium9" showFirstColumn="0" showLastColumn="0" showRowStripes="1" showColumnStripes="0"/>
</table>
</file>

<file path=xl/tables/table1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6" xr:uid="{4C159BBE-5E56-45F1-BEC4-537C5F340DC7}" name="M_TABLE_21505" displayName="M_TABLE_21505" ref="B23:I44" totalsRowShown="0">
  <autoFilter ref="B23:I44" xr:uid="{4C159BBE-5E56-45F1-BEC4-537C5F340DC7}"/>
  <tableColumns count="8">
    <tableColumn id="9" xr3:uid="{403F0EA2-7205-4D00-AE33-C49B6058E5B4}" name="産業中分類上位２０"/>
    <tableColumn id="10" xr3:uid="{4D129ACA-4599-454B-A0C4-E670A6D2F99C}" name="総数／事業所数" dataCellStyle="桁区切り"/>
    <tableColumn id="11" xr3:uid="{9044BD84-1CA4-42B0-A4A5-886870F59080}" name="総数／構成比" dataDxfId="61"/>
    <tableColumn id="12" xr3:uid="{9A4E49EB-14D7-4EE3-BF3B-E6AC67B62017}" name="個人／事業所数" dataCellStyle="桁区切り"/>
    <tableColumn id="13" xr3:uid="{329286B7-9070-4D79-A249-1948337B6D7D}" name="個人／構成比" dataDxfId="60"/>
    <tableColumn id="14" xr3:uid="{8DCA286E-7D5A-479B-8951-5127F36BB2C8}" name="法人／事業所数" dataCellStyle="桁区切り"/>
    <tableColumn id="15" xr3:uid="{BAB5C2EE-2E23-4D93-9CAE-3AE7F35C2F99}" name="法人／構成比" dataDxfId="59"/>
    <tableColumn id="16" xr3:uid="{1432F9A3-C6C8-4E32-AF66-0E6077B41C9D}" name="法人以外の団体／事業所数" dataCellStyle="桁区切り"/>
  </tableColumns>
  <tableStyleInfo name="TableStyleMedium9" showFirstColumn="0" showLastColumn="0" showRowStripes="1" showColumnStripes="0"/>
</table>
</file>

<file path=xl/tables/table1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7" xr:uid="{C2B191B0-3D96-4419-B642-BC4CD4A40FD9}" name="S_TABLE_21505" displayName="S_TABLE_21505" ref="B47:I68" totalsRowShown="0">
  <autoFilter ref="B47:I68" xr:uid="{C2B191B0-3D96-4419-B642-BC4CD4A40FD9}"/>
  <tableColumns count="8">
    <tableColumn id="9" xr3:uid="{D5B0A5C9-A441-4C00-B5E5-6C1206F7365D}" name="産業小分類上位２０"/>
    <tableColumn id="10" xr3:uid="{A379638C-2446-43BB-872A-3F811E4B3C86}" name="総数／事業所数" dataCellStyle="桁区切り"/>
    <tableColumn id="11" xr3:uid="{AFD0E8BC-5609-40DD-ABCF-8533FC0C4D9D}" name="総数／構成比" dataDxfId="58"/>
    <tableColumn id="12" xr3:uid="{8A7D0375-458A-4B94-A40D-3B3D68E39C41}" name="個人／事業所数" dataCellStyle="桁区切り"/>
    <tableColumn id="13" xr3:uid="{2DCE98DA-C6B5-4A72-9E2A-04F563477BB6}" name="個人／構成比" dataDxfId="57"/>
    <tableColumn id="14" xr3:uid="{7E7F197E-835F-45F2-AE42-BD4AB751F865}" name="法人／事業所数" dataCellStyle="桁区切り"/>
    <tableColumn id="15" xr3:uid="{C819634B-4214-4AAB-B538-A4D2851CC1E9}" name="法人／構成比" dataDxfId="56"/>
    <tableColumn id="16" xr3:uid="{BF80880E-A987-4ADB-B008-BB6691BBD89C}" name="法人以外の団体／事業所数" dataCellStyle="桁区切り"/>
  </tableColumns>
  <tableStyleInfo name="TableStyleMedium9" showFirstColumn="0" showLastColumn="0" showRowStripes="1" showColumnStripes="0"/>
</table>
</file>

<file path=xl/tables/table1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8" xr:uid="{9C7B53BF-E7E1-493D-9163-3708B3A038FC}" name="LTBL_21506" displayName="LTBL_21506" ref="B4:I20" totalsRowCount="1">
  <autoFilter ref="B4:I19" xr:uid="{9C7B53BF-E7E1-493D-9163-3708B3A038FC}"/>
  <tableColumns count="8">
    <tableColumn id="9" xr3:uid="{768C66D6-852F-4C06-9E55-5E1D96F2E83E}" name="産業大分類" totalsRowLabel="合計" totalsRowDxfId="55"/>
    <tableColumn id="10" xr3:uid="{38B5BFC3-ED78-4E64-8A39-F019B9BD869C}" name="総数／事業所数" totalsRowFunction="custom" totalsRowDxfId="54" dataCellStyle="桁区切り" totalsRowCellStyle="桁区切り">
      <totalsRowFormula>SUM(LTBL_21506[総数／事業所数])</totalsRowFormula>
    </tableColumn>
    <tableColumn id="11" xr3:uid="{5C174D67-1416-47E3-A414-297CF12468B1}" name="総数／構成比" dataDxfId="53"/>
    <tableColumn id="12" xr3:uid="{4EF7A667-2FE2-400D-BC24-DCEF11F7A845}" name="個人／事業所数" totalsRowFunction="sum" totalsRowDxfId="52" dataCellStyle="桁区切り" totalsRowCellStyle="桁区切り"/>
    <tableColumn id="13" xr3:uid="{C8536046-F297-49AD-A172-F0C046E87541}" name="個人／構成比" dataDxfId="51"/>
    <tableColumn id="14" xr3:uid="{52C90B18-4A56-4F63-AAD1-776EEE0E22C6}" name="法人／事業所数" totalsRowFunction="sum" totalsRowDxfId="50" dataCellStyle="桁区切り" totalsRowCellStyle="桁区切り"/>
    <tableColumn id="15" xr3:uid="{013F33A1-FD58-4E68-8ECD-9E12D1180294}" name="法人／構成比" dataDxfId="49"/>
    <tableColumn id="16" xr3:uid="{A6937F70-B5E5-462A-A4F2-C8F5671F1C45}" name="法人以外の団体／事業所数" totalsRowFunction="sum" totalsRowDxfId="48" dataCellStyle="桁区切り" totalsRowCellStyle="桁区切り"/>
  </tableColumns>
  <tableStyleInfo name="TableStyleMedium9" showFirstColumn="0" showLastColumn="0" showRowStripes="1" showColumnStripes="0"/>
</table>
</file>

<file path=xl/tables/table1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9" xr:uid="{8541261B-CF20-4F84-A57B-0263CF1D56CD}" name="M_TABLE_21506" displayName="M_TABLE_21506" ref="B23:I47" totalsRowShown="0">
  <autoFilter ref="B23:I47" xr:uid="{8541261B-CF20-4F84-A57B-0263CF1D56CD}"/>
  <tableColumns count="8">
    <tableColumn id="9" xr3:uid="{2B5FDA08-DED5-42A4-828B-3F6D4DB8B7A3}" name="産業中分類上位２０"/>
    <tableColumn id="10" xr3:uid="{9BF779A1-8F14-45E0-9DE5-1E6DDBF4A4FF}" name="総数／事業所数" dataCellStyle="桁区切り"/>
    <tableColumn id="11" xr3:uid="{F2991504-1FE8-4B7C-A435-BF342A2B8952}" name="総数／構成比" dataDxfId="47"/>
    <tableColumn id="12" xr3:uid="{D91E815C-CEDF-4AD9-8FF5-B36EC6497E88}" name="個人／事業所数" dataCellStyle="桁区切り"/>
    <tableColumn id="13" xr3:uid="{F4089801-FAC6-4448-B9EC-F023D830475F}" name="個人／構成比" dataDxfId="46"/>
    <tableColumn id="14" xr3:uid="{2D2CC20E-2339-4CDC-866B-E7BBE2744672}" name="法人／事業所数" dataCellStyle="桁区切り"/>
    <tableColumn id="15" xr3:uid="{1A2A4541-8C51-4B72-871A-2446CDCF67C1}" name="法人／構成比" dataDxfId="45"/>
    <tableColumn id="16" xr3:uid="{4B57CEC5-93BE-486E-8961-AFAF31506AB8}" name="法人以外の団体／事業所数" dataCellStyle="桁区切り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52680BE1-7527-41AD-8796-74229DB6A5DB}" name="S_TABLE_21203" displayName="S_TABLE_21203" ref="B46:I67" totalsRowShown="0">
  <autoFilter ref="B46:I67" xr:uid="{52680BE1-7527-41AD-8796-74229DB6A5DB}"/>
  <tableColumns count="8">
    <tableColumn id="9" xr3:uid="{36C1AD87-4327-40CB-AE01-421C58ED2BB7}" name="産業小分類上位２０"/>
    <tableColumn id="10" xr3:uid="{A8927A2F-487B-417E-9E88-2A5BCD4199C8}" name="総数／事業所数" dataCellStyle="桁区切り"/>
    <tableColumn id="11" xr3:uid="{4C08C9B0-E58F-431F-8E80-9FCD5B7D4BFF}" name="総数／構成比" dataDxfId="548"/>
    <tableColumn id="12" xr3:uid="{730973AF-6602-4417-A238-A8338F12E378}" name="個人／事業所数" dataCellStyle="桁区切り"/>
    <tableColumn id="13" xr3:uid="{B772E99E-A356-4B34-87D7-F4DB86C4CADD}" name="個人／構成比" dataDxfId="547"/>
    <tableColumn id="14" xr3:uid="{3B126981-5815-49A4-883E-E901F786C8B5}" name="法人／事業所数" dataCellStyle="桁区切り"/>
    <tableColumn id="15" xr3:uid="{ABC79422-24E6-4E00-8DB8-FC04221C1BA9}" name="法人／構成比" dataDxfId="546"/>
    <tableColumn id="16" xr3:uid="{A338F5B6-D781-4761-A37C-6A046839968B}" name="法人以外の団体／事業所数" dataCellStyle="桁区切り"/>
  </tableColumns>
  <tableStyleInfo name="TableStyleMedium9" showFirstColumn="0" showLastColumn="0" showRowStripes="1" showColumnStripes="0"/>
</table>
</file>

<file path=xl/tables/table1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0" xr:uid="{54E3C17A-68B8-4DAD-99EE-2DDE7246D350}" name="S_TABLE_21506" displayName="S_TABLE_21506" ref="B50:I77" totalsRowShown="0">
  <autoFilter ref="B50:I77" xr:uid="{54E3C17A-68B8-4DAD-99EE-2DDE7246D350}"/>
  <tableColumns count="8">
    <tableColumn id="9" xr3:uid="{6A7FB9A7-DC53-49C6-9166-2D564D3DEB73}" name="産業小分類上位２０"/>
    <tableColumn id="10" xr3:uid="{F66683EE-5D13-42C1-A618-7BD2FFA3DDF0}" name="総数／事業所数" dataCellStyle="桁区切り"/>
    <tableColumn id="11" xr3:uid="{DFC9B308-F762-4B70-8DC4-0F7E7B457D1C}" name="総数／構成比" dataDxfId="44"/>
    <tableColumn id="12" xr3:uid="{47181388-D0E9-4511-B777-27AC088F59B9}" name="個人／事業所数" dataCellStyle="桁区切り"/>
    <tableColumn id="13" xr3:uid="{B3FA03C7-0309-4B15-92EB-0F2CE6145D91}" name="個人／構成比" dataDxfId="43"/>
    <tableColumn id="14" xr3:uid="{C97998FC-3A23-4C49-82BD-66BCDF348FF2}" name="法人／事業所数" dataCellStyle="桁区切り"/>
    <tableColumn id="15" xr3:uid="{88FDA915-914F-45EC-BF5D-AE5ADE4A9125}" name="法人／構成比" dataDxfId="42"/>
    <tableColumn id="16" xr3:uid="{38754393-BF51-47B2-8F27-7D2462A9A12C}" name="法人以外の団体／事業所数" dataCellStyle="桁区切り"/>
  </tableColumns>
  <tableStyleInfo name="TableStyleMedium9" showFirstColumn="0" showLastColumn="0" showRowStripes="1" showColumnStripes="0"/>
</table>
</file>

<file path=xl/tables/table1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1" xr:uid="{85C0B81E-DCB1-4370-A2D6-9F2996391C62}" name="LTBL_21507" displayName="LTBL_21507" ref="B4:I20" totalsRowCount="1">
  <autoFilter ref="B4:I19" xr:uid="{85C0B81E-DCB1-4370-A2D6-9F2996391C62}"/>
  <tableColumns count="8">
    <tableColumn id="9" xr3:uid="{EC71796C-82E8-46EB-884F-C32D4C5B1BE5}" name="産業大分類" totalsRowLabel="合計" totalsRowDxfId="41"/>
    <tableColumn id="10" xr3:uid="{A875A941-32E4-4AB5-8371-5FD7734EB675}" name="総数／事業所数" totalsRowFunction="custom" totalsRowDxfId="40" dataCellStyle="桁区切り" totalsRowCellStyle="桁区切り">
      <totalsRowFormula>SUM(LTBL_21507[総数／事業所数])</totalsRowFormula>
    </tableColumn>
    <tableColumn id="11" xr3:uid="{4F39E92D-409D-4331-B617-D64AFAEDCB80}" name="総数／構成比" dataDxfId="39"/>
    <tableColumn id="12" xr3:uid="{46D39577-8EB2-4A45-917F-986400C0E3DE}" name="個人／事業所数" totalsRowFunction="sum" totalsRowDxfId="38" dataCellStyle="桁区切り" totalsRowCellStyle="桁区切り"/>
    <tableColumn id="13" xr3:uid="{B9C9F813-20FF-4E16-8920-8FD5DCE825E7}" name="個人／構成比" dataDxfId="37"/>
    <tableColumn id="14" xr3:uid="{01C8D78D-1E36-4C1F-A07F-7A2117BDE20F}" name="法人／事業所数" totalsRowFunction="sum" totalsRowDxfId="36" dataCellStyle="桁区切り" totalsRowCellStyle="桁区切り"/>
    <tableColumn id="15" xr3:uid="{0D8B2229-3F8D-4EBE-868A-65BE4351F3DE}" name="法人／構成比" dataDxfId="35"/>
    <tableColumn id="16" xr3:uid="{BF86B554-B603-4F1C-A900-791794B9B18F}" name="法人以外の団体／事業所数" totalsRowFunction="sum" totalsRowDxfId="34" dataCellStyle="桁区切り" totalsRowCellStyle="桁区切り"/>
  </tableColumns>
  <tableStyleInfo name="TableStyleMedium9" showFirstColumn="0" showLastColumn="0" showRowStripes="1" showColumnStripes="0"/>
</table>
</file>

<file path=xl/tables/table1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2" xr:uid="{736751E5-DE56-40E5-A418-69896E1C61A9}" name="M_TABLE_21507" displayName="M_TABLE_21507" ref="B23:I43" totalsRowShown="0">
  <autoFilter ref="B23:I43" xr:uid="{736751E5-DE56-40E5-A418-69896E1C61A9}"/>
  <tableColumns count="8">
    <tableColumn id="9" xr3:uid="{78C5922A-C945-4EA4-9716-419BB596CFFC}" name="産業中分類上位２０"/>
    <tableColumn id="10" xr3:uid="{4EE46532-2098-48D2-8B44-DDC54E9A9E79}" name="総数／事業所数" dataCellStyle="桁区切り"/>
    <tableColumn id="11" xr3:uid="{BA5026EA-B45A-40BB-8867-E613868F3F26}" name="総数／構成比" dataDxfId="33"/>
    <tableColumn id="12" xr3:uid="{B4A77CEB-B211-426A-8C26-2BF244BD2C01}" name="個人／事業所数" dataCellStyle="桁区切り"/>
    <tableColumn id="13" xr3:uid="{FD122D9C-F60E-45A5-8E7F-4F4751B0A223}" name="個人／構成比" dataDxfId="32"/>
    <tableColumn id="14" xr3:uid="{9E9D2D60-EE52-44CA-B382-05F925290320}" name="法人／事業所数" dataCellStyle="桁区切り"/>
    <tableColumn id="15" xr3:uid="{49A67CF8-1B6E-43AB-9FEA-F78DB4A6078B}" name="法人／構成比" dataDxfId="31"/>
    <tableColumn id="16" xr3:uid="{23F4FD59-7044-45E1-A515-93982722C481}" name="法人以外の団体／事業所数" dataCellStyle="桁区切り"/>
  </tableColumns>
  <tableStyleInfo name="TableStyleMedium9" showFirstColumn="0" showLastColumn="0" showRowStripes="1" showColumnStripes="0"/>
</table>
</file>

<file path=xl/tables/table1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3" xr:uid="{28DE60C3-EC4F-40F6-AC35-E063E387D226}" name="S_TABLE_21507" displayName="S_TABLE_21507" ref="B46:I70" totalsRowShown="0">
  <autoFilter ref="B46:I70" xr:uid="{28DE60C3-EC4F-40F6-AC35-E063E387D226}"/>
  <tableColumns count="8">
    <tableColumn id="9" xr3:uid="{112D3B4E-C96A-4E84-8C65-B6BA82F37309}" name="産業小分類上位２０"/>
    <tableColumn id="10" xr3:uid="{32988EFA-FCDB-4A92-A961-4784BC161F3F}" name="総数／事業所数" dataCellStyle="桁区切り"/>
    <tableColumn id="11" xr3:uid="{2F33A528-7AC4-4999-B2BD-93979E69A391}" name="総数／構成比" dataDxfId="30"/>
    <tableColumn id="12" xr3:uid="{2E4E0B0C-200C-450F-81AC-B76B80668425}" name="個人／事業所数" dataCellStyle="桁区切り"/>
    <tableColumn id="13" xr3:uid="{7E01BE90-F4D0-4627-94DA-20026E8FAB80}" name="個人／構成比" dataDxfId="29"/>
    <tableColumn id="14" xr3:uid="{3F7D4BBC-8540-4E29-BBCC-0159192F1CED}" name="法人／事業所数" dataCellStyle="桁区切り"/>
    <tableColumn id="15" xr3:uid="{A35870C7-A768-4AED-973C-634B04DAB073}" name="法人／構成比" dataDxfId="28"/>
    <tableColumn id="16" xr3:uid="{AC3F7E64-3005-4AD8-844A-8E7D66392F71}" name="法人以外の団体／事業所数" dataCellStyle="桁区切り"/>
  </tableColumns>
  <tableStyleInfo name="TableStyleMedium9" showFirstColumn="0" showLastColumn="0" showRowStripes="1" showColumnStripes="0"/>
</table>
</file>

<file path=xl/tables/table1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4" xr:uid="{8A802905-3BBD-4076-BEA9-19A348B351D4}" name="LTBL_21521" displayName="LTBL_21521" ref="B4:I20" totalsRowCount="1">
  <autoFilter ref="B4:I19" xr:uid="{8A802905-3BBD-4076-BEA9-19A348B351D4}"/>
  <tableColumns count="8">
    <tableColumn id="9" xr3:uid="{F335FADB-AE73-4FAD-81DC-093BA2473D9B}" name="産業大分類" totalsRowLabel="合計" totalsRowDxfId="27"/>
    <tableColumn id="10" xr3:uid="{1D9740F7-3DF5-4AA2-8792-435B3F55480E}" name="総数／事業所数" totalsRowFunction="custom" totalsRowDxfId="26" dataCellStyle="桁区切り" totalsRowCellStyle="桁区切り">
      <totalsRowFormula>SUM(LTBL_21521[総数／事業所数])</totalsRowFormula>
    </tableColumn>
    <tableColumn id="11" xr3:uid="{14AD90BB-048C-462F-8703-46158CEC791C}" name="総数／構成比" dataDxfId="25"/>
    <tableColumn id="12" xr3:uid="{62101FB4-F21C-4D14-BC02-B2168EA4D503}" name="個人／事業所数" totalsRowFunction="sum" totalsRowDxfId="24" dataCellStyle="桁区切り" totalsRowCellStyle="桁区切り"/>
    <tableColumn id="13" xr3:uid="{F2608E36-A313-4490-82A0-97CFC8384FC7}" name="個人／構成比" dataDxfId="23"/>
    <tableColumn id="14" xr3:uid="{917C0AFC-8C68-4183-AD3E-AFB8124BCC94}" name="法人／事業所数" totalsRowFunction="sum" totalsRowDxfId="22" dataCellStyle="桁区切り" totalsRowCellStyle="桁区切り"/>
    <tableColumn id="15" xr3:uid="{E1828A34-3456-4F00-BF82-C3DD63D4DE52}" name="法人／構成比" dataDxfId="21"/>
    <tableColumn id="16" xr3:uid="{43EEAB5B-C0FC-47ED-A0F0-65E1E53B579B}" name="法人以外の団体／事業所数" totalsRowFunction="sum" totalsRowDxfId="20" dataCellStyle="桁区切り" totalsRowCellStyle="桁区切り"/>
  </tableColumns>
  <tableStyleInfo name="TableStyleMedium9" showFirstColumn="0" showLastColumn="0" showRowStripes="1" showColumnStripes="0"/>
</table>
</file>

<file path=xl/tables/table1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5" xr:uid="{FBA3A706-0548-4F33-9581-84CA55BADFEE}" name="M_TABLE_21521" displayName="M_TABLE_21521" ref="B23:I47" totalsRowShown="0">
  <autoFilter ref="B23:I47" xr:uid="{FBA3A706-0548-4F33-9581-84CA55BADFEE}"/>
  <tableColumns count="8">
    <tableColumn id="9" xr3:uid="{7B111116-66A3-4215-BD91-CFE51A65D3BF}" name="産業中分類上位２０"/>
    <tableColumn id="10" xr3:uid="{C6DD23B7-6A70-41D0-ADA8-856B18A64861}" name="総数／事業所数" dataCellStyle="桁区切り"/>
    <tableColumn id="11" xr3:uid="{9D3901E6-88AD-40ED-BEFC-16BC3101FD1E}" name="総数／構成比" dataDxfId="19"/>
    <tableColumn id="12" xr3:uid="{72CD9ED4-AAA4-4915-BDC8-DB84D9CE7C0C}" name="個人／事業所数" dataCellStyle="桁区切り"/>
    <tableColumn id="13" xr3:uid="{3F75BCAF-462B-4332-A447-756D705CCBF8}" name="個人／構成比" dataDxfId="18"/>
    <tableColumn id="14" xr3:uid="{2598B9C0-6C0F-4059-B2B1-CCD7AA502C08}" name="法人／事業所数" dataCellStyle="桁区切り"/>
    <tableColumn id="15" xr3:uid="{A5A3BCE2-E7E2-4FD6-99E8-BFA419747DD4}" name="法人／構成比" dataDxfId="17"/>
    <tableColumn id="16" xr3:uid="{AA7C4F58-D08C-4FF7-8C7E-2A36F467149A}" name="法人以外の団体／事業所数" dataCellStyle="桁区切り"/>
  </tableColumns>
  <tableStyleInfo name="TableStyleMedium9" showFirstColumn="0" showLastColumn="0" showRowStripes="1" showColumnStripes="0"/>
</table>
</file>

<file path=xl/tables/table1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6" xr:uid="{F14541B5-7C26-40A6-A5F9-7A171C4DD340}" name="S_TABLE_21521" displayName="S_TABLE_21521" ref="B50:I73" totalsRowShown="0">
  <autoFilter ref="B50:I73" xr:uid="{F14541B5-7C26-40A6-A5F9-7A171C4DD340}"/>
  <tableColumns count="8">
    <tableColumn id="9" xr3:uid="{2D532D28-1870-4D9C-8F30-65B29BD2D237}" name="産業小分類上位２０"/>
    <tableColumn id="10" xr3:uid="{47DCBE94-0CB3-498E-B859-68F6C733A5E1}" name="総数／事業所数" dataCellStyle="桁区切り"/>
    <tableColumn id="11" xr3:uid="{E5744B04-BA0B-49A6-827F-99C246F063BF}" name="総数／構成比" dataDxfId="16"/>
    <tableColumn id="12" xr3:uid="{55BCEB1F-7EED-43BB-82F5-24D7EBE9A4DE}" name="個人／事業所数" dataCellStyle="桁区切り"/>
    <tableColumn id="13" xr3:uid="{C5465928-2A68-4271-BF4D-06D54399ECF3}" name="個人／構成比" dataDxfId="15"/>
    <tableColumn id="14" xr3:uid="{116DC1B8-AA65-455B-889F-8725D9C4244D}" name="法人／事業所数" dataCellStyle="桁区切り"/>
    <tableColumn id="15" xr3:uid="{D91C43EF-A950-4FDE-BAB3-D809B13833E6}" name="法人／構成比" dataDxfId="14"/>
    <tableColumn id="16" xr3:uid="{68E4CABC-0F4F-42E7-A612-BF6E71444BEA}" name="法人以外の団体／事業所数" dataCellStyle="桁区切り"/>
  </tableColumns>
  <tableStyleInfo name="TableStyleMedium9" showFirstColumn="0" showLastColumn="0" showRowStripes="1" showColumnStripes="0"/>
</table>
</file>

<file path=xl/tables/table1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7" xr:uid="{6A0CD190-6F81-4275-A389-F84310880E33}" name="LTBL_21604" displayName="LTBL_21604" ref="B4:I20" totalsRowCount="1">
  <autoFilter ref="B4:I19" xr:uid="{6A0CD190-6F81-4275-A389-F84310880E33}"/>
  <tableColumns count="8">
    <tableColumn id="9" xr3:uid="{8C1333E1-7EAD-49D9-B328-C10DAC461B71}" name="産業大分類" totalsRowLabel="合計" totalsRowDxfId="13"/>
    <tableColumn id="10" xr3:uid="{FBA06CA9-EAA7-4BC8-94E3-EBC46280E51A}" name="総数／事業所数" totalsRowFunction="custom" totalsRowDxfId="12" dataCellStyle="桁区切り" totalsRowCellStyle="桁区切り">
      <totalsRowFormula>SUM(LTBL_21604[総数／事業所数])</totalsRowFormula>
    </tableColumn>
    <tableColumn id="11" xr3:uid="{4FC18534-A767-45A2-B023-0DC08692FC9E}" name="総数／構成比" dataDxfId="11"/>
    <tableColumn id="12" xr3:uid="{FB8C0ECE-0925-4694-888E-A975BC4136FE}" name="個人／事業所数" totalsRowFunction="sum" totalsRowDxfId="10" dataCellStyle="桁区切り" totalsRowCellStyle="桁区切り"/>
    <tableColumn id="13" xr3:uid="{C4CF88E9-1152-452C-97AC-32E5E6456621}" name="個人／構成比" dataDxfId="9"/>
    <tableColumn id="14" xr3:uid="{3AB737B0-7880-4B98-9901-B6DB86068D11}" name="法人／事業所数" totalsRowFunction="sum" totalsRowDxfId="8" dataCellStyle="桁区切り" totalsRowCellStyle="桁区切り"/>
    <tableColumn id="15" xr3:uid="{9A25F2DA-EC5D-4D88-B74B-8506FD46AF1D}" name="法人／構成比" dataDxfId="7"/>
    <tableColumn id="16" xr3:uid="{D111B3B6-3549-4489-B9C1-B190379A0609}" name="法人以外の団体／事業所数" totalsRowFunction="sum" totalsRowDxfId="6" dataCellStyle="桁区切り" totalsRowCellStyle="桁区切り"/>
  </tableColumns>
  <tableStyleInfo name="TableStyleMedium9" showFirstColumn="0" showLastColumn="0" showRowStripes="1" showColumnStripes="0"/>
</table>
</file>

<file path=xl/tables/table1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8" xr:uid="{862AB6B7-70FC-440C-929E-351494A32C27}" name="M_TABLE_21604" displayName="M_TABLE_21604" ref="B23:I52" totalsRowShown="0">
  <autoFilter ref="B23:I52" xr:uid="{862AB6B7-70FC-440C-929E-351494A32C27}"/>
  <tableColumns count="8">
    <tableColumn id="9" xr3:uid="{E5DA220C-0E6D-4425-ACE4-B74A1C8AD607}" name="産業中分類上位２０"/>
    <tableColumn id="10" xr3:uid="{6530C819-AD57-46DB-9B2D-F86DAE0BEFD2}" name="総数／事業所数" dataCellStyle="桁区切り"/>
    <tableColumn id="11" xr3:uid="{FB524422-AB9B-4C01-9335-595D59434693}" name="総数／構成比" dataDxfId="5"/>
    <tableColumn id="12" xr3:uid="{D381AFA0-9F81-46E7-926B-E1B67B9C5AA6}" name="個人／事業所数" dataCellStyle="桁区切り"/>
    <tableColumn id="13" xr3:uid="{4C454338-129B-41DE-84B4-1847086C9EFE}" name="個人／構成比" dataDxfId="4"/>
    <tableColumn id="14" xr3:uid="{408C4FB1-D90E-46AC-AA13-3CDB44A40E56}" name="法人／事業所数" dataCellStyle="桁区切り"/>
    <tableColumn id="15" xr3:uid="{92C82AA4-41CE-4BF8-9ACE-265867DCF2CC}" name="法人／構成比" dataDxfId="3"/>
    <tableColumn id="16" xr3:uid="{84E3A72D-2906-4686-AAFC-999AEB922F40}" name="法人以外の団体／事業所数" dataCellStyle="桁区切り"/>
  </tableColumns>
  <tableStyleInfo name="TableStyleMedium9" showFirstColumn="0" showLastColumn="0" showRowStripes="1" showColumnStripes="0"/>
</table>
</file>

<file path=xl/tables/table1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9" xr:uid="{BBFA4932-4CF4-4922-A980-E3A9E0578D46}" name="S_TABLE_21604" displayName="S_TABLE_21604" ref="B55:I78" totalsRowShown="0">
  <autoFilter ref="B55:I78" xr:uid="{BBFA4932-4CF4-4922-A980-E3A9E0578D46}"/>
  <tableColumns count="8">
    <tableColumn id="9" xr3:uid="{543231DD-64A4-480F-9FC0-638AA317DE5B}" name="産業小分類上位２０"/>
    <tableColumn id="10" xr3:uid="{57667930-9A11-40E3-8EEA-FAB7F36A8A48}" name="総数／事業所数" dataCellStyle="桁区切り"/>
    <tableColumn id="11" xr3:uid="{14E58406-F9C3-40A9-BB5B-CB72F46BADB6}" name="総数／構成比" dataDxfId="2"/>
    <tableColumn id="12" xr3:uid="{3B23A2A6-9468-47DB-B067-2A62691FD543}" name="個人／事業所数" dataCellStyle="桁区切り"/>
    <tableColumn id="13" xr3:uid="{CFB607B3-6354-4FEA-BEC6-98387DEDCB65}" name="個人／構成比" dataDxfId="1"/>
    <tableColumn id="14" xr3:uid="{1D4E7BD0-7DC9-4B22-A2C5-ECBE078CADC6}" name="法人／事業所数" dataCellStyle="桁区切り"/>
    <tableColumn id="15" xr3:uid="{3A61C5EA-6B68-4005-82AD-58A4F83E496D}" name="法人／構成比" dataDxfId="0"/>
    <tableColumn id="16" xr3:uid="{FB0C6FED-917A-4571-944F-85A20BB032A7}" name="法人以外の団体／事業所数" dataCellStyle="桁区切り"/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F80BA3C3-3C3D-4E15-A194-E6CF10B76505}" name="LTBL_21204" displayName="LTBL_21204" ref="B4:I20" totalsRowCount="1">
  <autoFilter ref="B4:I19" xr:uid="{F80BA3C3-3C3D-4E15-A194-E6CF10B76505}"/>
  <tableColumns count="8">
    <tableColumn id="9" xr3:uid="{B6D1C108-997F-4F24-B404-2C30C3162EC7}" name="産業大分類" totalsRowLabel="合計" totalsRowDxfId="545"/>
    <tableColumn id="10" xr3:uid="{187A6EF0-ACC4-4EBD-8E33-657CC1C3AA25}" name="総数／事業所数" totalsRowFunction="custom" totalsRowDxfId="544" dataCellStyle="桁区切り" totalsRowCellStyle="桁区切り">
      <totalsRowFormula>SUM(LTBL_21204[総数／事業所数])</totalsRowFormula>
    </tableColumn>
    <tableColumn id="11" xr3:uid="{A3680E7F-36FC-44CE-9974-31289F460F9E}" name="総数／構成比" dataDxfId="543"/>
    <tableColumn id="12" xr3:uid="{818ED799-064D-4885-9D5A-5EC96973EF8B}" name="個人／事業所数" totalsRowFunction="sum" totalsRowDxfId="542" dataCellStyle="桁区切り" totalsRowCellStyle="桁区切り"/>
    <tableColumn id="13" xr3:uid="{34D3D3C5-FE8E-4384-86BF-28EF4FC8D484}" name="個人／構成比" dataDxfId="541"/>
    <tableColumn id="14" xr3:uid="{E4161488-C150-4C1F-A112-8DE52C15F68A}" name="法人／事業所数" totalsRowFunction="sum" totalsRowDxfId="540" dataCellStyle="桁区切り" totalsRowCellStyle="桁区切り"/>
    <tableColumn id="15" xr3:uid="{181DFA7A-504E-4ECC-8A8A-51437C5AC795}" name="法人／構成比" dataDxfId="539"/>
    <tableColumn id="16" xr3:uid="{175E9B39-1CA2-41EC-B144-9953728A1E0C}" name="法人以外の団体／事業所数" totalsRowFunction="sum" totalsRowDxfId="538" dataCellStyle="桁区切り" totalsRowCellStyle="桁区切り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9896BB52-3038-4303-B0D5-5AED04B3EF1D}" name="M_TABLE_21204" displayName="M_TABLE_21204" ref="B23:I43" totalsRowShown="0">
  <autoFilter ref="B23:I43" xr:uid="{9896BB52-3038-4303-B0D5-5AED04B3EF1D}"/>
  <tableColumns count="8">
    <tableColumn id="9" xr3:uid="{6EB94D1E-09BF-4036-B7D3-D5C08F3BB1A1}" name="産業中分類上位２０"/>
    <tableColumn id="10" xr3:uid="{D5A6E35F-FD87-4604-8916-D02235B1A161}" name="総数／事業所数" dataCellStyle="桁区切り"/>
    <tableColumn id="11" xr3:uid="{1BA90454-9860-49BA-AD3E-C4854FD2E23C}" name="総数／構成比" dataDxfId="537"/>
    <tableColumn id="12" xr3:uid="{79F395A4-A980-4F15-86EB-60350771B1E4}" name="個人／事業所数" dataCellStyle="桁区切り"/>
    <tableColumn id="13" xr3:uid="{776898F1-AEAF-43C0-8E20-2012EE75480E}" name="個人／構成比" dataDxfId="536"/>
    <tableColumn id="14" xr3:uid="{9F897BC0-307D-4672-8BFA-BB228EC69EF9}" name="法人／事業所数" dataCellStyle="桁区切り"/>
    <tableColumn id="15" xr3:uid="{102FE54B-C26D-4047-AACA-F53635D4DC31}" name="法人／構成比" dataDxfId="535"/>
    <tableColumn id="16" xr3:uid="{8B2D7349-0CC8-44F4-8516-CD979105E8C6}" name="法人以外の団体／事業所数" dataCellStyle="桁区切り"/>
  </tableColumns>
  <tableStyleInfo name="TableStyleMedium9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E1E66E17-72D3-4BBC-B4F8-8026A17FDC3C}" name="S_TABLE_21204" displayName="S_TABLE_21204" ref="B46:I66" totalsRowShown="0">
  <autoFilter ref="B46:I66" xr:uid="{E1E66E17-72D3-4BBC-B4F8-8026A17FDC3C}"/>
  <tableColumns count="8">
    <tableColumn id="9" xr3:uid="{C833B16F-2314-41F1-9EAD-E7D7E14F4559}" name="産業小分類上位２０"/>
    <tableColumn id="10" xr3:uid="{3808BD86-525B-448E-B06D-3A1BDA72785F}" name="総数／事業所数" dataCellStyle="桁区切り"/>
    <tableColumn id="11" xr3:uid="{E64C333B-17C7-4C9D-A067-6028C8C5034C}" name="総数／構成比" dataDxfId="534"/>
    <tableColumn id="12" xr3:uid="{EE438281-6CA9-47D8-B96C-9B66EB6EA3DA}" name="個人／事業所数" dataCellStyle="桁区切り"/>
    <tableColumn id="13" xr3:uid="{3537DB6A-018C-4EC6-BA27-00599039BA8C}" name="個人／構成比" dataDxfId="533"/>
    <tableColumn id="14" xr3:uid="{722D3335-EDF6-4C09-89E9-1B875A3DFFD4}" name="法人／事業所数" dataCellStyle="桁区切り"/>
    <tableColumn id="15" xr3:uid="{E21806B9-F934-430F-88EB-65782C667372}" name="法人／構成比" dataDxfId="532"/>
    <tableColumn id="16" xr3:uid="{6EF3265F-8FE7-40E7-8B21-2ECED2A69EAB}" name="法人以外の団体／事業所数" dataCellStyle="桁区切り"/>
  </tableColumns>
  <tableStyleInfo name="TableStyleMedium9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2FBFBC3F-21C0-4836-9909-7002B392B26E}" name="LTBL_21205" displayName="LTBL_21205" ref="B4:I20" totalsRowCount="1">
  <autoFilter ref="B4:I19" xr:uid="{2FBFBC3F-21C0-4836-9909-7002B392B26E}"/>
  <tableColumns count="8">
    <tableColumn id="9" xr3:uid="{B6D547DE-3562-4CC3-BA8A-FC6DCB7E360B}" name="産業大分類" totalsRowLabel="合計" totalsRowDxfId="531"/>
    <tableColumn id="10" xr3:uid="{F03D585C-2B89-4848-9828-A1779C5BD952}" name="総数／事業所数" totalsRowFunction="custom" totalsRowDxfId="530" dataCellStyle="桁区切り" totalsRowCellStyle="桁区切り">
      <totalsRowFormula>SUM(LTBL_21205[総数／事業所数])</totalsRowFormula>
    </tableColumn>
    <tableColumn id="11" xr3:uid="{2377155B-E7BE-4818-8A05-9B7520F25DFF}" name="総数／構成比" dataDxfId="529"/>
    <tableColumn id="12" xr3:uid="{CF5FB290-2385-4AD2-A5F5-39C78BA8B965}" name="個人／事業所数" totalsRowFunction="sum" totalsRowDxfId="528" dataCellStyle="桁区切り" totalsRowCellStyle="桁区切り"/>
    <tableColumn id="13" xr3:uid="{F734878A-FA4E-46B6-A5A8-EBE53487029D}" name="個人／構成比" dataDxfId="527"/>
    <tableColumn id="14" xr3:uid="{D4FF7026-5B0E-472A-AC17-3D20702390A6}" name="法人／事業所数" totalsRowFunction="sum" totalsRowDxfId="526" dataCellStyle="桁区切り" totalsRowCellStyle="桁区切り"/>
    <tableColumn id="15" xr3:uid="{AC32C35F-8EF6-4967-BCF4-C1AA96A9E8AE}" name="法人／構成比" dataDxfId="525"/>
    <tableColumn id="16" xr3:uid="{925CB179-F039-44A1-B23B-258D3209EBBC}" name="法人以外の団体／事業所数" totalsRowFunction="sum" totalsRowDxfId="524" dataCellStyle="桁区切り" totalsRowCellStyle="桁区切り"/>
  </tableColumns>
  <tableStyleInfo name="TableStyleMedium9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CD2CF9A6-A362-4E91-A442-B0E9CC0EDBB2}" name="M_TABLE_21205" displayName="M_TABLE_21205" ref="B23:I43" totalsRowShown="0">
  <autoFilter ref="B23:I43" xr:uid="{CD2CF9A6-A362-4E91-A442-B0E9CC0EDBB2}"/>
  <tableColumns count="8">
    <tableColumn id="9" xr3:uid="{8773D30B-387B-4B06-AB72-C9499FF9ED0B}" name="産業中分類上位２０"/>
    <tableColumn id="10" xr3:uid="{20BFAA45-57CB-4051-A2D9-536177365F24}" name="総数／事業所数" dataCellStyle="桁区切り"/>
    <tableColumn id="11" xr3:uid="{FF960355-1247-4CA2-AD78-0BCB38CEDF22}" name="総数／構成比" dataDxfId="523"/>
    <tableColumn id="12" xr3:uid="{6C25B8C0-4453-4C3E-BB51-13F8D5857BF5}" name="個人／事業所数" dataCellStyle="桁区切り"/>
    <tableColumn id="13" xr3:uid="{88DB6B08-A1CF-4997-90BD-43AF3202FBCF}" name="個人／構成比" dataDxfId="522"/>
    <tableColumn id="14" xr3:uid="{9D466BF0-18C1-42C2-B88D-073B3929AF34}" name="法人／事業所数" dataCellStyle="桁区切り"/>
    <tableColumn id="15" xr3:uid="{39F4C773-B2AB-43C3-88F8-A44666A8A087}" name="法人／構成比" dataDxfId="521"/>
    <tableColumn id="16" xr3:uid="{1E9221F5-3CB3-418E-83DC-54387C609A9C}" name="法人以外の団体／事業所数" dataCellStyle="桁区切り"/>
  </tableColumns>
  <tableStyleInfo name="TableStyleMedium9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ED5B773A-E098-4D2C-B7FE-6C9D19ECC520}" name="S_TABLE_21205" displayName="S_TABLE_21205" ref="B46:I68" totalsRowShown="0">
  <autoFilter ref="B46:I68" xr:uid="{ED5B773A-E098-4D2C-B7FE-6C9D19ECC520}"/>
  <tableColumns count="8">
    <tableColumn id="9" xr3:uid="{ADFDBBEA-19C9-4319-BEB2-68E60189D24D}" name="産業小分類上位２０"/>
    <tableColumn id="10" xr3:uid="{B2486807-FC23-4A3F-B3F2-CE1C05A5C95B}" name="総数／事業所数" dataCellStyle="桁区切り"/>
    <tableColumn id="11" xr3:uid="{E47659A7-EFA5-4614-A4F1-B3AB2F601421}" name="総数／構成比" dataDxfId="520"/>
    <tableColumn id="12" xr3:uid="{6D99AFC8-D98C-4DA1-8BDE-ADBC033C2BEF}" name="個人／事業所数" dataCellStyle="桁区切り"/>
    <tableColumn id="13" xr3:uid="{C75D410C-7CEB-4794-B663-943DF9ABE0D5}" name="個人／構成比" dataDxfId="519"/>
    <tableColumn id="14" xr3:uid="{7572B04F-027A-44E5-B533-1913722C9699}" name="法人／事業所数" dataCellStyle="桁区切り"/>
    <tableColumn id="15" xr3:uid="{8D24A478-6DC3-4706-939B-0FE213D630A7}" name="法人／構成比" dataDxfId="518"/>
    <tableColumn id="16" xr3:uid="{604941C3-7FBD-4FF2-A36B-BEA3C4A061CE}" name="法人以外の団体／事業所数" dataCellStyle="桁区切り"/>
  </tableColumns>
  <tableStyleInfo name="TableStyleMedium9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340318DA-DDEF-4335-BC33-FAB0B85EED25}" name="LTBL_21206" displayName="LTBL_21206" ref="B4:I20" totalsRowCount="1">
  <autoFilter ref="B4:I19" xr:uid="{340318DA-DDEF-4335-BC33-FAB0B85EED25}"/>
  <tableColumns count="8">
    <tableColumn id="9" xr3:uid="{2F99839A-AF6E-4F0F-8A16-FE09FBA4A59C}" name="産業大分類" totalsRowLabel="合計" totalsRowDxfId="517"/>
    <tableColumn id="10" xr3:uid="{EF333D45-3C67-47D3-87AC-82088C449ECB}" name="総数／事業所数" totalsRowFunction="custom" totalsRowDxfId="516" dataCellStyle="桁区切り" totalsRowCellStyle="桁区切り">
      <totalsRowFormula>SUM(LTBL_21206[総数／事業所数])</totalsRowFormula>
    </tableColumn>
    <tableColumn id="11" xr3:uid="{5579ACF1-45DA-4602-8D02-CA4FD78431E0}" name="総数／構成比" dataDxfId="515"/>
    <tableColumn id="12" xr3:uid="{5B6DCC3D-607D-4DB1-A1BD-6E564CD3B67B}" name="個人／事業所数" totalsRowFunction="sum" totalsRowDxfId="514" dataCellStyle="桁区切り" totalsRowCellStyle="桁区切り"/>
    <tableColumn id="13" xr3:uid="{42699A3C-C046-4844-9AAC-BA4A777E5FFA}" name="個人／構成比" dataDxfId="513"/>
    <tableColumn id="14" xr3:uid="{1AE286C3-454F-441B-876A-A4E558A369E9}" name="法人／事業所数" totalsRowFunction="sum" totalsRowDxfId="512" dataCellStyle="桁区切り" totalsRowCellStyle="桁区切り"/>
    <tableColumn id="15" xr3:uid="{40913356-1D59-4C94-B090-9532A67D694A}" name="法人／構成比" dataDxfId="511"/>
    <tableColumn id="16" xr3:uid="{F59D265F-BE6C-431E-9810-8E4A43182FCC}" name="法人以外の団体／事業所数" totalsRowFunction="sum" totalsRowDxfId="510" dataCellStyle="桁区切り" totalsRowCellStyle="桁区切り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BC779F9-79F9-4F34-9C56-0AB0797D0799}" name="M_TABLE_21000" displayName="M_TABLE_21000" ref="B23:I43" totalsRowShown="0">
  <autoFilter ref="B23:I43" xr:uid="{6BC779F9-79F9-4F34-9C56-0AB0797D0799}"/>
  <tableColumns count="8">
    <tableColumn id="9" xr3:uid="{E64FD35B-87F2-43C5-8FE5-7CBC830566D2}" name="産業中分類上位２０"/>
    <tableColumn id="10" xr3:uid="{B10D1A79-E89F-4D7D-B934-0C86C7EFE1BA}" name="総数／事業所数" dataCellStyle="桁区切り"/>
    <tableColumn id="11" xr3:uid="{19F341DD-1996-4D62-AD1A-AC21C8D1DCE9}" name="総数／構成比" dataDxfId="593"/>
    <tableColumn id="12" xr3:uid="{17B914DF-129C-40E1-81C7-20C9F0E1FD2C}" name="個人／事業所数" dataCellStyle="桁区切り"/>
    <tableColumn id="13" xr3:uid="{07A3C661-5C1B-41FE-A3EF-1B1C6F8FE5C8}" name="個人／構成比" dataDxfId="592"/>
    <tableColumn id="14" xr3:uid="{A0BD8521-849B-410B-AD27-EA120EE29734}" name="法人／事業所数" dataCellStyle="桁区切り"/>
    <tableColumn id="15" xr3:uid="{61BA4B6E-2C57-4B2B-B164-A785F2A4C9C1}" name="法人／構成比" dataDxfId="591"/>
    <tableColumn id="16" xr3:uid="{C84D3CAC-E13C-4C43-8A79-B23C489668D9}" name="法人以外の団体／事業所数" dataCellStyle="桁区切り"/>
  </tableColumns>
  <tableStyleInfo name="TableStyleMedium9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C18741E6-CECE-4690-AA94-55896F9E8AE4}" name="M_TABLE_21206" displayName="M_TABLE_21206" ref="B23:I43" totalsRowShown="0">
  <autoFilter ref="B23:I43" xr:uid="{C18741E6-CECE-4690-AA94-55896F9E8AE4}"/>
  <tableColumns count="8">
    <tableColumn id="9" xr3:uid="{2D257476-5FBF-4311-98D4-5760FAF3DC0F}" name="産業中分類上位２０"/>
    <tableColumn id="10" xr3:uid="{E5D09118-1488-4EB5-B085-8938C7907541}" name="総数／事業所数" dataCellStyle="桁区切り"/>
    <tableColumn id="11" xr3:uid="{AE084BB2-840E-4C56-BB46-3E45EC8995B4}" name="総数／構成比" dataDxfId="509"/>
    <tableColumn id="12" xr3:uid="{4E2A0877-0CA9-491C-B6FF-5471C7575C55}" name="個人／事業所数" dataCellStyle="桁区切り"/>
    <tableColumn id="13" xr3:uid="{5C030729-8ACB-41F6-92D6-655190588CEE}" name="個人／構成比" dataDxfId="508"/>
    <tableColumn id="14" xr3:uid="{DB4096F0-98E9-49CF-9D7A-3B5BF5AB5A09}" name="法人／事業所数" dataCellStyle="桁区切り"/>
    <tableColumn id="15" xr3:uid="{5A026BFA-BE09-4E3D-905A-3BB42E055367}" name="法人／構成比" dataDxfId="507"/>
    <tableColumn id="16" xr3:uid="{28B8D111-A7A2-4CA0-A9D1-D98E57E8D138}" name="法人以外の団体／事業所数" dataCellStyle="桁区切り"/>
  </tableColumns>
  <tableStyleInfo name="TableStyleMedium9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36B9A05A-6E57-4409-9D1F-7828701197AD}" name="S_TABLE_21206" displayName="S_TABLE_21206" ref="B46:I66" totalsRowShown="0">
  <autoFilter ref="B46:I66" xr:uid="{36B9A05A-6E57-4409-9D1F-7828701197AD}"/>
  <tableColumns count="8">
    <tableColumn id="9" xr3:uid="{23A5865D-8DA1-4938-AE31-5603D4A85063}" name="産業小分類上位２０"/>
    <tableColumn id="10" xr3:uid="{46AABD5F-31BF-4A0E-A955-C4ABADEC40C3}" name="総数／事業所数" dataCellStyle="桁区切り"/>
    <tableColumn id="11" xr3:uid="{01B771A7-24BF-4E48-9DE5-4F91D6C85B42}" name="総数／構成比" dataDxfId="506"/>
    <tableColumn id="12" xr3:uid="{AAAC9744-FBC1-42B6-8889-D512716B633C}" name="個人／事業所数" dataCellStyle="桁区切り"/>
    <tableColumn id="13" xr3:uid="{AA8E3016-D0E8-4606-8C82-EAB429D1788E}" name="個人／構成比" dataDxfId="505"/>
    <tableColumn id="14" xr3:uid="{77F75357-D3AC-467B-BA01-F3C6ACCEE534}" name="法人／事業所数" dataCellStyle="桁区切り"/>
    <tableColumn id="15" xr3:uid="{26F677B5-5C7D-4015-859E-C12C5A7460FF}" name="法人／構成比" dataDxfId="504"/>
    <tableColumn id="16" xr3:uid="{9818982C-1BBB-4F81-AFBE-9F7569F8F586}" name="法人以外の団体／事業所数" dataCellStyle="桁区切り"/>
  </tableColumns>
  <tableStyleInfo name="TableStyleMedium9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4FCE20A6-D9CD-4F01-81B6-B8FAA3605FED}" name="LTBL_21207" displayName="LTBL_21207" ref="B4:I20" totalsRowCount="1">
  <autoFilter ref="B4:I19" xr:uid="{4FCE20A6-D9CD-4F01-81B6-B8FAA3605FED}"/>
  <tableColumns count="8">
    <tableColumn id="9" xr3:uid="{624746BF-EBDF-4B10-B1E2-CE31E58D09C7}" name="産業大分類" totalsRowLabel="合計" totalsRowDxfId="503"/>
    <tableColumn id="10" xr3:uid="{98130D79-7D09-42F8-B067-55C2C02FB218}" name="総数／事業所数" totalsRowFunction="custom" totalsRowDxfId="502" dataCellStyle="桁区切り" totalsRowCellStyle="桁区切り">
      <totalsRowFormula>SUM(LTBL_21207[総数／事業所数])</totalsRowFormula>
    </tableColumn>
    <tableColumn id="11" xr3:uid="{82969545-79F1-48C5-878F-D05391080A46}" name="総数／構成比" dataDxfId="501"/>
    <tableColumn id="12" xr3:uid="{A0602FE7-3344-41C3-945B-9BB946230477}" name="個人／事業所数" totalsRowFunction="sum" totalsRowDxfId="500" dataCellStyle="桁区切り" totalsRowCellStyle="桁区切り"/>
    <tableColumn id="13" xr3:uid="{1E61E933-3BFE-42DC-AF14-BA38CF162066}" name="個人／構成比" dataDxfId="499"/>
    <tableColumn id="14" xr3:uid="{4F7A33EB-458E-48C6-A8B6-3753F31F18DA}" name="法人／事業所数" totalsRowFunction="sum" totalsRowDxfId="498" dataCellStyle="桁区切り" totalsRowCellStyle="桁区切り"/>
    <tableColumn id="15" xr3:uid="{18C9408A-0938-428A-9CE6-1351F219935D}" name="法人／構成比" dataDxfId="497"/>
    <tableColumn id="16" xr3:uid="{455AC1A0-3851-481C-93BD-A4D909C8E7B2}" name="法人以外の団体／事業所数" totalsRowFunction="sum" totalsRowDxfId="496" dataCellStyle="桁区切り" totalsRowCellStyle="桁区切り"/>
  </tableColumns>
  <tableStyleInfo name="TableStyleMedium9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66BFC84A-3F3E-4ADE-8611-F2ECF50FAED4}" name="M_TABLE_21207" displayName="M_TABLE_21207" ref="B23:I43" totalsRowShown="0">
  <autoFilter ref="B23:I43" xr:uid="{66BFC84A-3F3E-4ADE-8611-F2ECF50FAED4}"/>
  <tableColumns count="8">
    <tableColumn id="9" xr3:uid="{6333D210-341E-45DB-A7ED-32D70A4AA5F7}" name="産業中分類上位２０"/>
    <tableColumn id="10" xr3:uid="{9781C3AF-5306-4314-83D1-38B6FC78A7D6}" name="総数／事業所数" dataCellStyle="桁区切り"/>
    <tableColumn id="11" xr3:uid="{3C0623EB-DE5C-4DA9-A349-B95843AEB274}" name="総数／構成比" dataDxfId="495"/>
    <tableColumn id="12" xr3:uid="{B2B56CD6-10E5-41CC-B66B-D76F94E5FDC7}" name="個人／事業所数" dataCellStyle="桁区切り"/>
    <tableColumn id="13" xr3:uid="{A44CA71F-7B1B-49C0-85B5-CE8723F8EAE1}" name="個人／構成比" dataDxfId="494"/>
    <tableColumn id="14" xr3:uid="{93BA5408-C36B-4A75-9957-A50E56860AF9}" name="法人／事業所数" dataCellStyle="桁区切り"/>
    <tableColumn id="15" xr3:uid="{DABBA44A-D62F-41B1-BDCD-6EA3D6512E28}" name="法人／構成比" dataDxfId="493"/>
    <tableColumn id="16" xr3:uid="{8CA45275-4C3A-40FD-8E68-39365B610BAD}" name="法人以外の団体／事業所数" dataCellStyle="桁区切り"/>
  </tableColumns>
  <tableStyleInfo name="TableStyleMedium9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4A8674FB-A381-4AB0-A3BD-540EA4661FED}" name="S_TABLE_21207" displayName="S_TABLE_21207" ref="B46:I69" totalsRowShown="0">
  <autoFilter ref="B46:I69" xr:uid="{4A8674FB-A381-4AB0-A3BD-540EA4661FED}"/>
  <tableColumns count="8">
    <tableColumn id="9" xr3:uid="{01747B99-15FA-48F1-A8C1-FD952B287C32}" name="産業小分類上位２０"/>
    <tableColumn id="10" xr3:uid="{C09DDFDF-F78D-40B5-85A2-7D89DA063AEA}" name="総数／事業所数" dataCellStyle="桁区切り"/>
    <tableColumn id="11" xr3:uid="{EAC8453E-4823-4C7C-A9ED-97C1DC48FAEF}" name="総数／構成比" dataDxfId="492"/>
    <tableColumn id="12" xr3:uid="{2C046A6E-591B-439F-AD17-C144EF138802}" name="個人／事業所数" dataCellStyle="桁区切り"/>
    <tableColumn id="13" xr3:uid="{9B0C3B7A-D0F3-40CB-94DA-393674FC4694}" name="個人／構成比" dataDxfId="491"/>
    <tableColumn id="14" xr3:uid="{9B822453-E7EB-49CE-9ABF-9B75CC8401B9}" name="法人／事業所数" dataCellStyle="桁区切り"/>
    <tableColumn id="15" xr3:uid="{DE7AE12E-F58F-42F2-927C-231AF4F67761}" name="法人／構成比" dataDxfId="490"/>
    <tableColumn id="16" xr3:uid="{B8FC4F54-6705-4717-A017-999870FE1F79}" name="法人以外の団体／事業所数" dataCellStyle="桁区切り"/>
  </tableColumns>
  <tableStyleInfo name="TableStyleMedium9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25EACF75-0D1F-4199-A84C-18D231CFCF77}" name="LTBL_21208" displayName="LTBL_21208" ref="B4:I20" totalsRowCount="1">
  <autoFilter ref="B4:I19" xr:uid="{25EACF75-0D1F-4199-A84C-18D231CFCF77}"/>
  <tableColumns count="8">
    <tableColumn id="9" xr3:uid="{2FD9D874-5526-495F-A38C-BDF651F4494C}" name="産業大分類" totalsRowLabel="合計" totalsRowDxfId="489"/>
    <tableColumn id="10" xr3:uid="{6D412DDC-531C-41FD-9EDD-574CCBC2E87F}" name="総数／事業所数" totalsRowFunction="custom" totalsRowDxfId="488" dataCellStyle="桁区切り" totalsRowCellStyle="桁区切り">
      <totalsRowFormula>SUM(LTBL_21208[総数／事業所数])</totalsRowFormula>
    </tableColumn>
    <tableColumn id="11" xr3:uid="{5EBF4D53-3B65-4716-A611-2132C25CF015}" name="総数／構成比" dataDxfId="487"/>
    <tableColumn id="12" xr3:uid="{772CAA2F-46D3-48CC-A4F6-B17F21D471CD}" name="個人／事業所数" totalsRowFunction="sum" totalsRowDxfId="486" dataCellStyle="桁区切り" totalsRowCellStyle="桁区切り"/>
    <tableColumn id="13" xr3:uid="{292E3F2C-6C7F-4330-AC4A-F4146EAAB4F8}" name="個人／構成比" dataDxfId="485"/>
    <tableColumn id="14" xr3:uid="{46D2F6F1-6D52-4DE2-93FC-92C019DB6B5B}" name="法人／事業所数" totalsRowFunction="sum" totalsRowDxfId="484" dataCellStyle="桁区切り" totalsRowCellStyle="桁区切り"/>
    <tableColumn id="15" xr3:uid="{8CAC68FE-55BD-4D65-99B3-2CA81650A034}" name="法人／構成比" dataDxfId="483"/>
    <tableColumn id="16" xr3:uid="{B46A3AAD-B975-462A-B427-9060E29BCDD2}" name="法人以外の団体／事業所数" totalsRowFunction="sum" totalsRowDxfId="482" dataCellStyle="桁区切り" totalsRowCellStyle="桁区切り"/>
  </tableColumns>
  <tableStyleInfo name="TableStyleMedium9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2072C9FD-CC98-4C1F-A1BE-F7EDD717212C}" name="M_TABLE_21208" displayName="M_TABLE_21208" ref="B23:I44" totalsRowShown="0">
  <autoFilter ref="B23:I44" xr:uid="{2072C9FD-CC98-4C1F-A1BE-F7EDD717212C}"/>
  <tableColumns count="8">
    <tableColumn id="9" xr3:uid="{9AC161E1-04A2-4DF8-AA04-35AA82C4C67F}" name="産業中分類上位２０"/>
    <tableColumn id="10" xr3:uid="{AE871BF7-E39F-46C6-98BA-DE2C6D5A2C8F}" name="総数／事業所数" dataCellStyle="桁区切り"/>
    <tableColumn id="11" xr3:uid="{7972FCBF-7BC1-4A78-8F4C-2E081D8451B3}" name="総数／構成比" dataDxfId="481"/>
    <tableColumn id="12" xr3:uid="{90AC50F9-5F40-468C-B538-D206BBAF9E03}" name="個人／事業所数" dataCellStyle="桁区切り"/>
    <tableColumn id="13" xr3:uid="{916A9D79-52C6-4704-8D57-DEA7FEAAA8EA}" name="個人／構成比" dataDxfId="480"/>
    <tableColumn id="14" xr3:uid="{99005517-73CF-4324-9BEF-A723B67A1B06}" name="法人／事業所数" dataCellStyle="桁区切り"/>
    <tableColumn id="15" xr3:uid="{17A1002A-388C-4703-8054-19D9B745E161}" name="法人／構成比" dataDxfId="479"/>
    <tableColumn id="16" xr3:uid="{807BFF4C-FDD7-4C7F-8863-198BF1A55416}" name="法人以外の団体／事業所数" dataCellStyle="桁区切り"/>
  </tableColumns>
  <tableStyleInfo name="TableStyleMedium9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17E05D4B-FD3A-4113-9A3C-70635B440164}" name="S_TABLE_21208" displayName="S_TABLE_21208" ref="B47:I67" totalsRowShown="0">
  <autoFilter ref="B47:I67" xr:uid="{17E05D4B-FD3A-4113-9A3C-70635B440164}"/>
  <tableColumns count="8">
    <tableColumn id="9" xr3:uid="{8A4C14B5-0F3B-4C13-951F-D85E3EA2A562}" name="産業小分類上位２０"/>
    <tableColumn id="10" xr3:uid="{DC8E9A40-410D-46F9-86AB-4C97D1C5A0EB}" name="総数／事業所数" dataCellStyle="桁区切り"/>
    <tableColumn id="11" xr3:uid="{4DB0961A-D2D6-4613-BF88-80D30154135E}" name="総数／構成比" dataDxfId="478"/>
    <tableColumn id="12" xr3:uid="{008F167D-5037-4719-B959-8F023DF5EF72}" name="個人／事業所数" dataCellStyle="桁区切り"/>
    <tableColumn id="13" xr3:uid="{D459236D-D09B-4374-BD8A-01FCE96B4D3C}" name="個人／構成比" dataDxfId="477"/>
    <tableColumn id="14" xr3:uid="{F292BF98-3C7A-48B1-8C72-55F5C36DAB8C}" name="法人／事業所数" dataCellStyle="桁区切り"/>
    <tableColumn id="15" xr3:uid="{85C0F768-A25F-4FE2-86AE-3E838A18542D}" name="法人／構成比" dataDxfId="476"/>
    <tableColumn id="16" xr3:uid="{1FBF77E7-1604-48B4-96FB-84B968296849}" name="法人以外の団体／事業所数" dataCellStyle="桁区切り"/>
  </tableColumns>
  <tableStyleInfo name="TableStyleMedium9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3557D74-1A07-49DC-8CE3-AE90F06B822F}" name="LTBL_21209" displayName="LTBL_21209" ref="B4:I20" totalsRowCount="1">
  <autoFilter ref="B4:I19" xr:uid="{03557D74-1A07-49DC-8CE3-AE90F06B822F}"/>
  <tableColumns count="8">
    <tableColumn id="9" xr3:uid="{8D5AF372-C130-4640-88E9-053F2DE49EE9}" name="産業大分類" totalsRowLabel="合計" totalsRowDxfId="475"/>
    <tableColumn id="10" xr3:uid="{7DF2DDCA-E9AF-45DF-A906-9E018C551791}" name="総数／事業所数" totalsRowFunction="custom" totalsRowDxfId="474" dataCellStyle="桁区切り" totalsRowCellStyle="桁区切り">
      <totalsRowFormula>SUM(LTBL_21209[総数／事業所数])</totalsRowFormula>
    </tableColumn>
    <tableColumn id="11" xr3:uid="{EFF7581B-BFD4-4BE2-A8E0-B3D9D4189FA9}" name="総数／構成比" dataDxfId="473"/>
    <tableColumn id="12" xr3:uid="{11A5CD48-3FB7-454A-8836-A484654F9F01}" name="個人／事業所数" totalsRowFunction="sum" totalsRowDxfId="472" dataCellStyle="桁区切り" totalsRowCellStyle="桁区切り"/>
    <tableColumn id="13" xr3:uid="{B10EA57F-53DD-4BD6-B73F-D3456E4CAD16}" name="個人／構成比" dataDxfId="471"/>
    <tableColumn id="14" xr3:uid="{0AD21A9D-1246-4ED1-AE1B-9678D07DCAEE}" name="法人／事業所数" totalsRowFunction="sum" totalsRowDxfId="470" dataCellStyle="桁区切り" totalsRowCellStyle="桁区切り"/>
    <tableColumn id="15" xr3:uid="{F3B47045-AE3D-4FE9-AE20-10E8B08A1AE7}" name="法人／構成比" dataDxfId="469"/>
    <tableColumn id="16" xr3:uid="{AC49F4C8-E56D-414F-BC4E-6864054181B0}" name="法人以外の団体／事業所数" totalsRowFunction="sum" totalsRowDxfId="468" dataCellStyle="桁区切り" totalsRowCellStyle="桁区切り"/>
  </tableColumns>
  <tableStyleInfo name="TableStyleMedium9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23179B39-3C7E-47AE-8EB1-1F69F1A4C99A}" name="M_TABLE_21209" displayName="M_TABLE_21209" ref="B23:I43" totalsRowShown="0">
  <autoFilter ref="B23:I43" xr:uid="{23179B39-3C7E-47AE-8EB1-1F69F1A4C99A}"/>
  <tableColumns count="8">
    <tableColumn id="9" xr3:uid="{8F648F4C-750B-4B79-BC53-DA026089F094}" name="産業中分類上位２０"/>
    <tableColumn id="10" xr3:uid="{9BC0E750-ADAB-48F4-8475-F7A6BB79DA01}" name="総数／事業所数" dataCellStyle="桁区切り"/>
    <tableColumn id="11" xr3:uid="{D36E706D-1B34-4A0E-95CD-5AAAF36D6E4C}" name="総数／構成比" dataDxfId="467"/>
    <tableColumn id="12" xr3:uid="{F185F062-0AB2-4344-B838-1BCDB0AFDC11}" name="個人／事業所数" dataCellStyle="桁区切り"/>
    <tableColumn id="13" xr3:uid="{9C96031D-617A-4EA2-AC15-B5AD2E7DA68C}" name="個人／構成比" dataDxfId="466"/>
    <tableColumn id="14" xr3:uid="{A8FB5042-89CB-4FE3-BD57-53A5926096F2}" name="法人／事業所数" dataCellStyle="桁区切り"/>
    <tableColumn id="15" xr3:uid="{4125D541-CB2D-4FEB-8D29-0FF7104F9939}" name="法人／構成比" dataDxfId="465"/>
    <tableColumn id="16" xr3:uid="{CDD86316-63C9-48E1-9823-A450F13BD3F8}" name="法人以外の団体／事業所数" dataCellStyle="桁区切り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7200473-D831-48D2-96D8-81579B9415FD}" name="S_TABLE_21000" displayName="S_TABLE_21000" ref="B46:I66" totalsRowShown="0">
  <autoFilter ref="B46:I66" xr:uid="{D7200473-D831-48D2-96D8-81579B9415FD}"/>
  <tableColumns count="8">
    <tableColumn id="9" xr3:uid="{C188E33E-25F9-42D1-BFDF-A0D8DB025907}" name="産業小分類上位２０"/>
    <tableColumn id="10" xr3:uid="{12D59C67-3B18-430B-AB98-18A614A9C44A}" name="総数／事業所数" dataCellStyle="桁区切り"/>
    <tableColumn id="11" xr3:uid="{CE40A86B-15A8-463B-9D1C-B36352B925BB}" name="総数／構成比" dataDxfId="590"/>
    <tableColumn id="12" xr3:uid="{12B4B0A8-08F2-4727-BD30-98B009B09EC0}" name="個人／事業所数" dataCellStyle="桁区切り"/>
    <tableColumn id="13" xr3:uid="{70B39CF3-EB7D-4B52-9D1D-44D4BD45E3EC}" name="個人／構成比" dataDxfId="589"/>
    <tableColumn id="14" xr3:uid="{12DE3713-3B95-4768-B50F-73C9B83C78C0}" name="法人／事業所数" dataCellStyle="桁区切り"/>
    <tableColumn id="15" xr3:uid="{50E8DAD5-D6D2-4CAA-AF9C-E30E5F3DA73E}" name="法人／構成比" dataDxfId="588"/>
    <tableColumn id="16" xr3:uid="{2831726E-04DE-440E-BB46-1F7EFCB95102}" name="法人以外の団体／事業所数" dataCellStyle="桁区切り"/>
  </tableColumns>
  <tableStyleInfo name="TableStyleMedium9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4739C8B1-B7BC-4744-95DE-9A5A49C1775F}" name="S_TABLE_21209" displayName="S_TABLE_21209" ref="B46:I67" totalsRowShown="0">
  <autoFilter ref="B46:I67" xr:uid="{4739C8B1-B7BC-4744-95DE-9A5A49C1775F}"/>
  <tableColumns count="8">
    <tableColumn id="9" xr3:uid="{7032D78D-BC64-480A-8770-15DA087C9A41}" name="産業小分類上位２０"/>
    <tableColumn id="10" xr3:uid="{01305C3A-A786-4849-95D1-FC9A1DA08980}" name="総数／事業所数" dataCellStyle="桁区切り"/>
    <tableColumn id="11" xr3:uid="{FF5FA667-2F68-4EA4-BCE4-F0CA948AD104}" name="総数／構成比" dataDxfId="464"/>
    <tableColumn id="12" xr3:uid="{990D551E-3DD3-4685-B09D-E26EB6E2895C}" name="個人／事業所数" dataCellStyle="桁区切り"/>
    <tableColumn id="13" xr3:uid="{ED8AEC2B-AD82-4A6B-BA67-BAE49998B2C8}" name="個人／構成比" dataDxfId="463"/>
    <tableColumn id="14" xr3:uid="{0D8B2476-131C-4706-A446-D4D47BC4326A}" name="法人／事業所数" dataCellStyle="桁区切り"/>
    <tableColumn id="15" xr3:uid="{E8F4D83C-6A38-4B14-829C-F04987F8C834}" name="法人／構成比" dataDxfId="462"/>
    <tableColumn id="16" xr3:uid="{201D8975-0B2E-40AD-8A50-8A6B379539B7}" name="法人以外の団体／事業所数" dataCellStyle="桁区切り"/>
  </tableColumns>
  <tableStyleInfo name="TableStyleMedium9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EC239D-4561-45AF-BC86-CCAFFC92B0BD}" name="LTBL_21210" displayName="LTBL_21210" ref="B4:I20" totalsRowCount="1">
  <autoFilter ref="B4:I19" xr:uid="{00EC239D-4561-45AF-BC86-CCAFFC92B0BD}"/>
  <tableColumns count="8">
    <tableColumn id="9" xr3:uid="{DF97611F-9E0A-4918-B2D1-770B3B719214}" name="産業大分類" totalsRowLabel="合計" totalsRowDxfId="461"/>
    <tableColumn id="10" xr3:uid="{DA8CFE2B-85A8-4182-B445-AA5AF5587EFA}" name="総数／事業所数" totalsRowFunction="custom" totalsRowDxfId="460" dataCellStyle="桁区切り" totalsRowCellStyle="桁区切り">
      <totalsRowFormula>SUM(LTBL_21210[総数／事業所数])</totalsRowFormula>
    </tableColumn>
    <tableColumn id="11" xr3:uid="{F8063D11-4AD0-4036-ACF6-6B599BEE0858}" name="総数／構成比" dataDxfId="459"/>
    <tableColumn id="12" xr3:uid="{92ADAFFE-1065-44DF-966F-C8F1AF7D1920}" name="個人／事業所数" totalsRowFunction="sum" totalsRowDxfId="458" dataCellStyle="桁区切り" totalsRowCellStyle="桁区切り"/>
    <tableColumn id="13" xr3:uid="{C1167211-C442-4C40-88D5-2A641F0826D8}" name="個人／構成比" dataDxfId="457"/>
    <tableColumn id="14" xr3:uid="{3C1131A0-DAC9-425E-A0A2-7A144ABF3EB7}" name="法人／事業所数" totalsRowFunction="sum" totalsRowDxfId="456" dataCellStyle="桁区切り" totalsRowCellStyle="桁区切り"/>
    <tableColumn id="15" xr3:uid="{4822256C-AEA3-4FDF-8170-2CD2B62C9EE7}" name="法人／構成比" dataDxfId="455"/>
    <tableColumn id="16" xr3:uid="{7A50E2E7-8F15-4B24-B225-E253C453990D}" name="法人以外の団体／事業所数" totalsRowFunction="sum" totalsRowDxfId="454" dataCellStyle="桁区切り" totalsRowCellStyle="桁区切り"/>
  </tableColumns>
  <tableStyleInfo name="TableStyleMedium9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790F6E7F-F0FE-46E3-B78A-E423BDDA2BF8}" name="M_TABLE_21210" displayName="M_TABLE_21210" ref="B23:I44" totalsRowShown="0">
  <autoFilter ref="B23:I44" xr:uid="{790F6E7F-F0FE-46E3-B78A-E423BDDA2BF8}"/>
  <tableColumns count="8">
    <tableColumn id="9" xr3:uid="{A7633F25-AAF4-495F-A85A-7CE04C220582}" name="産業中分類上位２０"/>
    <tableColumn id="10" xr3:uid="{3F301902-DC4E-4814-9F51-159A3B3F8737}" name="総数／事業所数" dataCellStyle="桁区切り"/>
    <tableColumn id="11" xr3:uid="{1FEDE8AE-2638-438D-BDE8-847F05F77F84}" name="総数／構成比" dataDxfId="453"/>
    <tableColumn id="12" xr3:uid="{5280F1E4-30F6-461F-B30B-882854C94660}" name="個人／事業所数" dataCellStyle="桁区切り"/>
    <tableColumn id="13" xr3:uid="{2C0C4A13-F35C-470F-817B-6F5355525325}" name="個人／構成比" dataDxfId="452"/>
    <tableColumn id="14" xr3:uid="{60C52E21-BCEF-4AA6-9F86-707E8CE70983}" name="法人／事業所数" dataCellStyle="桁区切り"/>
    <tableColumn id="15" xr3:uid="{F4CD2A8E-A119-4FB0-B214-B25370A133C2}" name="法人／構成比" dataDxfId="451"/>
    <tableColumn id="16" xr3:uid="{13EFB22F-90E7-4901-9F74-61AE97FB8020}" name="法人以外の団体／事業所数" dataCellStyle="桁区切り"/>
  </tableColumns>
  <tableStyleInfo name="TableStyleMedium9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87BCDA56-EE6A-414B-989F-488D8E091526}" name="S_TABLE_21210" displayName="S_TABLE_21210" ref="B47:I67" totalsRowShown="0">
  <autoFilter ref="B47:I67" xr:uid="{87BCDA56-EE6A-414B-989F-488D8E091526}"/>
  <tableColumns count="8">
    <tableColumn id="9" xr3:uid="{135C4F02-1B99-4E6C-8952-F9911CD6EB54}" name="産業小分類上位２０"/>
    <tableColumn id="10" xr3:uid="{E262178F-C65B-47F2-BEA4-680C94B647BD}" name="総数／事業所数" dataCellStyle="桁区切り"/>
    <tableColumn id="11" xr3:uid="{3E9775E6-B44C-4B76-8358-DA9B39DF42D0}" name="総数／構成比" dataDxfId="450"/>
    <tableColumn id="12" xr3:uid="{F8BFD4EB-2AA0-4DAC-AC1A-C1D1A7CBEEFE}" name="個人／事業所数" dataCellStyle="桁区切り"/>
    <tableColumn id="13" xr3:uid="{D3BC1296-656D-498B-8160-F2BF683D8A69}" name="個人／構成比" dataDxfId="449"/>
    <tableColumn id="14" xr3:uid="{D9E74993-73A4-4ABE-90EA-ABE6EAF7C280}" name="法人／事業所数" dataCellStyle="桁区切り"/>
    <tableColumn id="15" xr3:uid="{678D30AD-3C91-4672-8AFA-612660294AB9}" name="法人／構成比" dataDxfId="448"/>
    <tableColumn id="16" xr3:uid="{801FF9AB-2C6F-481B-A3AE-99614A3702D3}" name="法人以外の団体／事業所数" dataCellStyle="桁区切り"/>
  </tableColumns>
  <tableStyleInfo name="TableStyleMedium9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B9E5FCD9-454B-4044-9A41-7361ADE1075F}" name="LTBL_21211" displayName="LTBL_21211" ref="B4:I20" totalsRowCount="1">
  <autoFilter ref="B4:I19" xr:uid="{B9E5FCD9-454B-4044-9A41-7361ADE1075F}"/>
  <tableColumns count="8">
    <tableColumn id="9" xr3:uid="{642E58AF-0EE8-43DC-9372-C4E3C015D60A}" name="産業大分類" totalsRowLabel="合計" totalsRowDxfId="447"/>
    <tableColumn id="10" xr3:uid="{106795C0-8242-43AC-8309-AAFB57B92F3C}" name="総数／事業所数" totalsRowFunction="custom" totalsRowDxfId="446" dataCellStyle="桁区切り" totalsRowCellStyle="桁区切り">
      <totalsRowFormula>SUM(LTBL_21211[総数／事業所数])</totalsRowFormula>
    </tableColumn>
    <tableColumn id="11" xr3:uid="{774B5E3E-2E9F-4103-8F02-4467A67F0E0C}" name="総数／構成比" dataDxfId="445"/>
    <tableColumn id="12" xr3:uid="{74A8969B-E426-4B7F-8E59-B648EC8272DB}" name="個人／事業所数" totalsRowFunction="sum" totalsRowDxfId="444" dataCellStyle="桁区切り" totalsRowCellStyle="桁区切り"/>
    <tableColumn id="13" xr3:uid="{2AF8321E-93F2-4130-BE26-C5740265BD43}" name="個人／構成比" dataDxfId="443"/>
    <tableColumn id="14" xr3:uid="{34B5585F-72D6-46EB-8A42-66C98393133D}" name="法人／事業所数" totalsRowFunction="sum" totalsRowDxfId="442" dataCellStyle="桁区切り" totalsRowCellStyle="桁区切り"/>
    <tableColumn id="15" xr3:uid="{B315856C-0513-4FAF-9BB0-FBAE307DE5F7}" name="法人／構成比" dataDxfId="441"/>
    <tableColumn id="16" xr3:uid="{30697880-6A4E-4BE8-A411-1B9C82CCE9A8}" name="法人以外の団体／事業所数" totalsRowFunction="sum" totalsRowDxfId="440" dataCellStyle="桁区切り" totalsRowCellStyle="桁区切り"/>
  </tableColumns>
  <tableStyleInfo name="TableStyleMedium9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56DCA8DC-F314-4225-B330-D2B7C120DC6A}" name="M_TABLE_21211" displayName="M_TABLE_21211" ref="B23:I44" totalsRowShown="0">
  <autoFilter ref="B23:I44" xr:uid="{56DCA8DC-F314-4225-B330-D2B7C120DC6A}"/>
  <tableColumns count="8">
    <tableColumn id="9" xr3:uid="{B0BCBC41-518B-4E79-8E5F-0831EEE094E4}" name="産業中分類上位２０"/>
    <tableColumn id="10" xr3:uid="{B8649167-D0CA-412B-9E36-9077E3705907}" name="総数／事業所数" dataCellStyle="桁区切り"/>
    <tableColumn id="11" xr3:uid="{4F53EEF5-91F4-44A4-A835-F037DA9DF483}" name="総数／構成比" dataDxfId="439"/>
    <tableColumn id="12" xr3:uid="{A8C82348-E4A8-46AA-97E6-1B569A494E26}" name="個人／事業所数" dataCellStyle="桁区切り"/>
    <tableColumn id="13" xr3:uid="{192D241B-0C42-4F79-BC5C-E9C6B74CB5FA}" name="個人／構成比" dataDxfId="438"/>
    <tableColumn id="14" xr3:uid="{140760FD-8E5B-4AC9-9CC6-C8FFEDAEF6A4}" name="法人／事業所数" dataCellStyle="桁区切り"/>
    <tableColumn id="15" xr3:uid="{966D2856-31D0-4192-93DA-FA1C5D5A2C0F}" name="法人／構成比" dataDxfId="437"/>
    <tableColumn id="16" xr3:uid="{D28245BA-9A67-4D99-B80F-A29DF6035E4E}" name="法人以外の団体／事業所数" dataCellStyle="桁区切り"/>
  </tableColumns>
  <tableStyleInfo name="TableStyleMedium9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718129F3-7225-482D-B968-248070F948E3}" name="S_TABLE_21211" displayName="S_TABLE_21211" ref="B47:I69" totalsRowShown="0">
  <autoFilter ref="B47:I69" xr:uid="{718129F3-7225-482D-B968-248070F948E3}"/>
  <tableColumns count="8">
    <tableColumn id="9" xr3:uid="{698936DC-D5E9-43AA-8304-37F5ECEE58B3}" name="産業小分類上位２０"/>
    <tableColumn id="10" xr3:uid="{389BE8AF-7207-458C-842D-BCED6D7F202A}" name="総数／事業所数" dataCellStyle="桁区切り"/>
    <tableColumn id="11" xr3:uid="{B1892DC5-1A3F-43AD-BC9B-F04F7F9CAF0B}" name="総数／構成比" dataDxfId="436"/>
    <tableColumn id="12" xr3:uid="{6D01B210-B6C8-46E8-9D93-028EBE3D7C38}" name="個人／事業所数" dataCellStyle="桁区切り"/>
    <tableColumn id="13" xr3:uid="{D9628C9E-4262-4052-9753-BB4E6C081226}" name="個人／構成比" dataDxfId="435"/>
    <tableColumn id="14" xr3:uid="{ECC9A98D-5DA4-42CC-942A-B59D4F9AD0C1}" name="法人／事業所数" dataCellStyle="桁区切り"/>
    <tableColumn id="15" xr3:uid="{3CF1BC8E-BE3D-450B-BD1D-9F66C0906CD6}" name="法人／構成比" dataDxfId="434"/>
    <tableColumn id="16" xr3:uid="{BD63D3A9-E8A7-4181-8544-2C859BEDA54E}" name="法人以外の団体／事業所数" dataCellStyle="桁区切り"/>
  </tableColumns>
  <tableStyleInfo name="TableStyleMedium9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EA4E77CD-3CB5-46B3-9EFD-B164231855F1}" name="LTBL_21212" displayName="LTBL_21212" ref="B4:I20" totalsRowCount="1">
  <autoFilter ref="B4:I19" xr:uid="{EA4E77CD-3CB5-46B3-9EFD-B164231855F1}"/>
  <tableColumns count="8">
    <tableColumn id="9" xr3:uid="{3D499917-0CD4-47B0-9562-C6AF14E3BF98}" name="産業大分類" totalsRowLabel="合計" totalsRowDxfId="433"/>
    <tableColumn id="10" xr3:uid="{389C5B67-24A5-42F2-989B-9970413354DE}" name="総数／事業所数" totalsRowFunction="custom" totalsRowDxfId="432" dataCellStyle="桁区切り" totalsRowCellStyle="桁区切り">
      <totalsRowFormula>SUM(LTBL_21212[総数／事業所数])</totalsRowFormula>
    </tableColumn>
    <tableColumn id="11" xr3:uid="{3034A72D-45F0-4EAE-9FD1-866FF3AF901A}" name="総数／構成比" dataDxfId="431"/>
    <tableColumn id="12" xr3:uid="{37C8D028-7FDF-4106-A6A1-69B94382A2C3}" name="個人／事業所数" totalsRowFunction="sum" totalsRowDxfId="430" dataCellStyle="桁区切り" totalsRowCellStyle="桁区切り"/>
    <tableColumn id="13" xr3:uid="{2C9E0AD6-4071-496F-8660-BEFEAA78CA7D}" name="個人／構成比" dataDxfId="429"/>
    <tableColumn id="14" xr3:uid="{E8BD69D8-283D-429B-80FD-AB2304D1A521}" name="法人／事業所数" totalsRowFunction="sum" totalsRowDxfId="428" dataCellStyle="桁区切り" totalsRowCellStyle="桁区切り"/>
    <tableColumn id="15" xr3:uid="{C33951D5-A1EC-4512-A69C-9FAC6A4E6F06}" name="法人／構成比" dataDxfId="427"/>
    <tableColumn id="16" xr3:uid="{19A260DF-7C63-473A-8F26-059A44BC59B5}" name="法人以外の団体／事業所数" totalsRowFunction="sum" totalsRowDxfId="426" dataCellStyle="桁区切り" totalsRowCellStyle="桁区切り"/>
  </tableColumns>
  <tableStyleInfo name="TableStyleMedium9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8416F8E2-0191-49F8-A8CA-7C34938682F7}" name="M_TABLE_21212" displayName="M_TABLE_21212" ref="B23:I43" totalsRowShown="0">
  <autoFilter ref="B23:I43" xr:uid="{8416F8E2-0191-49F8-A8CA-7C34938682F7}"/>
  <tableColumns count="8">
    <tableColumn id="9" xr3:uid="{78848BEE-F3D9-4B83-B003-FC4A0AFBBCB8}" name="産業中分類上位２０"/>
    <tableColumn id="10" xr3:uid="{CB2430DD-0DF6-4C5E-9110-55C178FF6F88}" name="総数／事業所数" dataCellStyle="桁区切り"/>
    <tableColumn id="11" xr3:uid="{BD097920-5A64-4814-A7D6-A0A4533614CC}" name="総数／構成比" dataDxfId="425"/>
    <tableColumn id="12" xr3:uid="{CC32F706-DB1E-4C31-A279-BA94E51EE91E}" name="個人／事業所数" dataCellStyle="桁区切り"/>
    <tableColumn id="13" xr3:uid="{8F7C2FDF-A8B5-4C62-BB94-E6D8EB16E258}" name="個人／構成比" dataDxfId="424"/>
    <tableColumn id="14" xr3:uid="{113EA8F9-C725-41F9-B8FC-90460005CF82}" name="法人／事業所数" dataCellStyle="桁区切り"/>
    <tableColumn id="15" xr3:uid="{0FD4803E-44AA-4391-8128-ED594B8300CC}" name="法人／構成比" dataDxfId="423"/>
    <tableColumn id="16" xr3:uid="{2AEAD9C4-6673-443A-9D75-49C14310FCB0}" name="法人以外の団体／事業所数" dataCellStyle="桁区切り"/>
  </tableColumns>
  <tableStyleInfo name="TableStyleMedium9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EAA5EAF9-46DA-4E4E-B235-08FB279E0F6D}" name="S_TABLE_21212" displayName="S_TABLE_21212" ref="B46:I67" totalsRowShown="0">
  <autoFilter ref="B46:I67" xr:uid="{EAA5EAF9-46DA-4E4E-B235-08FB279E0F6D}"/>
  <tableColumns count="8">
    <tableColumn id="9" xr3:uid="{873F0183-AFC4-4092-A975-42F3F55A3155}" name="産業小分類上位２０"/>
    <tableColumn id="10" xr3:uid="{91C404EC-3756-4909-A446-7ABA776FECC6}" name="総数／事業所数" dataCellStyle="桁区切り"/>
    <tableColumn id="11" xr3:uid="{589CD184-4D70-4F6A-A50C-D962701BB3BE}" name="総数／構成比" dataDxfId="422"/>
    <tableColumn id="12" xr3:uid="{ECC2BB7B-4702-4AB3-B475-B5EE1FB4F5EA}" name="個人／事業所数" dataCellStyle="桁区切り"/>
    <tableColumn id="13" xr3:uid="{FB07A181-8204-40DD-9DEB-2E8DE90DE1EB}" name="個人／構成比" dataDxfId="421"/>
    <tableColumn id="14" xr3:uid="{E1AF4F88-6EF6-405D-9820-A44AFFD05AB6}" name="法人／事業所数" dataCellStyle="桁区切り"/>
    <tableColumn id="15" xr3:uid="{D0ADB7DF-07D9-4D35-B7D6-5DB42A8B70E8}" name="法人／構成比" dataDxfId="420"/>
    <tableColumn id="16" xr3:uid="{F0B881EA-E784-4107-A407-8E0036743ED3}" name="法人以外の団体／事業所数" dataCellStyle="桁区切り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18CBCFA-F987-4377-B2D7-F53EE1308218}" name="LTBL_21201" displayName="LTBL_21201" ref="B4:I20" totalsRowCount="1">
  <autoFilter ref="B4:I19" xr:uid="{B18CBCFA-F987-4377-B2D7-F53EE1308218}"/>
  <tableColumns count="8">
    <tableColumn id="9" xr3:uid="{CC97098D-F9DE-4B0A-9548-308C6E306F82}" name="産業大分類" totalsRowLabel="合計" totalsRowDxfId="587"/>
    <tableColumn id="10" xr3:uid="{D816C76B-9E27-4DD8-9073-B04F25AE0EF2}" name="総数／事業所数" totalsRowFunction="custom" totalsRowDxfId="586" dataCellStyle="桁区切り" totalsRowCellStyle="桁区切り">
      <totalsRowFormula>SUM(LTBL_21201[総数／事業所数])</totalsRowFormula>
    </tableColumn>
    <tableColumn id="11" xr3:uid="{1C35755F-56A1-49F1-AB28-DEEDC0B43167}" name="総数／構成比" dataDxfId="585"/>
    <tableColumn id="12" xr3:uid="{90985E26-042F-4851-8269-D79082F68266}" name="個人／事業所数" totalsRowFunction="sum" totalsRowDxfId="584" dataCellStyle="桁区切り" totalsRowCellStyle="桁区切り"/>
    <tableColumn id="13" xr3:uid="{6BBBEC2B-4665-4929-9E62-C51623651314}" name="個人／構成比" dataDxfId="583"/>
    <tableColumn id="14" xr3:uid="{3B0DC4CD-817F-439E-8DB0-D9DCD2FC64A6}" name="法人／事業所数" totalsRowFunction="sum" totalsRowDxfId="582" dataCellStyle="桁区切り" totalsRowCellStyle="桁区切り"/>
    <tableColumn id="15" xr3:uid="{B215C563-C6AE-4647-8346-09807964D385}" name="法人／構成比" dataDxfId="581"/>
    <tableColumn id="16" xr3:uid="{A6B69755-19FD-4688-8008-60FF40480638}" name="法人以外の団体／事業所数" totalsRowFunction="sum" totalsRowDxfId="580" dataCellStyle="桁区切り" totalsRowCellStyle="桁区切り"/>
  </tableColumns>
  <tableStyleInfo name="TableStyleMedium9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EBCA1E49-F31D-4E21-A042-734DE3E81EFD}" name="LTBL_21213" displayName="LTBL_21213" ref="B4:I20" totalsRowCount="1">
  <autoFilter ref="B4:I19" xr:uid="{EBCA1E49-F31D-4E21-A042-734DE3E81EFD}"/>
  <tableColumns count="8">
    <tableColumn id="9" xr3:uid="{FA5D5725-F789-4050-803A-D01E6CDB6C75}" name="産業大分類" totalsRowLabel="合計" totalsRowDxfId="419"/>
    <tableColumn id="10" xr3:uid="{BE7A53BB-419B-45E2-96DC-BBC9A2BC9E2A}" name="総数／事業所数" totalsRowFunction="custom" totalsRowDxfId="418" dataCellStyle="桁区切り" totalsRowCellStyle="桁区切り">
      <totalsRowFormula>SUM(LTBL_21213[総数／事業所数])</totalsRowFormula>
    </tableColumn>
    <tableColumn id="11" xr3:uid="{C3B0A48D-1042-4D0A-962F-2FB77143E135}" name="総数／構成比" dataDxfId="417"/>
    <tableColumn id="12" xr3:uid="{A899EB93-06F3-42E9-BA78-28910CDDA399}" name="個人／事業所数" totalsRowFunction="sum" totalsRowDxfId="416" dataCellStyle="桁区切り" totalsRowCellStyle="桁区切り"/>
    <tableColumn id="13" xr3:uid="{146E26B3-BF39-4B80-B341-385A14E1CB64}" name="個人／構成比" dataDxfId="415"/>
    <tableColumn id="14" xr3:uid="{60AC6CE5-2226-436D-B0C1-E73B01923F05}" name="法人／事業所数" totalsRowFunction="sum" totalsRowDxfId="414" dataCellStyle="桁区切り" totalsRowCellStyle="桁区切り"/>
    <tableColumn id="15" xr3:uid="{6C0921C5-17DA-49C3-98C4-C5DE84EC085F}" name="法人／構成比" dataDxfId="413"/>
    <tableColumn id="16" xr3:uid="{C6F0AA4A-0CBC-42B2-8C79-823858A46CF6}" name="法人以外の団体／事業所数" totalsRowFunction="sum" totalsRowDxfId="412" dataCellStyle="桁区切り" totalsRowCellStyle="桁区切り"/>
  </tableColumns>
  <tableStyleInfo name="TableStyleMedium9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AE0DE85A-9EBE-4559-B726-9B120CE07F23}" name="M_TABLE_21213" displayName="M_TABLE_21213" ref="B23:I43" totalsRowShown="0">
  <autoFilter ref="B23:I43" xr:uid="{AE0DE85A-9EBE-4559-B726-9B120CE07F23}"/>
  <tableColumns count="8">
    <tableColumn id="9" xr3:uid="{921F7EEE-8034-4839-9BF3-6F2C417619AC}" name="産業中分類上位２０"/>
    <tableColumn id="10" xr3:uid="{A9A30254-14F1-494D-9769-0AFB8CFFD072}" name="総数／事業所数" dataCellStyle="桁区切り"/>
    <tableColumn id="11" xr3:uid="{FD711EC1-8F36-4B6D-81A2-45A441F86206}" name="総数／構成比" dataDxfId="411"/>
    <tableColumn id="12" xr3:uid="{43B89F43-27C5-45FA-A893-761D0EE9C607}" name="個人／事業所数" dataCellStyle="桁区切り"/>
    <tableColumn id="13" xr3:uid="{94889856-76A6-4FB6-8534-9460FCA43C2F}" name="個人／構成比" dataDxfId="410"/>
    <tableColumn id="14" xr3:uid="{30047B9F-02BD-4239-AB72-0DE54AA9AA16}" name="法人／事業所数" dataCellStyle="桁区切り"/>
    <tableColumn id="15" xr3:uid="{D95A0463-67ED-408B-BA73-E26C6F118D6F}" name="法人／構成比" dataDxfId="409"/>
    <tableColumn id="16" xr3:uid="{6073ECB8-55FA-4252-9CB8-4E98699A5871}" name="法人以外の団体／事業所数" dataCellStyle="桁区切り"/>
  </tableColumns>
  <tableStyleInfo name="TableStyleMedium9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CA5614F2-BF98-43DD-9D7B-20384985A73A}" name="S_TABLE_21213" displayName="S_TABLE_21213" ref="B46:I66" totalsRowShown="0">
  <autoFilter ref="B46:I66" xr:uid="{CA5614F2-BF98-43DD-9D7B-20384985A73A}"/>
  <tableColumns count="8">
    <tableColumn id="9" xr3:uid="{71A13190-7E7A-4B4D-BB4A-93FE234C6DA7}" name="産業小分類上位２０"/>
    <tableColumn id="10" xr3:uid="{1230F87B-6CBA-4621-AAD8-4E81FF632C5F}" name="総数／事業所数" dataCellStyle="桁区切り"/>
    <tableColumn id="11" xr3:uid="{F2070F78-82C0-4A17-88A8-702932A7637E}" name="総数／構成比" dataDxfId="408"/>
    <tableColumn id="12" xr3:uid="{3B9E9AEC-4534-4036-BBD5-BD5B9A150352}" name="個人／事業所数" dataCellStyle="桁区切り"/>
    <tableColumn id="13" xr3:uid="{4F8AC40B-5953-446D-BED4-99B85F44AE6C}" name="個人／構成比" dataDxfId="407"/>
    <tableColumn id="14" xr3:uid="{89FBD5EE-B5D9-4A51-9421-CD9BEC5A15F5}" name="法人／事業所数" dataCellStyle="桁区切り"/>
    <tableColumn id="15" xr3:uid="{41E50184-C15F-44D0-8161-29C74A861FDD}" name="法人／構成比" dataDxfId="406"/>
    <tableColumn id="16" xr3:uid="{457AD665-A655-4F68-89A4-73E10E122A3B}" name="法人以外の団体／事業所数" dataCellStyle="桁区切り"/>
  </tableColumns>
  <tableStyleInfo name="TableStyleMedium9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3B3C3798-CDA3-4A48-8A39-6C725A18BB3A}" name="LTBL_21214" displayName="LTBL_21214" ref="B4:I20" totalsRowCount="1">
  <autoFilter ref="B4:I19" xr:uid="{3B3C3798-CDA3-4A48-8A39-6C725A18BB3A}"/>
  <tableColumns count="8">
    <tableColumn id="9" xr3:uid="{C1904ED0-9A33-40CD-BA01-65C4CC4039DE}" name="産業大分類" totalsRowLabel="合計" totalsRowDxfId="405"/>
    <tableColumn id="10" xr3:uid="{845BED39-AD3E-4A7F-BBCB-62021E75E943}" name="総数／事業所数" totalsRowFunction="custom" totalsRowDxfId="404" dataCellStyle="桁区切り" totalsRowCellStyle="桁区切り">
      <totalsRowFormula>SUM(LTBL_21214[総数／事業所数])</totalsRowFormula>
    </tableColumn>
    <tableColumn id="11" xr3:uid="{104BC461-E061-4142-8916-A791AE5F1101}" name="総数／構成比" dataDxfId="403"/>
    <tableColumn id="12" xr3:uid="{BF2BAD9E-66E8-4AF1-B4B2-B5C7721A0191}" name="個人／事業所数" totalsRowFunction="sum" totalsRowDxfId="402" dataCellStyle="桁区切り" totalsRowCellStyle="桁区切り"/>
    <tableColumn id="13" xr3:uid="{22D1D61B-452B-4551-ADB8-30BE5B59D505}" name="個人／構成比" dataDxfId="401"/>
    <tableColumn id="14" xr3:uid="{E4643583-BFC9-4A9A-8D96-B5F802BA508A}" name="法人／事業所数" totalsRowFunction="sum" totalsRowDxfId="400" dataCellStyle="桁区切り" totalsRowCellStyle="桁区切り"/>
    <tableColumn id="15" xr3:uid="{E44D8ADC-EA6F-45A7-BECB-D8414A4385B3}" name="法人／構成比" dataDxfId="399"/>
    <tableColumn id="16" xr3:uid="{1A4F9363-B898-4C55-A84A-6740395D80A9}" name="法人以外の団体／事業所数" totalsRowFunction="sum" totalsRowDxfId="398" dataCellStyle="桁区切り" totalsRowCellStyle="桁区切り"/>
  </tableColumns>
  <tableStyleInfo name="TableStyleMedium9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B4AB4AFE-E28D-4960-8C99-E9DAD8383F8D}" name="M_TABLE_21214" displayName="M_TABLE_21214" ref="B23:I44" totalsRowShown="0">
  <autoFilter ref="B23:I44" xr:uid="{B4AB4AFE-E28D-4960-8C99-E9DAD8383F8D}"/>
  <tableColumns count="8">
    <tableColumn id="9" xr3:uid="{DE2AA663-E7D4-46D9-B3A3-468662E4EC6E}" name="産業中分類上位２０"/>
    <tableColumn id="10" xr3:uid="{29613B3F-F6DC-49FB-BED6-F36E2150D028}" name="総数／事業所数" dataCellStyle="桁区切り"/>
    <tableColumn id="11" xr3:uid="{BDAD7A60-1F8C-416C-BE17-C5B9E9FB8236}" name="総数／構成比" dataDxfId="397"/>
    <tableColumn id="12" xr3:uid="{0C0C2981-FE65-497F-9856-AC1989A8A49D}" name="個人／事業所数" dataCellStyle="桁区切り"/>
    <tableColumn id="13" xr3:uid="{566A49C0-4E9E-42CC-8F65-144DF0857244}" name="個人／構成比" dataDxfId="396"/>
    <tableColumn id="14" xr3:uid="{BCA13BE2-A93A-4AB7-9F34-33481274F4D2}" name="法人／事業所数" dataCellStyle="桁区切り"/>
    <tableColumn id="15" xr3:uid="{07AA3A54-A7DE-497D-BB3B-BBDA862744F3}" name="法人／構成比" dataDxfId="395"/>
    <tableColumn id="16" xr3:uid="{5404D698-53C4-4470-86D1-61F7C1DF6757}" name="法人以外の団体／事業所数" dataCellStyle="桁区切り"/>
  </tableColumns>
  <tableStyleInfo name="TableStyleMedium9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5EDD7567-37C6-47FA-9AAF-C892BC31A44F}" name="S_TABLE_21214" displayName="S_TABLE_21214" ref="B47:I68" totalsRowShown="0">
  <autoFilter ref="B47:I68" xr:uid="{5EDD7567-37C6-47FA-9AAF-C892BC31A44F}"/>
  <tableColumns count="8">
    <tableColumn id="9" xr3:uid="{3FE765F7-8FC6-4E16-8458-7EDC8B5AF2E4}" name="産業小分類上位２０"/>
    <tableColumn id="10" xr3:uid="{61845A72-4B5B-40B1-ABDB-0B7740F8E97F}" name="総数／事業所数" dataCellStyle="桁区切り"/>
    <tableColumn id="11" xr3:uid="{F3AE430E-5B92-45C3-B712-4FBA82705483}" name="総数／構成比" dataDxfId="394"/>
    <tableColumn id="12" xr3:uid="{7E678B87-2192-43D3-97FC-1BEB6E885227}" name="個人／事業所数" dataCellStyle="桁区切り"/>
    <tableColumn id="13" xr3:uid="{2F9270D9-C9C6-4090-B928-6E5017B6DC06}" name="個人／構成比" dataDxfId="393"/>
    <tableColumn id="14" xr3:uid="{E32AA356-026B-4A80-BF68-6D02EF76CC56}" name="法人／事業所数" dataCellStyle="桁区切り"/>
    <tableColumn id="15" xr3:uid="{9DD70A86-FB76-4002-AB87-C831D391871C}" name="法人／構成比" dataDxfId="392"/>
    <tableColumn id="16" xr3:uid="{84E989BB-7A6C-402B-A4CD-A6C29F352589}" name="法人以外の団体／事業所数" dataCellStyle="桁区切り"/>
  </tableColumns>
  <tableStyleInfo name="TableStyleMedium9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FB7EDF85-C2A9-41E8-8708-3EDFC5CD9E2D}" name="LTBL_21215" displayName="LTBL_21215" ref="B4:I20" totalsRowCount="1">
  <autoFilter ref="B4:I19" xr:uid="{FB7EDF85-C2A9-41E8-8708-3EDFC5CD9E2D}"/>
  <tableColumns count="8">
    <tableColumn id="9" xr3:uid="{E883465E-4690-4A37-98EB-6CE091A26869}" name="産業大分類" totalsRowLabel="合計" totalsRowDxfId="391"/>
    <tableColumn id="10" xr3:uid="{18C2BCE8-2325-4091-A00E-7DD30983616D}" name="総数／事業所数" totalsRowFunction="custom" totalsRowDxfId="390" dataCellStyle="桁区切り" totalsRowCellStyle="桁区切り">
      <totalsRowFormula>SUM(LTBL_21215[総数／事業所数])</totalsRowFormula>
    </tableColumn>
    <tableColumn id="11" xr3:uid="{CBD3C058-B84A-4F46-A6D0-A980F127E3FA}" name="総数／構成比" dataDxfId="389"/>
    <tableColumn id="12" xr3:uid="{B43293C0-BF9D-4C1B-A8C8-C0969A321FEB}" name="個人／事業所数" totalsRowFunction="sum" totalsRowDxfId="388" dataCellStyle="桁区切り" totalsRowCellStyle="桁区切り"/>
    <tableColumn id="13" xr3:uid="{5E3415EE-4DD3-41A8-B90C-4FD8DCD672F6}" name="個人／構成比" dataDxfId="387"/>
    <tableColumn id="14" xr3:uid="{6F712908-ECC1-4CA7-B9F4-F9ED94438769}" name="法人／事業所数" totalsRowFunction="sum" totalsRowDxfId="386" dataCellStyle="桁区切り" totalsRowCellStyle="桁区切り"/>
    <tableColumn id="15" xr3:uid="{D1116C06-B02C-4EE0-B7B2-1741FBDF9F90}" name="法人／構成比" dataDxfId="385"/>
    <tableColumn id="16" xr3:uid="{88C9E72F-813E-4D42-A04E-19DF383C167A}" name="法人以外の団体／事業所数" totalsRowFunction="sum" totalsRowDxfId="384" dataCellStyle="桁区切り" totalsRowCellStyle="桁区切り"/>
  </tableColumns>
  <tableStyleInfo name="TableStyleMedium9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8FC09A1B-A8E5-4D8B-B878-0629C54BEF79}" name="M_TABLE_21215" displayName="M_TABLE_21215" ref="B23:I43" totalsRowShown="0">
  <autoFilter ref="B23:I43" xr:uid="{8FC09A1B-A8E5-4D8B-B878-0629C54BEF79}"/>
  <tableColumns count="8">
    <tableColumn id="9" xr3:uid="{D28A1581-4E3E-4464-B281-167FB341B771}" name="産業中分類上位２０"/>
    <tableColumn id="10" xr3:uid="{A50133A4-8FA9-4678-98AA-AEF16BD50931}" name="総数／事業所数" dataCellStyle="桁区切り"/>
    <tableColumn id="11" xr3:uid="{6FA3DF21-A475-4E2E-A538-B261D31D288C}" name="総数／構成比" dataDxfId="383"/>
    <tableColumn id="12" xr3:uid="{DC805187-573F-47BD-B5D4-153CA83A18AA}" name="個人／事業所数" dataCellStyle="桁区切り"/>
    <tableColumn id="13" xr3:uid="{2732CB27-3C95-4B83-9B1E-58C6ADA75ABF}" name="個人／構成比" dataDxfId="382"/>
    <tableColumn id="14" xr3:uid="{AEABBBF4-5021-4A83-A038-6D1E30F14293}" name="法人／事業所数" dataCellStyle="桁区切り"/>
    <tableColumn id="15" xr3:uid="{47E3C303-C2A3-476A-888B-CD01FCC86D55}" name="法人／構成比" dataDxfId="381"/>
    <tableColumn id="16" xr3:uid="{565BC67A-351C-43DB-9992-4F6248F48520}" name="法人以外の団体／事業所数" dataCellStyle="桁区切り"/>
  </tableColumns>
  <tableStyleInfo name="TableStyleMedium9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2A325E1D-2071-4FF4-A0BC-51E884490322}" name="S_TABLE_21215" displayName="S_TABLE_21215" ref="B46:I69" totalsRowShown="0">
  <autoFilter ref="B46:I69" xr:uid="{2A325E1D-2071-4FF4-A0BC-51E884490322}"/>
  <tableColumns count="8">
    <tableColumn id="9" xr3:uid="{0BE94A39-6F3B-4E4F-918A-D4DF1FE04668}" name="産業小分類上位２０"/>
    <tableColumn id="10" xr3:uid="{A5070F3E-DAE2-4779-B37C-F4E689302093}" name="総数／事業所数" dataCellStyle="桁区切り"/>
    <tableColumn id="11" xr3:uid="{7DBB97A6-78B6-4596-B4C9-D7F8F58B67D5}" name="総数／構成比" dataDxfId="380"/>
    <tableColumn id="12" xr3:uid="{61E88A5C-E5E2-4A1E-8408-43E09D7DA5A6}" name="個人／事業所数" dataCellStyle="桁区切り"/>
    <tableColumn id="13" xr3:uid="{3C973C94-7EC0-4712-9FE9-7F66B801DA0E}" name="個人／構成比" dataDxfId="379"/>
    <tableColumn id="14" xr3:uid="{92ACF9DE-DED8-4C06-8972-E3BF6022C323}" name="法人／事業所数" dataCellStyle="桁区切り"/>
    <tableColumn id="15" xr3:uid="{736F9ADA-1EF6-4716-885F-3498027CCABE}" name="法人／構成比" dataDxfId="378"/>
    <tableColumn id="16" xr3:uid="{9E5A52EF-B9AA-4F2D-A1BA-87E3799847E0}" name="法人以外の団体／事業所数" dataCellStyle="桁区切り"/>
  </tableColumns>
  <tableStyleInfo name="TableStyleMedium9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4006EE01-EF8E-4109-A19E-9E88270F2B3F}" name="LTBL_21216" displayName="LTBL_21216" ref="B4:I20" totalsRowCount="1">
  <autoFilter ref="B4:I19" xr:uid="{4006EE01-EF8E-4109-A19E-9E88270F2B3F}"/>
  <tableColumns count="8">
    <tableColumn id="9" xr3:uid="{E568188A-85ED-4999-BE4D-FB03966924E5}" name="産業大分類" totalsRowLabel="合計" totalsRowDxfId="377"/>
    <tableColumn id="10" xr3:uid="{4B474D07-F084-445B-845C-0F497B692C91}" name="総数／事業所数" totalsRowFunction="custom" totalsRowDxfId="376" dataCellStyle="桁区切り" totalsRowCellStyle="桁区切り">
      <totalsRowFormula>SUM(LTBL_21216[総数／事業所数])</totalsRowFormula>
    </tableColumn>
    <tableColumn id="11" xr3:uid="{A993DE1F-D8BB-43BC-A3A6-64D13F5AFC7A}" name="総数／構成比" dataDxfId="375"/>
    <tableColumn id="12" xr3:uid="{2D63058A-780F-4D52-9A0E-1FEE05924617}" name="個人／事業所数" totalsRowFunction="sum" totalsRowDxfId="374" dataCellStyle="桁区切り" totalsRowCellStyle="桁区切り"/>
    <tableColumn id="13" xr3:uid="{4955A14D-1676-4981-A3C7-3096BD56B059}" name="個人／構成比" dataDxfId="373"/>
    <tableColumn id="14" xr3:uid="{4530B7B3-D8E2-40B7-82BB-8176705DC42E}" name="法人／事業所数" totalsRowFunction="sum" totalsRowDxfId="372" dataCellStyle="桁区切り" totalsRowCellStyle="桁区切り"/>
    <tableColumn id="15" xr3:uid="{418F255E-CC02-424A-92CE-2CE507DEEF6A}" name="法人／構成比" dataDxfId="371"/>
    <tableColumn id="16" xr3:uid="{40AD0A13-1CCF-4A8F-8F86-998EBED877B9}" name="法人以外の団体／事業所数" totalsRowFunction="sum" totalsRowDxfId="370" dataCellStyle="桁区切り" totalsRowCellStyle="桁区切り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457575A-E45F-4133-8925-B481F859E4E1}" name="M_TABLE_21201" displayName="M_TABLE_21201" ref="B23:I43" totalsRowShown="0">
  <autoFilter ref="B23:I43" xr:uid="{A457575A-E45F-4133-8925-B481F859E4E1}"/>
  <tableColumns count="8">
    <tableColumn id="9" xr3:uid="{6664848A-F4AF-4364-A261-2986F0F49244}" name="産業中分類上位２０"/>
    <tableColumn id="10" xr3:uid="{90523A61-9902-44A7-9982-B870AD542855}" name="総数／事業所数" dataCellStyle="桁区切り"/>
    <tableColumn id="11" xr3:uid="{336AC191-8518-4058-B8DA-F0FC70C2A4B9}" name="総数／構成比" dataDxfId="579"/>
    <tableColumn id="12" xr3:uid="{FE554017-0D4D-438C-AF0B-C407C62DB49A}" name="個人／事業所数" dataCellStyle="桁区切り"/>
    <tableColumn id="13" xr3:uid="{56E69CC5-258F-4C79-AF63-D0299B14C748}" name="個人／構成比" dataDxfId="578"/>
    <tableColumn id="14" xr3:uid="{A4A9681C-F22B-4029-AA36-107C71D4A3C3}" name="法人／事業所数" dataCellStyle="桁区切り"/>
    <tableColumn id="15" xr3:uid="{426C2705-8A0C-4A4A-BBC1-7B6F384E8CC7}" name="法人／構成比" dataDxfId="577"/>
    <tableColumn id="16" xr3:uid="{4BBE2774-5604-4256-A3D3-796601660221}" name="法人以外の団体／事業所数" dataCellStyle="桁区切り"/>
  </tableColumns>
  <tableStyleInfo name="TableStyleMedium9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8F222527-6E03-418E-85B9-C64FE7D7B675}" name="M_TABLE_21216" displayName="M_TABLE_21216" ref="B23:I43" totalsRowShown="0">
  <autoFilter ref="B23:I43" xr:uid="{8F222527-6E03-418E-85B9-C64FE7D7B675}"/>
  <tableColumns count="8">
    <tableColumn id="9" xr3:uid="{DB17960A-705C-48E0-A387-85330D1260BA}" name="産業中分類上位２０"/>
    <tableColumn id="10" xr3:uid="{6197FBD7-8332-4AC3-BC07-EEFE82E58BD9}" name="総数／事業所数" dataCellStyle="桁区切り"/>
    <tableColumn id="11" xr3:uid="{D72CDA95-6E21-4A5B-8B34-2103EAF8DFA2}" name="総数／構成比" dataDxfId="369"/>
    <tableColumn id="12" xr3:uid="{9A3D19FC-BF7F-4DFB-B5D4-36FC4C2CE6EF}" name="個人／事業所数" dataCellStyle="桁区切り"/>
    <tableColumn id="13" xr3:uid="{A673D56A-D8D7-4DDF-BE1F-8602E496E0B2}" name="個人／構成比" dataDxfId="368"/>
    <tableColumn id="14" xr3:uid="{6DC52A80-1DFB-459C-89CB-8FBA31074629}" name="法人／事業所数" dataCellStyle="桁区切り"/>
    <tableColumn id="15" xr3:uid="{289FA586-CB13-460F-A577-685015D89EAD}" name="法人／構成比" dataDxfId="367"/>
    <tableColumn id="16" xr3:uid="{6C450955-F832-451E-A5C3-FAE43BD259A2}" name="法人以外の団体／事業所数" dataCellStyle="桁区切り"/>
  </tableColumns>
  <tableStyleInfo name="TableStyleMedium9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DE91357A-7F68-49BF-869B-435B14B2EE8B}" name="S_TABLE_21216" displayName="S_TABLE_21216" ref="B46:I66" totalsRowShown="0">
  <autoFilter ref="B46:I66" xr:uid="{DE91357A-7F68-49BF-869B-435B14B2EE8B}"/>
  <tableColumns count="8">
    <tableColumn id="9" xr3:uid="{2BD6A2CC-D503-4391-9A41-554861CBFC97}" name="産業小分類上位２０"/>
    <tableColumn id="10" xr3:uid="{B3FA414F-865F-4F28-8FAF-68423139116D}" name="総数／事業所数" dataCellStyle="桁区切り"/>
    <tableColumn id="11" xr3:uid="{C8393259-2A0D-49FA-A4C9-488964E5CE6B}" name="総数／構成比" dataDxfId="366"/>
    <tableColumn id="12" xr3:uid="{D5E1DB33-31E1-44A0-ACE2-DD624E64984D}" name="個人／事業所数" dataCellStyle="桁区切り"/>
    <tableColumn id="13" xr3:uid="{4B803C9F-3C39-4E52-BFD1-2F777DCBECF5}" name="個人／構成比" dataDxfId="365"/>
    <tableColumn id="14" xr3:uid="{B6BDA942-BF9C-467D-9610-0996086F8D45}" name="法人／事業所数" dataCellStyle="桁区切り"/>
    <tableColumn id="15" xr3:uid="{84448B65-5EE0-4E90-B1F8-31E58919853E}" name="法人／構成比" dataDxfId="364"/>
    <tableColumn id="16" xr3:uid="{8D3F16FC-8C10-4F90-9D37-E50299889FA0}" name="法人以外の団体／事業所数" dataCellStyle="桁区切り"/>
  </tableColumns>
  <tableStyleInfo name="TableStyleMedium9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69DA7839-B3A4-4E5C-936A-E410EC901100}" name="LTBL_21217" displayName="LTBL_21217" ref="B4:I20" totalsRowCount="1">
  <autoFilter ref="B4:I19" xr:uid="{69DA7839-B3A4-4E5C-936A-E410EC901100}"/>
  <tableColumns count="8">
    <tableColumn id="9" xr3:uid="{79609D75-FE5B-471C-8228-CC91826C81B2}" name="産業大分類" totalsRowLabel="合計" totalsRowDxfId="363"/>
    <tableColumn id="10" xr3:uid="{33464924-9D85-4879-A171-E253A3E3C1A5}" name="総数／事業所数" totalsRowFunction="custom" totalsRowDxfId="362" dataCellStyle="桁区切り" totalsRowCellStyle="桁区切り">
      <totalsRowFormula>SUM(LTBL_21217[総数／事業所数])</totalsRowFormula>
    </tableColumn>
    <tableColumn id="11" xr3:uid="{9D3F019D-A4BC-4498-9498-021498A86B1F}" name="総数／構成比" dataDxfId="361"/>
    <tableColumn id="12" xr3:uid="{E93A526F-8406-47E9-821C-C36C1B09A3B9}" name="個人／事業所数" totalsRowFunction="sum" totalsRowDxfId="360" dataCellStyle="桁区切り" totalsRowCellStyle="桁区切り"/>
    <tableColumn id="13" xr3:uid="{C4A4B389-BA88-44AB-A4A8-C227CAD14CFC}" name="個人／構成比" dataDxfId="359"/>
    <tableColumn id="14" xr3:uid="{66DC3D99-28CD-4A9C-8573-E17C6A12C019}" name="法人／事業所数" totalsRowFunction="sum" totalsRowDxfId="358" dataCellStyle="桁区切り" totalsRowCellStyle="桁区切り"/>
    <tableColumn id="15" xr3:uid="{471D23F2-E9D8-4B2B-AC0B-E3AF803F1B75}" name="法人／構成比" dataDxfId="357"/>
    <tableColumn id="16" xr3:uid="{0596B6FA-8BBD-43D2-B537-10E70BCA00E8}" name="法人以外の団体／事業所数" totalsRowFunction="sum" totalsRowDxfId="356" dataCellStyle="桁区切り" totalsRowCellStyle="桁区切り"/>
  </tableColumns>
  <tableStyleInfo name="TableStyleMedium9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3A9A8DB7-8F57-42AB-BDF8-B69FC09AD90E}" name="M_TABLE_21217" displayName="M_TABLE_21217" ref="B23:I43" totalsRowShown="0">
  <autoFilter ref="B23:I43" xr:uid="{3A9A8DB7-8F57-42AB-BDF8-B69FC09AD90E}"/>
  <tableColumns count="8">
    <tableColumn id="9" xr3:uid="{E7FE90A7-483D-4FAF-A030-5C3347A5FD66}" name="産業中分類上位２０"/>
    <tableColumn id="10" xr3:uid="{D922B6FD-77A3-4183-8E57-313AE197E4B3}" name="総数／事業所数" dataCellStyle="桁区切り"/>
    <tableColumn id="11" xr3:uid="{205842CB-6B5E-47DB-B81D-D052193F87F3}" name="総数／構成比" dataDxfId="355"/>
    <tableColumn id="12" xr3:uid="{3D28E105-DFD8-45E4-A5D0-8343B58FA3E0}" name="個人／事業所数" dataCellStyle="桁区切り"/>
    <tableColumn id="13" xr3:uid="{3B35F192-BE9D-4556-BD2F-1EF417EF5D59}" name="個人／構成比" dataDxfId="354"/>
    <tableColumn id="14" xr3:uid="{5B0EBFBF-B373-4957-B6C1-05211FCB9AD0}" name="法人／事業所数" dataCellStyle="桁区切り"/>
    <tableColumn id="15" xr3:uid="{5CE246B2-7FA3-4234-A1D2-883774CB8019}" name="法人／構成比" dataDxfId="353"/>
    <tableColumn id="16" xr3:uid="{AB65AC5D-28E9-4389-8D51-5AED872439CB}" name="法人以外の団体／事業所数" dataCellStyle="桁区切り"/>
  </tableColumns>
  <tableStyleInfo name="TableStyleMedium9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8026B023-753E-4BBC-932A-3F1573387CAD}" name="S_TABLE_21217" displayName="S_TABLE_21217" ref="B46:I67" totalsRowShown="0">
  <autoFilter ref="B46:I67" xr:uid="{8026B023-753E-4BBC-932A-3F1573387CAD}"/>
  <tableColumns count="8">
    <tableColumn id="9" xr3:uid="{08234EE0-2E3D-4C54-8AE0-5FC0D0A7169D}" name="産業小分類上位２０"/>
    <tableColumn id="10" xr3:uid="{80CF2F38-FCB6-4D34-9900-53F0776B53C7}" name="総数／事業所数" dataCellStyle="桁区切り"/>
    <tableColumn id="11" xr3:uid="{6BA6F6C3-9671-42C5-8BB4-9BBC72C21B84}" name="総数／構成比" dataDxfId="352"/>
    <tableColumn id="12" xr3:uid="{B29C6BE6-9F0C-4649-9529-5A6924110D7F}" name="個人／事業所数" dataCellStyle="桁区切り"/>
    <tableColumn id="13" xr3:uid="{2E275F22-DAD3-4590-A48F-9A20BD49202F}" name="個人／構成比" dataDxfId="351"/>
    <tableColumn id="14" xr3:uid="{28EEA48C-0F24-4A2E-8172-D65378F588DB}" name="法人／事業所数" dataCellStyle="桁区切り"/>
    <tableColumn id="15" xr3:uid="{DA149E44-F0AE-4F06-969A-9B57ECAE516F}" name="法人／構成比" dataDxfId="350"/>
    <tableColumn id="16" xr3:uid="{3D248FBA-D4A7-431E-A68C-16E2D9B55EAC}" name="法人以外の団体／事業所数" dataCellStyle="桁区切り"/>
  </tableColumns>
  <tableStyleInfo name="TableStyleMedium9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78BE484E-C1AC-45B5-8562-0A46FB848FD4}" name="LTBL_21218" displayName="LTBL_21218" ref="B4:I20" totalsRowCount="1">
  <autoFilter ref="B4:I19" xr:uid="{78BE484E-C1AC-45B5-8562-0A46FB848FD4}"/>
  <tableColumns count="8">
    <tableColumn id="9" xr3:uid="{1BF6AA7C-8642-4190-B70D-F38671DE481D}" name="産業大分類" totalsRowLabel="合計" totalsRowDxfId="349"/>
    <tableColumn id="10" xr3:uid="{27D38CF3-1F18-43BF-83B1-73FA6FB7899C}" name="総数／事業所数" totalsRowFunction="custom" totalsRowDxfId="348" dataCellStyle="桁区切り" totalsRowCellStyle="桁区切り">
      <totalsRowFormula>SUM(LTBL_21218[総数／事業所数])</totalsRowFormula>
    </tableColumn>
    <tableColumn id="11" xr3:uid="{5984C866-41BA-413B-8853-5CBDF95ACA41}" name="総数／構成比" dataDxfId="347"/>
    <tableColumn id="12" xr3:uid="{FED98C43-50CD-40B3-9329-57BFDE56CE4F}" name="個人／事業所数" totalsRowFunction="sum" totalsRowDxfId="346" dataCellStyle="桁区切り" totalsRowCellStyle="桁区切り"/>
    <tableColumn id="13" xr3:uid="{BA5D823C-475A-485C-BAFF-52534B038CD9}" name="個人／構成比" dataDxfId="345"/>
    <tableColumn id="14" xr3:uid="{2006D2D1-D9F0-4F2C-89A7-48692ECEE188}" name="法人／事業所数" totalsRowFunction="sum" totalsRowDxfId="344" dataCellStyle="桁区切り" totalsRowCellStyle="桁区切り"/>
    <tableColumn id="15" xr3:uid="{61E5EE62-140B-4947-BD5F-A94C3C8EA4BE}" name="法人／構成比" dataDxfId="343"/>
    <tableColumn id="16" xr3:uid="{EB5E3B7C-43FA-4FB5-9ADF-A1645D465EE5}" name="法人以外の団体／事業所数" totalsRowFunction="sum" totalsRowDxfId="342" dataCellStyle="桁区切り" totalsRowCellStyle="桁区切り"/>
  </tableColumns>
  <tableStyleInfo name="TableStyleMedium9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A78B5D96-7B36-41A3-BFB9-39A4B24B9EFC}" name="M_TABLE_21218" displayName="M_TABLE_21218" ref="B23:I45" totalsRowShown="0">
  <autoFilter ref="B23:I45" xr:uid="{A78B5D96-7B36-41A3-BFB9-39A4B24B9EFC}"/>
  <tableColumns count="8">
    <tableColumn id="9" xr3:uid="{86CD8091-A373-4B8A-8979-86C4C2C77C2F}" name="産業中分類上位２０"/>
    <tableColumn id="10" xr3:uid="{CCD7808C-5615-4193-ABBA-557A74841E78}" name="総数／事業所数" dataCellStyle="桁区切り"/>
    <tableColumn id="11" xr3:uid="{06F90E8A-8F75-4A3E-B340-97ADA02684E8}" name="総数／構成比" dataDxfId="341"/>
    <tableColumn id="12" xr3:uid="{62F12BE9-BC3E-48F8-9655-7022C7D8A8F5}" name="個人／事業所数" dataCellStyle="桁区切り"/>
    <tableColumn id="13" xr3:uid="{8B5D8F5A-5A55-4B0A-B364-7705EC8FB302}" name="個人／構成比" dataDxfId="340"/>
    <tableColumn id="14" xr3:uid="{CABEE77A-969A-4EBE-8C87-69619CCBC90F}" name="法人／事業所数" dataCellStyle="桁区切り"/>
    <tableColumn id="15" xr3:uid="{868B8769-61E1-43AB-AC7A-B383896AD005}" name="法人／構成比" dataDxfId="339"/>
    <tableColumn id="16" xr3:uid="{A8A950DF-0656-41E9-8733-FDDB72389970}" name="法人以外の団体／事業所数" dataCellStyle="桁区切り"/>
  </tableColumns>
  <tableStyleInfo name="TableStyleMedium9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68980C17-497B-4F99-8DD2-90D0FDF587E1}" name="S_TABLE_21218" displayName="S_TABLE_21218" ref="B48:I68" totalsRowShown="0">
  <autoFilter ref="B48:I68" xr:uid="{68980C17-497B-4F99-8DD2-90D0FDF587E1}"/>
  <tableColumns count="8">
    <tableColumn id="9" xr3:uid="{448CEF13-E322-4D53-B2CD-D6CA7D933825}" name="産業小分類上位２０"/>
    <tableColumn id="10" xr3:uid="{AEB1D96D-F549-46D3-842E-D64B7DF47713}" name="総数／事業所数" dataCellStyle="桁区切り"/>
    <tableColumn id="11" xr3:uid="{9C2BA999-4EAA-44C2-AC0F-5F897F4FB514}" name="総数／構成比" dataDxfId="338"/>
    <tableColumn id="12" xr3:uid="{D8E86765-A261-4D81-8F13-B7C25BA688F0}" name="個人／事業所数" dataCellStyle="桁区切り"/>
    <tableColumn id="13" xr3:uid="{B18D4741-FDBA-4DF6-864C-845A85A0DDAF}" name="個人／構成比" dataDxfId="337"/>
    <tableColumn id="14" xr3:uid="{0233C200-6A29-47A6-9B11-E20F5BA8667E}" name="法人／事業所数" dataCellStyle="桁区切り"/>
    <tableColumn id="15" xr3:uid="{08DDFBF9-5AE8-4A29-9027-A4FD4DD83C11}" name="法人／構成比" dataDxfId="336"/>
    <tableColumn id="16" xr3:uid="{AB4D9847-8F16-415B-A76E-000531C1B6AE}" name="法人以外の団体／事業所数" dataCellStyle="桁区切り"/>
  </tableColumns>
  <tableStyleInfo name="TableStyleMedium9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CD017F02-24F4-4A1A-BA78-029D983F789A}" name="LTBL_21219" displayName="LTBL_21219" ref="B4:I20" totalsRowCount="1">
  <autoFilter ref="B4:I19" xr:uid="{CD017F02-24F4-4A1A-BA78-029D983F789A}"/>
  <tableColumns count="8">
    <tableColumn id="9" xr3:uid="{DB09B2C5-C544-44E6-BB44-34A3B826366D}" name="産業大分類" totalsRowLabel="合計" totalsRowDxfId="335"/>
    <tableColumn id="10" xr3:uid="{C670ECDA-80F0-4130-8081-8888F1215D85}" name="総数／事業所数" totalsRowFunction="custom" totalsRowDxfId="334" dataCellStyle="桁区切り" totalsRowCellStyle="桁区切り">
      <totalsRowFormula>SUM(LTBL_21219[総数／事業所数])</totalsRowFormula>
    </tableColumn>
    <tableColumn id="11" xr3:uid="{7304F4AA-B5CC-46FF-BCEE-D295528B2911}" name="総数／構成比" dataDxfId="333"/>
    <tableColumn id="12" xr3:uid="{A4852430-1424-430C-9706-C26BD1579796}" name="個人／事業所数" totalsRowFunction="sum" totalsRowDxfId="332" dataCellStyle="桁区切り" totalsRowCellStyle="桁区切り"/>
    <tableColumn id="13" xr3:uid="{B893EC66-657B-42DD-BD8E-B5A8A35FA0B7}" name="個人／構成比" dataDxfId="331"/>
    <tableColumn id="14" xr3:uid="{62DC25D1-4AD3-4080-8387-8060A0FA4B9B}" name="法人／事業所数" totalsRowFunction="sum" totalsRowDxfId="330" dataCellStyle="桁区切り" totalsRowCellStyle="桁区切り"/>
    <tableColumn id="15" xr3:uid="{05D9DA47-3286-411C-9AFC-13726C560B0B}" name="法人／構成比" dataDxfId="329"/>
    <tableColumn id="16" xr3:uid="{22D5B142-7C8C-4425-AD68-AE575C879BCB}" name="法人以外の団体／事業所数" totalsRowFunction="sum" totalsRowDxfId="328" dataCellStyle="桁区切り" totalsRowCellStyle="桁区切り"/>
  </tableColumns>
  <tableStyleInfo name="TableStyleMedium9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3E1D8BD8-4038-4D58-8BA6-809B7ED82F35}" name="M_TABLE_21219" displayName="M_TABLE_21219" ref="B23:I43" totalsRowShown="0">
  <autoFilter ref="B23:I43" xr:uid="{3E1D8BD8-4038-4D58-8BA6-809B7ED82F35}"/>
  <tableColumns count="8">
    <tableColumn id="9" xr3:uid="{46CF4847-FB07-4D56-A0E0-9428F57CC2F4}" name="産業中分類上位２０"/>
    <tableColumn id="10" xr3:uid="{50B15622-5DB2-468A-B5A6-DB9BD4DA6042}" name="総数／事業所数" dataCellStyle="桁区切り"/>
    <tableColumn id="11" xr3:uid="{D52F7EA2-C030-4160-B266-039F8151A68D}" name="総数／構成比" dataDxfId="327"/>
    <tableColumn id="12" xr3:uid="{4DF6A07B-4F6D-4265-B3CD-52A917E99D10}" name="個人／事業所数" dataCellStyle="桁区切り"/>
    <tableColumn id="13" xr3:uid="{3FE2B876-4385-434E-B596-7D185C2886D9}" name="個人／構成比" dataDxfId="326"/>
    <tableColumn id="14" xr3:uid="{BD4E96C7-FE48-4987-B262-B6D17857EAFC}" name="法人／事業所数" dataCellStyle="桁区切り"/>
    <tableColumn id="15" xr3:uid="{B2CBDF23-206E-4380-A3DD-6D13E239BE86}" name="法人／構成比" dataDxfId="325"/>
    <tableColumn id="16" xr3:uid="{7555C028-4CDB-4FEC-9F6B-45018492B3CB}" name="法人以外の団体／事業所数" dataCellStyle="桁区切り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D807EEB1-E7CB-45F7-AEF2-03CD948E9565}" name="S_TABLE_21201" displayName="S_TABLE_21201" ref="B46:I66" totalsRowShown="0">
  <autoFilter ref="B46:I66" xr:uid="{D807EEB1-E7CB-45F7-AEF2-03CD948E9565}"/>
  <tableColumns count="8">
    <tableColumn id="9" xr3:uid="{1AC96066-3FAB-4640-A420-992AD4678A4C}" name="産業小分類上位２０"/>
    <tableColumn id="10" xr3:uid="{993EF5EE-1537-4D5E-9FC9-FE1C4765286E}" name="総数／事業所数" dataCellStyle="桁区切り"/>
    <tableColumn id="11" xr3:uid="{C1EE70E7-1CE8-42E7-8EA3-699502F193EB}" name="総数／構成比" dataDxfId="576"/>
    <tableColumn id="12" xr3:uid="{7BB95489-5AF0-46A1-9A52-9592B84A18B3}" name="個人／事業所数" dataCellStyle="桁区切り"/>
    <tableColumn id="13" xr3:uid="{4076347A-28B4-424B-8522-0B3CE2C451E5}" name="個人／構成比" dataDxfId="575"/>
    <tableColumn id="14" xr3:uid="{6328B3E1-7D48-49ED-81CB-02EDF110ECC0}" name="法人／事業所数" dataCellStyle="桁区切り"/>
    <tableColumn id="15" xr3:uid="{E4E45502-ED7D-4C00-AD3F-1DB58B140047}" name="法人／構成比" dataDxfId="574"/>
    <tableColumn id="16" xr3:uid="{457ECDB1-2634-452B-800E-C189BE548E77}" name="法人以外の団体／事業所数" dataCellStyle="桁区切り"/>
  </tableColumns>
  <tableStyleInfo name="TableStyleMedium9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DD39C912-6699-4287-B936-926D06EB40E1}" name="S_TABLE_21219" displayName="S_TABLE_21219" ref="B46:I66" totalsRowShown="0">
  <autoFilter ref="B46:I66" xr:uid="{DD39C912-6699-4287-B936-926D06EB40E1}"/>
  <tableColumns count="8">
    <tableColumn id="9" xr3:uid="{AD5DEDDA-7E00-4DEC-8926-41B5A01BE01A}" name="産業小分類上位２０"/>
    <tableColumn id="10" xr3:uid="{98075384-E868-41D8-BD35-3B8CB2545DA9}" name="総数／事業所数" dataCellStyle="桁区切り"/>
    <tableColumn id="11" xr3:uid="{566B8F29-EB8C-4265-92D2-E9E4B49A3281}" name="総数／構成比" dataDxfId="324"/>
    <tableColumn id="12" xr3:uid="{0117B895-8B6A-47BC-8270-F270C7529FDE}" name="個人／事業所数" dataCellStyle="桁区切り"/>
    <tableColumn id="13" xr3:uid="{EE05E8C0-5BB1-4A46-A65F-F3DD38818191}" name="個人／構成比" dataDxfId="323"/>
    <tableColumn id="14" xr3:uid="{F62AFDA6-89F7-4106-98B8-F6A867E0A41B}" name="法人／事業所数" dataCellStyle="桁区切り"/>
    <tableColumn id="15" xr3:uid="{8B4EEA93-4CCD-429D-82D1-7DFA186FA90A}" name="法人／構成比" dataDxfId="322"/>
    <tableColumn id="16" xr3:uid="{74D17422-67CA-4216-8F4D-FBA58C9369BA}" name="法人以外の団体／事業所数" dataCellStyle="桁区切り"/>
  </tableColumns>
  <tableStyleInfo name="TableStyleMedium9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83AA58C0-C2D0-4D56-B12D-94B3B7149979}" name="LTBL_21220" displayName="LTBL_21220" ref="B4:I20" totalsRowCount="1">
  <autoFilter ref="B4:I19" xr:uid="{83AA58C0-C2D0-4D56-B12D-94B3B7149979}"/>
  <tableColumns count="8">
    <tableColumn id="9" xr3:uid="{8A29BF3C-0619-4C95-BDDB-B1E78C0837BA}" name="産業大分類" totalsRowLabel="合計" totalsRowDxfId="321"/>
    <tableColumn id="10" xr3:uid="{B60406C3-5594-4DE8-9DE9-C20F9B787AD3}" name="総数／事業所数" totalsRowFunction="custom" totalsRowDxfId="320" dataCellStyle="桁区切り" totalsRowCellStyle="桁区切り">
      <totalsRowFormula>SUM(LTBL_21220[総数／事業所数])</totalsRowFormula>
    </tableColumn>
    <tableColumn id="11" xr3:uid="{974D2106-9F8E-4DDB-BD69-D0AC6B2E498D}" name="総数／構成比" dataDxfId="319"/>
    <tableColumn id="12" xr3:uid="{796230D8-6073-4362-8981-C81B0A3A0924}" name="個人／事業所数" totalsRowFunction="sum" totalsRowDxfId="318" dataCellStyle="桁区切り" totalsRowCellStyle="桁区切り"/>
    <tableColumn id="13" xr3:uid="{3D5533C3-E50A-4EF1-BE9A-00E297D72D5F}" name="個人／構成比" dataDxfId="317"/>
    <tableColumn id="14" xr3:uid="{5AC47C4B-13F5-4F1B-83D2-56EA5A068C4C}" name="法人／事業所数" totalsRowFunction="sum" totalsRowDxfId="316" dataCellStyle="桁区切り" totalsRowCellStyle="桁区切り"/>
    <tableColumn id="15" xr3:uid="{CD2F8C14-E3EE-41C5-9603-98109C4CD333}" name="法人／構成比" dataDxfId="315"/>
    <tableColumn id="16" xr3:uid="{713065E6-691C-4A51-8D8A-4A776BF866A5}" name="法人以外の団体／事業所数" totalsRowFunction="sum" totalsRowDxfId="314" dataCellStyle="桁区切り" totalsRowCellStyle="桁区切り"/>
  </tableColumns>
  <tableStyleInfo name="TableStyleMedium9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22048B2A-78FE-4FCA-AAEF-C443D9D52FC1}" name="M_TABLE_21220" displayName="M_TABLE_21220" ref="B23:I43" totalsRowShown="0">
  <autoFilter ref="B23:I43" xr:uid="{22048B2A-78FE-4FCA-AAEF-C443D9D52FC1}"/>
  <tableColumns count="8">
    <tableColumn id="9" xr3:uid="{674CD722-8DBB-47AD-ACC3-CC0913FE38F3}" name="産業中分類上位２０"/>
    <tableColumn id="10" xr3:uid="{82F1A9B7-E750-430A-AEAA-9A4BCFB88050}" name="総数／事業所数" dataCellStyle="桁区切り"/>
    <tableColumn id="11" xr3:uid="{41B4E51F-2A8F-4635-A1C9-FA47BD30D865}" name="総数／構成比" dataDxfId="313"/>
    <tableColumn id="12" xr3:uid="{1B0EF1ED-39E7-4D7C-B8CB-81A7F2CAD948}" name="個人／事業所数" dataCellStyle="桁区切り"/>
    <tableColumn id="13" xr3:uid="{9185F59C-3CA7-499C-B98F-6ABFC4475751}" name="個人／構成比" dataDxfId="312"/>
    <tableColumn id="14" xr3:uid="{FF713B74-CAC0-408E-B2EF-805E1481F164}" name="法人／事業所数" dataCellStyle="桁区切り"/>
    <tableColumn id="15" xr3:uid="{88ED9913-52F8-4A43-A68A-4F9D828D11DC}" name="法人／構成比" dataDxfId="311"/>
    <tableColumn id="16" xr3:uid="{2BDE30B0-4A66-49D6-A09B-1EF4D98987C3}" name="法人以外の団体／事業所数" dataCellStyle="桁区切り"/>
  </tableColumns>
  <tableStyleInfo name="TableStyleMedium9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7D21ED23-B3C1-4D6D-B1E9-33A1E8ADAE3C}" name="S_TABLE_21220" displayName="S_TABLE_21220" ref="B46:I66" totalsRowShown="0">
  <autoFilter ref="B46:I66" xr:uid="{7D21ED23-B3C1-4D6D-B1E9-33A1E8ADAE3C}"/>
  <tableColumns count="8">
    <tableColumn id="9" xr3:uid="{B7EDF53A-148C-4F47-84C2-F7A844EFA9B3}" name="産業小分類上位２０"/>
    <tableColumn id="10" xr3:uid="{15B8F87B-0A92-4A23-ADF7-51609A85AE74}" name="総数／事業所数" dataCellStyle="桁区切り"/>
    <tableColumn id="11" xr3:uid="{F3146B38-C348-43D4-AB4D-C13749FC3165}" name="総数／構成比" dataDxfId="310"/>
    <tableColumn id="12" xr3:uid="{B90C7512-33E3-4586-A218-ABC7FAB4D79B}" name="個人／事業所数" dataCellStyle="桁区切り"/>
    <tableColumn id="13" xr3:uid="{35665F45-64AC-48A8-988C-23D1E3B3080D}" name="個人／構成比" dataDxfId="309"/>
    <tableColumn id="14" xr3:uid="{D3C9CD02-F258-4A3A-851A-7138460FC8DD}" name="法人／事業所数" dataCellStyle="桁区切り"/>
    <tableColumn id="15" xr3:uid="{56948D21-3D16-4E3E-A256-DF266EA342DA}" name="法人／構成比" dataDxfId="308"/>
    <tableColumn id="16" xr3:uid="{022528E1-FD03-4315-8727-B14787390FDB}" name="法人以外の団体／事業所数" dataCellStyle="桁区切り"/>
  </tableColumns>
  <tableStyleInfo name="TableStyleMedium9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0AE30387-58FD-442E-8CD9-D3906911F85D}" name="LTBL_21221" displayName="LTBL_21221" ref="B4:I20" totalsRowCount="1">
  <autoFilter ref="B4:I19" xr:uid="{0AE30387-58FD-442E-8CD9-D3906911F85D}"/>
  <tableColumns count="8">
    <tableColumn id="9" xr3:uid="{9A9B1C41-E5D3-40A7-9712-FC53493EB7B0}" name="産業大分類" totalsRowLabel="合計" totalsRowDxfId="307"/>
    <tableColumn id="10" xr3:uid="{00E82354-8F9C-4908-9995-858FC7405311}" name="総数／事業所数" totalsRowFunction="custom" totalsRowDxfId="306" dataCellStyle="桁区切り" totalsRowCellStyle="桁区切り">
      <totalsRowFormula>SUM(LTBL_21221[総数／事業所数])</totalsRowFormula>
    </tableColumn>
    <tableColumn id="11" xr3:uid="{45515A54-5EAF-47B3-8B41-988C6880FCC2}" name="総数／構成比" dataDxfId="305"/>
    <tableColumn id="12" xr3:uid="{487C8887-9003-4B4E-89B0-D496086B2F86}" name="個人／事業所数" totalsRowFunction="sum" totalsRowDxfId="304" dataCellStyle="桁区切り" totalsRowCellStyle="桁区切り"/>
    <tableColumn id="13" xr3:uid="{467140CA-80C0-4B4D-A551-898B72716F11}" name="個人／構成比" dataDxfId="303"/>
    <tableColumn id="14" xr3:uid="{F54FA411-8ECC-4C54-8D30-26EF131CDE3D}" name="法人／事業所数" totalsRowFunction="sum" totalsRowDxfId="302" dataCellStyle="桁区切り" totalsRowCellStyle="桁区切り"/>
    <tableColumn id="15" xr3:uid="{58811DB5-E581-472C-BB4F-F2EC34843EDE}" name="法人／構成比" dataDxfId="301"/>
    <tableColumn id="16" xr3:uid="{F6ECE1AB-CAA8-4529-8B97-DBD55A9574AE}" name="法人以外の団体／事業所数" totalsRowFunction="sum" totalsRowDxfId="300" dataCellStyle="桁区切り" totalsRowCellStyle="桁区切り"/>
  </tableColumns>
  <tableStyleInfo name="TableStyleMedium9" showFirstColumn="0" showLastColumn="0" showRowStripes="1" showColumnStripes="0"/>
</table>
</file>

<file path=xl/tables/table6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C6D86517-612C-4AA8-8983-242F1E36E7E0}" name="M_TABLE_21221" displayName="M_TABLE_21221" ref="B23:I43" totalsRowShown="0">
  <autoFilter ref="B23:I43" xr:uid="{C6D86517-612C-4AA8-8983-242F1E36E7E0}"/>
  <tableColumns count="8">
    <tableColumn id="9" xr3:uid="{477082BD-56E0-4CCC-9663-57F5F3D553E7}" name="産業中分類上位２０"/>
    <tableColumn id="10" xr3:uid="{407045D1-F4EF-4D3E-A249-2444DB28F372}" name="総数／事業所数" dataCellStyle="桁区切り"/>
    <tableColumn id="11" xr3:uid="{D0C88C52-2A76-4ED3-B998-316AF85A0226}" name="総数／構成比" dataDxfId="299"/>
    <tableColumn id="12" xr3:uid="{2B9C5F41-FEBF-4C5A-8F0A-CB9CABD2D5A7}" name="個人／事業所数" dataCellStyle="桁区切り"/>
    <tableColumn id="13" xr3:uid="{F5CFF557-8209-4CCD-95A8-80B57A47ADC4}" name="個人／構成比" dataDxfId="298"/>
    <tableColumn id="14" xr3:uid="{B64349CC-E2C5-4E84-BB2F-B88262D4F513}" name="法人／事業所数" dataCellStyle="桁区切り"/>
    <tableColumn id="15" xr3:uid="{14658DCC-7B8B-47FE-B3E3-1EB6C03619EC}" name="法人／構成比" dataDxfId="297"/>
    <tableColumn id="16" xr3:uid="{7B20F2A1-A9EF-4F24-8D19-4D7CD81E7058}" name="法人以外の団体／事業所数" dataCellStyle="桁区切り"/>
  </tableColumns>
  <tableStyleInfo name="TableStyleMedium9" showFirstColumn="0" showLastColumn="0" showRowStripes="1" showColumnStripes="0"/>
</table>
</file>

<file path=xl/tables/table6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86A779DE-2325-4FED-B0F6-6ACF796BD26E}" name="S_TABLE_21221" displayName="S_TABLE_21221" ref="B46:I68" totalsRowShown="0">
  <autoFilter ref="B46:I68" xr:uid="{86A779DE-2325-4FED-B0F6-6ACF796BD26E}"/>
  <tableColumns count="8">
    <tableColumn id="9" xr3:uid="{9949343C-FE99-41CD-92F2-0D60BE92F7AF}" name="産業小分類上位２０"/>
    <tableColumn id="10" xr3:uid="{93A4A05F-366C-48E6-9003-3C5DD92DB90C}" name="総数／事業所数" dataCellStyle="桁区切り"/>
    <tableColumn id="11" xr3:uid="{1443BCB8-A779-448F-8A5D-B97BBBAE6124}" name="総数／構成比" dataDxfId="296"/>
    <tableColumn id="12" xr3:uid="{F9BD296A-0648-4E65-88C3-C90BD311CAD9}" name="個人／事業所数" dataCellStyle="桁区切り"/>
    <tableColumn id="13" xr3:uid="{F546E936-8C8E-4431-B53C-A9CBB84EC85C}" name="個人／構成比" dataDxfId="295"/>
    <tableColumn id="14" xr3:uid="{82FE8515-8F50-411C-903D-5F0E1C54D8D2}" name="法人／事業所数" dataCellStyle="桁区切り"/>
    <tableColumn id="15" xr3:uid="{FCB67B7C-AF7F-4B1E-8850-5298BB427FE9}" name="法人／構成比" dataDxfId="294"/>
    <tableColumn id="16" xr3:uid="{E7425DCA-D798-435C-B61E-7289B7112100}" name="法人以外の団体／事業所数" dataCellStyle="桁区切り"/>
  </tableColumns>
  <tableStyleInfo name="TableStyleMedium9" showFirstColumn="0" showLastColumn="0" showRowStripes="1" showColumnStripes="0"/>
</table>
</file>

<file path=xl/tables/table6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D27E7079-525F-4D1D-8BA6-FBF9ED2E2EE4}" name="LTBL_21302" displayName="LTBL_21302" ref="B4:I20" totalsRowCount="1">
  <autoFilter ref="B4:I19" xr:uid="{D27E7079-525F-4D1D-8BA6-FBF9ED2E2EE4}"/>
  <tableColumns count="8">
    <tableColumn id="9" xr3:uid="{15DB3F95-0790-4DFC-87D3-23D2599E023E}" name="産業大分類" totalsRowLabel="合計" totalsRowDxfId="293"/>
    <tableColumn id="10" xr3:uid="{80AEF369-746A-49F0-9353-3F552D8DCF13}" name="総数／事業所数" totalsRowFunction="custom" totalsRowDxfId="292" dataCellStyle="桁区切り" totalsRowCellStyle="桁区切り">
      <totalsRowFormula>SUM(LTBL_21302[総数／事業所数])</totalsRowFormula>
    </tableColumn>
    <tableColumn id="11" xr3:uid="{00CC7CEB-DF0B-4899-8140-9B82D4E50FEF}" name="総数／構成比" dataDxfId="291"/>
    <tableColumn id="12" xr3:uid="{158859D4-D382-430E-A436-1584AA8EEFD0}" name="個人／事業所数" totalsRowFunction="sum" totalsRowDxfId="290" dataCellStyle="桁区切り" totalsRowCellStyle="桁区切り"/>
    <tableColumn id="13" xr3:uid="{409CC5CE-AE5B-4023-A1A2-A1C0D220EECC}" name="個人／構成比" dataDxfId="289"/>
    <tableColumn id="14" xr3:uid="{4678D79E-5718-47BD-8AFE-ED0A81F76248}" name="法人／事業所数" totalsRowFunction="sum" totalsRowDxfId="288" dataCellStyle="桁区切り" totalsRowCellStyle="桁区切り"/>
    <tableColumn id="15" xr3:uid="{8E2ADC03-48C4-42A4-B5E9-C2FE037C8392}" name="法人／構成比" dataDxfId="287"/>
    <tableColumn id="16" xr3:uid="{D34F8008-2C2F-40F6-9A80-8722A29DBBEC}" name="法人以外の団体／事業所数" totalsRowFunction="sum" totalsRowDxfId="286" dataCellStyle="桁区切り" totalsRowCellStyle="桁区切り"/>
  </tableColumns>
  <tableStyleInfo name="TableStyleMedium9" showFirstColumn="0" showLastColumn="0" showRowStripes="1" showColumnStripes="0"/>
</table>
</file>

<file path=xl/tables/table6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52FCE822-4027-4816-B0DE-3325CA7CCD4C}" name="M_TABLE_21302" displayName="M_TABLE_21302" ref="B23:I44" totalsRowShown="0">
  <autoFilter ref="B23:I44" xr:uid="{52FCE822-4027-4816-B0DE-3325CA7CCD4C}"/>
  <tableColumns count="8">
    <tableColumn id="9" xr3:uid="{33A86CFC-555C-4B5F-A003-D3C0E93F32B7}" name="産業中分類上位２０"/>
    <tableColumn id="10" xr3:uid="{3720CB03-7707-4C8A-B9BB-D2534DB8904D}" name="総数／事業所数" dataCellStyle="桁区切り"/>
    <tableColumn id="11" xr3:uid="{25778D86-0EFE-47D8-9ADC-746EA0D71C41}" name="総数／構成比" dataDxfId="285"/>
    <tableColumn id="12" xr3:uid="{FBB82F78-E991-4828-A545-AB3DEE58CA36}" name="個人／事業所数" dataCellStyle="桁区切り"/>
    <tableColumn id="13" xr3:uid="{911BFD0E-EE6A-4379-9083-42D4CF2EB964}" name="個人／構成比" dataDxfId="284"/>
    <tableColumn id="14" xr3:uid="{FA4229DC-1049-40E8-8AA6-31734C878227}" name="法人／事業所数" dataCellStyle="桁区切り"/>
    <tableColumn id="15" xr3:uid="{07A45BAF-BC8C-4A9B-B7FC-567C54B56ED9}" name="法人／構成比" dataDxfId="283"/>
    <tableColumn id="16" xr3:uid="{B7346C50-78EC-4987-AB9E-37F123771C42}" name="法人以外の団体／事業所数" dataCellStyle="桁区切り"/>
  </tableColumns>
  <tableStyleInfo name="TableStyleMedium9" showFirstColumn="0" showLastColumn="0" showRowStripes="1" showColumnStripes="0"/>
</table>
</file>

<file path=xl/tables/table6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9" xr:uid="{0F74845A-7133-40BC-98AE-EC0781ABF43C}" name="S_TABLE_21302" displayName="S_TABLE_21302" ref="B47:I70" totalsRowShown="0">
  <autoFilter ref="B47:I70" xr:uid="{0F74845A-7133-40BC-98AE-EC0781ABF43C}"/>
  <tableColumns count="8">
    <tableColumn id="9" xr3:uid="{3116F29B-E943-4F28-9560-218150F568EA}" name="産業小分類上位２０"/>
    <tableColumn id="10" xr3:uid="{ECF89971-3B3A-48B5-B0A3-F33FE6486E59}" name="総数／事業所数" dataCellStyle="桁区切り"/>
    <tableColumn id="11" xr3:uid="{3A966962-C23F-436E-AE71-4A2E4DB12122}" name="総数／構成比" dataDxfId="282"/>
    <tableColumn id="12" xr3:uid="{36A7D91B-27EE-48B0-9E2E-EC462B9347BF}" name="個人／事業所数" dataCellStyle="桁区切り"/>
    <tableColumn id="13" xr3:uid="{36A4EC22-D263-43EB-96B4-03AC79C37D3E}" name="個人／構成比" dataDxfId="281"/>
    <tableColumn id="14" xr3:uid="{E7AB5625-CF59-4EFC-BFC4-412FE73B3BB2}" name="法人／事業所数" dataCellStyle="桁区切り"/>
    <tableColumn id="15" xr3:uid="{622FF54D-0870-4134-B62A-DE35916BA329}" name="法人／構成比" dataDxfId="280"/>
    <tableColumn id="16" xr3:uid="{A0116C27-63C4-41A9-87F4-2E8688A202F7}" name="法人以外の団体／事業所数" dataCellStyle="桁区切り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DC79B358-4C6C-4E2B-AE08-EF7DEC97546D}" name="LTBL_21202" displayName="LTBL_21202" ref="B4:I20" totalsRowCount="1">
  <autoFilter ref="B4:I19" xr:uid="{DC79B358-4C6C-4E2B-AE08-EF7DEC97546D}"/>
  <tableColumns count="8">
    <tableColumn id="9" xr3:uid="{17B20D15-C6C7-4C46-91F7-A34A056CA146}" name="産業大分類" totalsRowLabel="合計" totalsRowDxfId="573"/>
    <tableColumn id="10" xr3:uid="{5E919589-AC37-4622-9778-78CA5F887616}" name="総数／事業所数" totalsRowFunction="custom" totalsRowDxfId="572" dataCellStyle="桁区切り" totalsRowCellStyle="桁区切り">
      <totalsRowFormula>SUM(LTBL_21202[総数／事業所数])</totalsRowFormula>
    </tableColumn>
    <tableColumn id="11" xr3:uid="{CFAA6762-070E-4041-9B8F-9A098D6AE810}" name="総数／構成比" dataDxfId="571"/>
    <tableColumn id="12" xr3:uid="{2EDB9A57-5022-4B69-BE9A-418F0B8986AC}" name="個人／事業所数" totalsRowFunction="sum" totalsRowDxfId="570" dataCellStyle="桁区切り" totalsRowCellStyle="桁区切り"/>
    <tableColumn id="13" xr3:uid="{7059DDA9-8D85-4C03-818A-C9462B98D233}" name="個人／構成比" dataDxfId="569"/>
    <tableColumn id="14" xr3:uid="{98EA8B9A-165E-4893-B028-EDE4F59FBF37}" name="法人／事業所数" totalsRowFunction="sum" totalsRowDxfId="568" dataCellStyle="桁区切り" totalsRowCellStyle="桁区切り"/>
    <tableColumn id="15" xr3:uid="{36B59417-581A-4CB4-A7B6-29083E6D2282}" name="法人／構成比" dataDxfId="567"/>
    <tableColumn id="16" xr3:uid="{AF118FCB-E8EF-4BDF-875E-1B68466FFC2D}" name="法人以外の団体／事業所数" totalsRowFunction="sum" totalsRowDxfId="566" dataCellStyle="桁区切り" totalsRowCellStyle="桁区切り"/>
  </tableColumns>
  <tableStyleInfo name="TableStyleMedium9" showFirstColumn="0" showLastColumn="0" showRowStripes="1" showColumnStripes="0"/>
</table>
</file>

<file path=xl/tables/table7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0" xr:uid="{951AFA1C-378A-4C67-83B3-EA41846F1F64}" name="LTBL_21303" displayName="LTBL_21303" ref="B4:I20" totalsRowCount="1">
  <autoFilter ref="B4:I19" xr:uid="{951AFA1C-378A-4C67-83B3-EA41846F1F64}"/>
  <tableColumns count="8">
    <tableColumn id="9" xr3:uid="{F4B2D5F4-A220-4844-B496-177ECD001C57}" name="産業大分類" totalsRowLabel="合計" totalsRowDxfId="279"/>
    <tableColumn id="10" xr3:uid="{70BE2068-1B75-4C5A-85E5-29C49E4A1EE9}" name="総数／事業所数" totalsRowFunction="custom" totalsRowDxfId="278" dataCellStyle="桁区切り" totalsRowCellStyle="桁区切り">
      <totalsRowFormula>SUM(LTBL_21303[総数／事業所数])</totalsRowFormula>
    </tableColumn>
    <tableColumn id="11" xr3:uid="{9CA638EE-1556-44BB-8E2B-16058E2CA6E2}" name="総数／構成比" dataDxfId="277"/>
    <tableColumn id="12" xr3:uid="{AC49B928-DDBB-407F-A003-BE1A25126EBC}" name="個人／事業所数" totalsRowFunction="sum" totalsRowDxfId="276" dataCellStyle="桁区切り" totalsRowCellStyle="桁区切り"/>
    <tableColumn id="13" xr3:uid="{B25C7738-1712-4F15-833E-778DFEE9BDA5}" name="個人／構成比" dataDxfId="275"/>
    <tableColumn id="14" xr3:uid="{950BFCF8-27BD-4E09-B1C2-94FF23BBADA7}" name="法人／事業所数" totalsRowFunction="sum" totalsRowDxfId="274" dataCellStyle="桁区切り" totalsRowCellStyle="桁区切り"/>
    <tableColumn id="15" xr3:uid="{3D7BB507-159A-48AC-A6B8-36F94BE55E59}" name="法人／構成比" dataDxfId="273"/>
    <tableColumn id="16" xr3:uid="{A13928E8-A20C-4527-80E5-0BC2B4AB1FDD}" name="法人以外の団体／事業所数" totalsRowFunction="sum" totalsRowDxfId="272" dataCellStyle="桁区切り" totalsRowCellStyle="桁区切り"/>
  </tableColumns>
  <tableStyleInfo name="TableStyleMedium9" showFirstColumn="0" showLastColumn="0" showRowStripes="1" showColumnStripes="0"/>
</table>
</file>

<file path=xl/tables/table7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1" xr:uid="{D0187C5E-69A0-485D-A6DF-A86AEFE90AA1}" name="M_TABLE_21303" displayName="M_TABLE_21303" ref="B23:I46" totalsRowShown="0">
  <autoFilter ref="B23:I46" xr:uid="{D0187C5E-69A0-485D-A6DF-A86AEFE90AA1}"/>
  <tableColumns count="8">
    <tableColumn id="9" xr3:uid="{A499BD82-2B19-45A3-BE9E-BE59188D3D32}" name="産業中分類上位２０"/>
    <tableColumn id="10" xr3:uid="{E752DA8E-47E9-493F-9BBD-D6965FA4C6E8}" name="総数／事業所数" dataCellStyle="桁区切り"/>
    <tableColumn id="11" xr3:uid="{8474583F-E841-4ECD-B94C-BA91F6EE3130}" name="総数／構成比" dataDxfId="271"/>
    <tableColumn id="12" xr3:uid="{F8A454BA-FFCC-49C3-B25F-F99FE75165A9}" name="個人／事業所数" dataCellStyle="桁区切り"/>
    <tableColumn id="13" xr3:uid="{0AE07FE7-5902-4971-B9D1-BE715CDDB0A8}" name="個人／構成比" dataDxfId="270"/>
    <tableColumn id="14" xr3:uid="{2F9AA93A-A712-43AC-800D-FFF8B57B2FEB}" name="法人／事業所数" dataCellStyle="桁区切り"/>
    <tableColumn id="15" xr3:uid="{3DFF8561-262C-424F-89FE-FF61A766820C}" name="法人／構成比" dataDxfId="269"/>
    <tableColumn id="16" xr3:uid="{B2BEF7E7-5BB9-4342-BE0E-32DDA9BD4C6E}" name="法人以外の団体／事業所数" dataCellStyle="桁区切り"/>
  </tableColumns>
  <tableStyleInfo name="TableStyleMedium9" showFirstColumn="0" showLastColumn="0" showRowStripes="1" showColumnStripes="0"/>
</table>
</file>

<file path=xl/tables/table7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2" xr:uid="{7C787B85-1A17-496A-BFAE-A3B3819679BF}" name="S_TABLE_21303" displayName="S_TABLE_21303" ref="B49:I69" totalsRowShown="0">
  <autoFilter ref="B49:I69" xr:uid="{7C787B85-1A17-496A-BFAE-A3B3819679BF}"/>
  <tableColumns count="8">
    <tableColumn id="9" xr3:uid="{93467763-167A-49B5-BC18-20AD1C319EED}" name="産業小分類上位２０"/>
    <tableColumn id="10" xr3:uid="{A9CE4E2D-2D51-4CC5-820D-4C2D16A7C728}" name="総数／事業所数" dataCellStyle="桁区切り"/>
    <tableColumn id="11" xr3:uid="{03B57CC8-64FB-4C42-8A09-0231F64D7BDE}" name="総数／構成比" dataDxfId="268"/>
    <tableColumn id="12" xr3:uid="{1B1C657B-FE40-43E5-A554-BE76557E8F9B}" name="個人／事業所数" dataCellStyle="桁区切り"/>
    <tableColumn id="13" xr3:uid="{58FC6A38-7976-4563-8837-62610F859F56}" name="個人／構成比" dataDxfId="267"/>
    <tableColumn id="14" xr3:uid="{05F4F706-A141-48EA-A22B-C762853A88D7}" name="法人／事業所数" dataCellStyle="桁区切り"/>
    <tableColumn id="15" xr3:uid="{DC9B81AD-7FFD-4BE8-96AC-925E271AC481}" name="法人／構成比" dataDxfId="266"/>
    <tableColumn id="16" xr3:uid="{F7B9D4F1-A237-4424-B4F5-EBD046F6E70A}" name="法人以外の団体／事業所数" dataCellStyle="桁区切り"/>
  </tableColumns>
  <tableStyleInfo name="TableStyleMedium9" showFirstColumn="0" showLastColumn="0" showRowStripes="1" showColumnStripes="0"/>
</table>
</file>

<file path=xl/tables/table7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3" xr:uid="{9D1E0BA1-44FC-4A13-8E6B-0A27E24C96A5}" name="LTBL_21341" displayName="LTBL_21341" ref="B4:I20" totalsRowCount="1">
  <autoFilter ref="B4:I19" xr:uid="{9D1E0BA1-44FC-4A13-8E6B-0A27E24C96A5}"/>
  <tableColumns count="8">
    <tableColumn id="9" xr3:uid="{D1476137-36CE-498D-8907-7B0468CBC987}" name="産業大分類" totalsRowLabel="合計" totalsRowDxfId="265"/>
    <tableColumn id="10" xr3:uid="{30E7FFE2-D8DC-41D7-8BDE-B59EF086099A}" name="総数／事業所数" totalsRowFunction="custom" totalsRowDxfId="264" dataCellStyle="桁区切り" totalsRowCellStyle="桁区切り">
      <totalsRowFormula>SUM(LTBL_21341[総数／事業所数])</totalsRowFormula>
    </tableColumn>
    <tableColumn id="11" xr3:uid="{B1BA3C0F-56A7-463B-95A7-3DA2BF54D7C0}" name="総数／構成比" dataDxfId="263"/>
    <tableColumn id="12" xr3:uid="{62F36800-25A0-4F25-A0CA-FDBB806133C0}" name="個人／事業所数" totalsRowFunction="sum" totalsRowDxfId="262" dataCellStyle="桁区切り" totalsRowCellStyle="桁区切り"/>
    <tableColumn id="13" xr3:uid="{846FD02E-4E3C-494C-9BC2-DFBF6A68D2AF}" name="個人／構成比" dataDxfId="261"/>
    <tableColumn id="14" xr3:uid="{A67C85ED-1336-439E-87EB-F0E3BE469464}" name="法人／事業所数" totalsRowFunction="sum" totalsRowDxfId="260" dataCellStyle="桁区切り" totalsRowCellStyle="桁区切り"/>
    <tableColumn id="15" xr3:uid="{367A3BEA-6DE8-4C6C-B21E-5EB561E539A8}" name="法人／構成比" dataDxfId="259"/>
    <tableColumn id="16" xr3:uid="{E39E53A3-E1EC-4BD4-A042-F055702AE3D7}" name="法人以外の団体／事業所数" totalsRowFunction="sum" totalsRowDxfId="258" dataCellStyle="桁区切り" totalsRowCellStyle="桁区切り"/>
  </tableColumns>
  <tableStyleInfo name="TableStyleMedium9" showFirstColumn="0" showLastColumn="0" showRowStripes="1" showColumnStripes="0"/>
</table>
</file>

<file path=xl/tables/table7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4" xr:uid="{71A61220-62C1-426A-A51B-F082709BB570}" name="M_TABLE_21341" displayName="M_TABLE_21341" ref="B23:I43" totalsRowShown="0">
  <autoFilter ref="B23:I43" xr:uid="{71A61220-62C1-426A-A51B-F082709BB570}"/>
  <tableColumns count="8">
    <tableColumn id="9" xr3:uid="{3D19183B-3F21-4CFB-B62A-0FA27FE8FDD1}" name="産業中分類上位２０"/>
    <tableColumn id="10" xr3:uid="{1B26002C-A368-4236-99E6-1DB2232CE2DF}" name="総数／事業所数" dataCellStyle="桁区切り"/>
    <tableColumn id="11" xr3:uid="{6862AD58-A375-40A8-ADF9-D81DA065D3F0}" name="総数／構成比" dataDxfId="257"/>
    <tableColumn id="12" xr3:uid="{811EB6AF-D1CF-44F0-9B98-FA81C03F5460}" name="個人／事業所数" dataCellStyle="桁区切り"/>
    <tableColumn id="13" xr3:uid="{5C5E4B34-622A-493D-9487-6AD90FABBC54}" name="個人／構成比" dataDxfId="256"/>
    <tableColumn id="14" xr3:uid="{82DE4DC7-E182-4140-8ED9-EB5C9AB52ADB}" name="法人／事業所数" dataCellStyle="桁区切り"/>
    <tableColumn id="15" xr3:uid="{AECAE1D9-F985-478F-BB4D-445617FD7F90}" name="法人／構成比" dataDxfId="255"/>
    <tableColumn id="16" xr3:uid="{377C9A3F-CB6B-49C5-9188-CA76B454D05E}" name="法人以外の団体／事業所数" dataCellStyle="桁区切り"/>
  </tableColumns>
  <tableStyleInfo name="TableStyleMedium9" showFirstColumn="0" showLastColumn="0" showRowStripes="1" showColumnStripes="0"/>
</table>
</file>

<file path=xl/tables/table7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5" xr:uid="{98EA123F-2D6F-4CCF-B7CE-3D02970E1201}" name="S_TABLE_21341" displayName="S_TABLE_21341" ref="B46:I66" totalsRowShown="0">
  <autoFilter ref="B46:I66" xr:uid="{98EA123F-2D6F-4CCF-B7CE-3D02970E1201}"/>
  <tableColumns count="8">
    <tableColumn id="9" xr3:uid="{6C44F680-94DB-40CB-8937-EA0AD1AD2008}" name="産業小分類上位２０"/>
    <tableColumn id="10" xr3:uid="{FB6D844D-70AB-4F1A-BF5A-35B1BD1D1F42}" name="総数／事業所数" dataCellStyle="桁区切り"/>
    <tableColumn id="11" xr3:uid="{5FB2B49D-97E0-4718-BF8A-887C59F3AF86}" name="総数／構成比" dataDxfId="254"/>
    <tableColumn id="12" xr3:uid="{4CF194FA-5FDD-4AE3-BD8D-CADCBB76B985}" name="個人／事業所数" dataCellStyle="桁区切り"/>
    <tableColumn id="13" xr3:uid="{2AE0CDFF-4C70-4E3A-B0E4-36E83C4AF90E}" name="個人／構成比" dataDxfId="253"/>
    <tableColumn id="14" xr3:uid="{66606817-D8CE-4E0F-9D61-EC69219AFBCC}" name="法人／事業所数" dataCellStyle="桁区切り"/>
    <tableColumn id="15" xr3:uid="{C2E5AA01-059C-4AE0-AF18-1B5B9BBED1A5}" name="法人／構成比" dataDxfId="252"/>
    <tableColumn id="16" xr3:uid="{C262362B-BF9A-4B21-989A-51D16AE001ED}" name="法人以外の団体／事業所数" dataCellStyle="桁区切り"/>
  </tableColumns>
  <tableStyleInfo name="TableStyleMedium9" showFirstColumn="0" showLastColumn="0" showRowStripes="1" showColumnStripes="0"/>
</table>
</file>

<file path=xl/tables/table7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6" xr:uid="{DB4A3600-2BDB-4450-B360-A2FE4A5D0DC8}" name="LTBL_21361" displayName="LTBL_21361" ref="B4:I20" totalsRowCount="1">
  <autoFilter ref="B4:I19" xr:uid="{DB4A3600-2BDB-4450-B360-A2FE4A5D0DC8}"/>
  <tableColumns count="8">
    <tableColumn id="9" xr3:uid="{459CDBC5-569F-4CE7-8157-8CA0D3186DAD}" name="産業大分類" totalsRowLabel="合計" totalsRowDxfId="251"/>
    <tableColumn id="10" xr3:uid="{616FE9FF-76DF-4397-AA77-A5FCC92303B1}" name="総数／事業所数" totalsRowFunction="custom" totalsRowDxfId="250" dataCellStyle="桁区切り" totalsRowCellStyle="桁区切り">
      <totalsRowFormula>SUM(LTBL_21361[総数／事業所数])</totalsRowFormula>
    </tableColumn>
    <tableColumn id="11" xr3:uid="{99820641-15E2-45A5-819E-E7673FCBF4AC}" name="総数／構成比" dataDxfId="249"/>
    <tableColumn id="12" xr3:uid="{F6FA39DA-2282-4C94-9085-C0F426E3BAE7}" name="個人／事業所数" totalsRowFunction="sum" totalsRowDxfId="248" dataCellStyle="桁区切り" totalsRowCellStyle="桁区切り"/>
    <tableColumn id="13" xr3:uid="{A2805BB3-1503-4FAE-AE3B-732D1998C963}" name="個人／構成比" dataDxfId="247"/>
    <tableColumn id="14" xr3:uid="{440C470B-033C-4B71-8CE8-09F89152692F}" name="法人／事業所数" totalsRowFunction="sum" totalsRowDxfId="246" dataCellStyle="桁区切り" totalsRowCellStyle="桁区切り"/>
    <tableColumn id="15" xr3:uid="{770A16A9-4C9F-4A35-90A6-CC74C71BCB1E}" name="法人／構成比" dataDxfId="245"/>
    <tableColumn id="16" xr3:uid="{EA28F5A7-759F-4F0D-A265-AAD636673151}" name="法人以外の団体／事業所数" totalsRowFunction="sum" totalsRowDxfId="244" dataCellStyle="桁区切り" totalsRowCellStyle="桁区切り"/>
  </tableColumns>
  <tableStyleInfo name="TableStyleMedium9" showFirstColumn="0" showLastColumn="0" showRowStripes="1" showColumnStripes="0"/>
</table>
</file>

<file path=xl/tables/table7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7" xr:uid="{E0DA98B6-5C7C-4EA4-A999-E3540FC1E66F}" name="M_TABLE_21361" displayName="M_TABLE_21361" ref="B23:I45" totalsRowShown="0">
  <autoFilter ref="B23:I45" xr:uid="{E0DA98B6-5C7C-4EA4-A999-E3540FC1E66F}"/>
  <tableColumns count="8">
    <tableColumn id="9" xr3:uid="{E61BAD8E-81D4-471C-8F73-6C17F4C65B7F}" name="産業中分類上位２０"/>
    <tableColumn id="10" xr3:uid="{6185B9A7-BF5D-4DE9-BE16-D9C238F0948B}" name="総数／事業所数" dataCellStyle="桁区切り"/>
    <tableColumn id="11" xr3:uid="{F98F03B1-8BC6-4982-B98C-66D2AEC41647}" name="総数／構成比" dataDxfId="243"/>
    <tableColumn id="12" xr3:uid="{733097B3-97B4-4EB0-9B18-4465C3BEBA9B}" name="個人／事業所数" dataCellStyle="桁区切り"/>
    <tableColumn id="13" xr3:uid="{ABAB0853-6034-4C0C-8C1B-D1E275BEDAB3}" name="個人／構成比" dataDxfId="242"/>
    <tableColumn id="14" xr3:uid="{EC57F05F-E532-4FB5-BB03-8A461462F595}" name="法人／事業所数" dataCellStyle="桁区切り"/>
    <tableColumn id="15" xr3:uid="{40DF1786-127C-4906-9D2A-848ED28F05C8}" name="法人／構成比" dataDxfId="241"/>
    <tableColumn id="16" xr3:uid="{FAED3500-7651-497B-9CF1-28EC8C20EB3B}" name="法人以外の団体／事業所数" dataCellStyle="桁区切り"/>
  </tableColumns>
  <tableStyleInfo name="TableStyleMedium9" showFirstColumn="0" showLastColumn="0" showRowStripes="1" showColumnStripes="0"/>
</table>
</file>

<file path=xl/tables/table7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8" xr:uid="{AF088110-A347-4E9A-88FB-51FCD323386D}" name="S_TABLE_21361" displayName="S_TABLE_21361" ref="B48:I69" totalsRowShown="0">
  <autoFilter ref="B48:I69" xr:uid="{AF088110-A347-4E9A-88FB-51FCD323386D}"/>
  <tableColumns count="8">
    <tableColumn id="9" xr3:uid="{DAF70593-3E4D-43E2-8728-1709C9DFBBD8}" name="産業小分類上位２０"/>
    <tableColumn id="10" xr3:uid="{491D7CD8-3521-4778-83F3-383B4DDACD5C}" name="総数／事業所数" dataCellStyle="桁区切り"/>
    <tableColumn id="11" xr3:uid="{4676C25C-0F09-4A31-8299-9A1571FA56DC}" name="総数／構成比" dataDxfId="240"/>
    <tableColumn id="12" xr3:uid="{D7E45404-9B49-43B8-A6DE-5400470F06FD}" name="個人／事業所数" dataCellStyle="桁区切り"/>
    <tableColumn id="13" xr3:uid="{D25FE808-D96A-4E6C-994E-05A9920C3665}" name="個人／構成比" dataDxfId="239"/>
    <tableColumn id="14" xr3:uid="{0AACEC82-A660-4150-A4B6-199DC005F62D}" name="法人／事業所数" dataCellStyle="桁区切り"/>
    <tableColumn id="15" xr3:uid="{688D8EDA-4D33-4793-87F6-5DB70D9FDEBA}" name="法人／構成比" dataDxfId="238"/>
    <tableColumn id="16" xr3:uid="{6AD6B48C-A824-416D-98B4-0CA7C92928EC}" name="法人以外の団体／事業所数" dataCellStyle="桁区切り"/>
  </tableColumns>
  <tableStyleInfo name="TableStyleMedium9" showFirstColumn="0" showLastColumn="0" showRowStripes="1" showColumnStripes="0"/>
</table>
</file>

<file path=xl/tables/table7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9" xr:uid="{2EC067AE-3ADF-4BB9-8117-24DE5A877120}" name="LTBL_21362" displayName="LTBL_21362" ref="B4:I20" totalsRowCount="1">
  <autoFilter ref="B4:I19" xr:uid="{2EC067AE-3ADF-4BB9-8117-24DE5A877120}"/>
  <tableColumns count="8">
    <tableColumn id="9" xr3:uid="{05ADDB77-1EA0-42C2-8212-DB9D3DDA213D}" name="産業大分類" totalsRowLabel="合計" totalsRowDxfId="237"/>
    <tableColumn id="10" xr3:uid="{F5355F05-46DD-4D27-8602-A5A34819CEAE}" name="総数／事業所数" totalsRowFunction="custom" totalsRowDxfId="236" dataCellStyle="桁区切り" totalsRowCellStyle="桁区切り">
      <totalsRowFormula>SUM(LTBL_21362[総数／事業所数])</totalsRowFormula>
    </tableColumn>
    <tableColumn id="11" xr3:uid="{5FE2D45B-5150-4226-A787-A4A83EE7CF93}" name="総数／構成比" dataDxfId="235"/>
    <tableColumn id="12" xr3:uid="{2BD26BF0-F718-470C-B7CA-34C15B8F2CB9}" name="個人／事業所数" totalsRowFunction="sum" totalsRowDxfId="234" dataCellStyle="桁区切り" totalsRowCellStyle="桁区切り"/>
    <tableColumn id="13" xr3:uid="{4582C22B-D696-4EB4-8EBD-A70D7C1EEB43}" name="個人／構成比" dataDxfId="233"/>
    <tableColumn id="14" xr3:uid="{FC1851A8-59B2-44F9-8C55-ED6420717DD6}" name="法人／事業所数" totalsRowFunction="sum" totalsRowDxfId="232" dataCellStyle="桁区切り" totalsRowCellStyle="桁区切り"/>
    <tableColumn id="15" xr3:uid="{8BA041A8-AAA5-4629-AC8F-71492AAB77A9}" name="法人／構成比" dataDxfId="231"/>
    <tableColumn id="16" xr3:uid="{40ED9F39-75B6-4175-BCB7-82F7A1AB6BCB}" name="法人以外の団体／事業所数" totalsRowFunction="sum" totalsRowDxfId="230" dataCellStyle="桁区切り" totalsRowCellStyle="桁区切り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CE3890D5-CE5F-404F-B22D-D8C6468313B8}" name="M_TABLE_21202" displayName="M_TABLE_21202" ref="B23:I44" totalsRowShown="0">
  <autoFilter ref="B23:I44" xr:uid="{CE3890D5-CE5F-404F-B22D-D8C6468313B8}"/>
  <tableColumns count="8">
    <tableColumn id="9" xr3:uid="{8C33401D-2147-4628-83A1-D51D654771E9}" name="産業中分類上位２０"/>
    <tableColumn id="10" xr3:uid="{1801E8CE-E799-4B5F-B522-7CC66976886F}" name="総数／事業所数" dataCellStyle="桁区切り"/>
    <tableColumn id="11" xr3:uid="{3219DECF-7A06-4D01-BF4B-78E8BADC9E7F}" name="総数／構成比" dataDxfId="565"/>
    <tableColumn id="12" xr3:uid="{76C7D19B-5933-4F2C-BB7F-F6AF5D6FF130}" name="個人／事業所数" dataCellStyle="桁区切り"/>
    <tableColumn id="13" xr3:uid="{A7F1E8BD-5EDE-4E8A-93A5-839640877B5F}" name="個人／構成比" dataDxfId="564"/>
    <tableColumn id="14" xr3:uid="{A08706E9-95E4-47EE-8596-B254D0F8940C}" name="法人／事業所数" dataCellStyle="桁区切り"/>
    <tableColumn id="15" xr3:uid="{F75959F1-2061-49EB-8C4A-BB0A1E413A35}" name="法人／構成比" dataDxfId="563"/>
    <tableColumn id="16" xr3:uid="{A29B8954-6395-40FB-B32E-F82EB47FD9FA}" name="法人以外の団体／事業所数" dataCellStyle="桁区切り"/>
  </tableColumns>
  <tableStyleInfo name="TableStyleMedium9" showFirstColumn="0" showLastColumn="0" showRowStripes="1" showColumnStripes="0"/>
</table>
</file>

<file path=xl/tables/table8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0" xr:uid="{012E2C09-1EEA-4A29-ABF5-2271CF9A4A67}" name="M_TABLE_21362" displayName="M_TABLE_21362" ref="B23:I49" totalsRowShown="0">
  <autoFilter ref="B23:I49" xr:uid="{012E2C09-1EEA-4A29-ABF5-2271CF9A4A67}"/>
  <tableColumns count="8">
    <tableColumn id="9" xr3:uid="{A166C39D-1D3A-4471-99CB-0EBE2FEB5BBC}" name="産業中分類上位２０"/>
    <tableColumn id="10" xr3:uid="{6054FD53-0CDD-4A6B-A301-7BC98751390B}" name="総数／事業所数" dataCellStyle="桁区切り"/>
    <tableColumn id="11" xr3:uid="{99016B89-7A27-4ABE-BF77-96699D59A2CD}" name="総数／構成比" dataDxfId="229"/>
    <tableColumn id="12" xr3:uid="{674A261F-F93E-49ED-B798-50584A1E101F}" name="個人／事業所数" dataCellStyle="桁区切り"/>
    <tableColumn id="13" xr3:uid="{208D6DBA-9A7F-4FE7-ABDC-01451F4CCA11}" name="個人／構成比" dataDxfId="228"/>
    <tableColumn id="14" xr3:uid="{87C4DA2B-C9CD-4803-9424-462DCE0C79A2}" name="法人／事業所数" dataCellStyle="桁区切り"/>
    <tableColumn id="15" xr3:uid="{D8908DCD-997D-4357-9413-F348583EA8CE}" name="法人／構成比" dataDxfId="227"/>
    <tableColumn id="16" xr3:uid="{CC474FF7-2B02-4E12-A8BE-B2023035A80D}" name="法人以外の団体／事業所数" dataCellStyle="桁区切り"/>
  </tableColumns>
  <tableStyleInfo name="TableStyleMedium9" showFirstColumn="0" showLastColumn="0" showRowStripes="1" showColumnStripes="0"/>
</table>
</file>

<file path=xl/tables/table8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1" xr:uid="{DFF0EC4E-549C-4E93-A650-76C3802E30A6}" name="S_TABLE_21362" displayName="S_TABLE_21362" ref="B52:I76" totalsRowShown="0">
  <autoFilter ref="B52:I76" xr:uid="{DFF0EC4E-549C-4E93-A650-76C3802E30A6}"/>
  <tableColumns count="8">
    <tableColumn id="9" xr3:uid="{4BD274F5-438F-48A6-B26D-F871184647E5}" name="産業小分類上位２０"/>
    <tableColumn id="10" xr3:uid="{EFA5B611-7EE5-4C8C-906D-7C42371868D4}" name="総数／事業所数" dataCellStyle="桁区切り"/>
    <tableColumn id="11" xr3:uid="{822A9F3E-C39C-4696-9E2B-095A214FC342}" name="総数／構成比" dataDxfId="226"/>
    <tableColumn id="12" xr3:uid="{C4AA94D6-460E-447E-A707-1457804B2358}" name="個人／事業所数" dataCellStyle="桁区切り"/>
    <tableColumn id="13" xr3:uid="{864BE587-71E0-44B1-9B34-30ECBB353098}" name="個人／構成比" dataDxfId="225"/>
    <tableColumn id="14" xr3:uid="{07544E0A-ADC2-415F-B147-275B770F9E2B}" name="法人／事業所数" dataCellStyle="桁区切り"/>
    <tableColumn id="15" xr3:uid="{69270DC1-0DD3-4BB1-A597-2ED2304A5909}" name="法人／構成比" dataDxfId="224"/>
    <tableColumn id="16" xr3:uid="{A0BDA3D6-C09A-4E4D-BF97-91A59F1BF1E7}" name="法人以外の団体／事業所数" dataCellStyle="桁区切り"/>
  </tableColumns>
  <tableStyleInfo name="TableStyleMedium9" showFirstColumn="0" showLastColumn="0" showRowStripes="1" showColumnStripes="0"/>
</table>
</file>

<file path=xl/tables/table8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2" xr:uid="{AEB880C2-5A1F-40B7-8396-5F32512B036F}" name="LTBL_21381" displayName="LTBL_21381" ref="B4:I20" totalsRowCount="1">
  <autoFilter ref="B4:I19" xr:uid="{AEB880C2-5A1F-40B7-8396-5F32512B036F}"/>
  <tableColumns count="8">
    <tableColumn id="9" xr3:uid="{D343148D-D28C-40DC-A56E-17A34A146C9F}" name="産業大分類" totalsRowLabel="合計" totalsRowDxfId="223"/>
    <tableColumn id="10" xr3:uid="{5120FFE3-66C6-40A3-BD6C-D1E645296FD1}" name="総数／事業所数" totalsRowFunction="custom" totalsRowDxfId="222" dataCellStyle="桁区切り" totalsRowCellStyle="桁区切り">
      <totalsRowFormula>SUM(LTBL_21381[総数／事業所数])</totalsRowFormula>
    </tableColumn>
    <tableColumn id="11" xr3:uid="{3E289451-4538-4D5A-A336-560321C48E98}" name="総数／構成比" dataDxfId="221"/>
    <tableColumn id="12" xr3:uid="{D045E70F-C9D5-466F-8F27-D55110973961}" name="個人／事業所数" totalsRowFunction="sum" totalsRowDxfId="220" dataCellStyle="桁区切り" totalsRowCellStyle="桁区切り"/>
    <tableColumn id="13" xr3:uid="{2ED5F93B-A687-4C9B-869D-1D5FF50615CB}" name="個人／構成比" dataDxfId="219"/>
    <tableColumn id="14" xr3:uid="{FEC5B188-0C22-4CC6-A07E-34B03157BEA2}" name="法人／事業所数" totalsRowFunction="sum" totalsRowDxfId="218" dataCellStyle="桁区切り" totalsRowCellStyle="桁区切り"/>
    <tableColumn id="15" xr3:uid="{E12D0D2B-EDFD-48DB-8B0D-844E54F11922}" name="法人／構成比" dataDxfId="217"/>
    <tableColumn id="16" xr3:uid="{B121B69A-D14A-4F40-84DD-D47704F67C95}" name="法人以外の団体／事業所数" totalsRowFunction="sum" totalsRowDxfId="216" dataCellStyle="桁区切り" totalsRowCellStyle="桁区切り"/>
  </tableColumns>
  <tableStyleInfo name="TableStyleMedium9" showFirstColumn="0" showLastColumn="0" showRowStripes="1" showColumnStripes="0"/>
</table>
</file>

<file path=xl/tables/table8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3" xr:uid="{F1EB392C-B024-4CA6-8F96-94950CFFD6BF}" name="M_TABLE_21381" displayName="M_TABLE_21381" ref="B23:I45" totalsRowShown="0">
  <autoFilter ref="B23:I45" xr:uid="{F1EB392C-B024-4CA6-8F96-94950CFFD6BF}"/>
  <tableColumns count="8">
    <tableColumn id="9" xr3:uid="{4406C873-F441-45A0-B480-7D445AFE6263}" name="産業中分類上位２０"/>
    <tableColumn id="10" xr3:uid="{D1FA1B85-E063-4857-A2C0-6EE21A5D425C}" name="総数／事業所数" dataCellStyle="桁区切り"/>
    <tableColumn id="11" xr3:uid="{5308B643-5435-4443-99D7-D6C0CD231CFA}" name="総数／構成比" dataDxfId="215"/>
    <tableColumn id="12" xr3:uid="{5859F726-49FB-41C9-87D1-2025B1D92D8B}" name="個人／事業所数" dataCellStyle="桁区切り"/>
    <tableColumn id="13" xr3:uid="{AB9132A7-3389-4814-8E50-CDFAE7923786}" name="個人／構成比" dataDxfId="214"/>
    <tableColumn id="14" xr3:uid="{C9B02D28-B55E-4950-9CE7-D3B0E33FD03C}" name="法人／事業所数" dataCellStyle="桁区切り"/>
    <tableColumn id="15" xr3:uid="{301F6459-A1D5-4E0E-AA76-1DE45CCDDC63}" name="法人／構成比" dataDxfId="213"/>
    <tableColumn id="16" xr3:uid="{3FF70708-11D7-4B48-A685-87594125D863}" name="法人以外の団体／事業所数" dataCellStyle="桁区切り"/>
  </tableColumns>
  <tableStyleInfo name="TableStyleMedium9" showFirstColumn="0" showLastColumn="0" showRowStripes="1" showColumnStripes="0"/>
</table>
</file>

<file path=xl/tables/table8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4" xr:uid="{6A82BE0D-44AD-4652-9C84-50F11159822B}" name="S_TABLE_21381" displayName="S_TABLE_21381" ref="B48:I73" totalsRowShown="0">
  <autoFilter ref="B48:I73" xr:uid="{6A82BE0D-44AD-4652-9C84-50F11159822B}"/>
  <tableColumns count="8">
    <tableColumn id="9" xr3:uid="{9665EB8E-DC0F-4244-A559-CF1DCDB16F94}" name="産業小分類上位２０"/>
    <tableColumn id="10" xr3:uid="{8AAC625F-D4DF-41E1-AA18-5824B7D1C988}" name="総数／事業所数" dataCellStyle="桁区切り"/>
    <tableColumn id="11" xr3:uid="{EA002411-314F-4E5A-90C0-D34053D6FA14}" name="総数／構成比" dataDxfId="212"/>
    <tableColumn id="12" xr3:uid="{6D79E6C1-5658-4C94-86D5-810BFA4BC836}" name="個人／事業所数" dataCellStyle="桁区切り"/>
    <tableColumn id="13" xr3:uid="{1E9D56E2-C8E1-45D9-ACC7-35D840BAD8E2}" name="個人／構成比" dataDxfId="211"/>
    <tableColumn id="14" xr3:uid="{6791E1F4-C71A-442F-8DC2-5F00FBE82BEE}" name="法人／事業所数" dataCellStyle="桁区切り"/>
    <tableColumn id="15" xr3:uid="{FD12305C-60A8-4BE0-B122-C813F5967E7B}" name="法人／構成比" dataDxfId="210"/>
    <tableColumn id="16" xr3:uid="{9F4FD2EC-2709-4881-B2C1-5F9EEAC327A8}" name="法人以外の団体／事業所数" dataCellStyle="桁区切り"/>
  </tableColumns>
  <tableStyleInfo name="TableStyleMedium9" showFirstColumn="0" showLastColumn="0" showRowStripes="1" showColumnStripes="0"/>
</table>
</file>

<file path=xl/tables/table8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5" xr:uid="{73649D31-C69A-4C29-AE99-F65196927FB1}" name="LTBL_21382" displayName="LTBL_21382" ref="B4:I20" totalsRowCount="1">
  <autoFilter ref="B4:I19" xr:uid="{73649D31-C69A-4C29-AE99-F65196927FB1}"/>
  <tableColumns count="8">
    <tableColumn id="9" xr3:uid="{434388A6-3502-4F20-889B-BF9437C750EE}" name="産業大分類" totalsRowLabel="合計" totalsRowDxfId="209"/>
    <tableColumn id="10" xr3:uid="{E91BC5EF-ECFE-4C21-8E03-EA14504F7C91}" name="総数／事業所数" totalsRowFunction="custom" totalsRowDxfId="208" dataCellStyle="桁区切り" totalsRowCellStyle="桁区切り">
      <totalsRowFormula>SUM(LTBL_21382[総数／事業所数])</totalsRowFormula>
    </tableColumn>
    <tableColumn id="11" xr3:uid="{E3550CFC-B6BF-4C4D-A937-FFBCE7863299}" name="総数／構成比" dataDxfId="207"/>
    <tableColumn id="12" xr3:uid="{FE34B732-15E7-44BB-B781-926C9C12380D}" name="個人／事業所数" totalsRowFunction="sum" totalsRowDxfId="206" dataCellStyle="桁区切り" totalsRowCellStyle="桁区切り"/>
    <tableColumn id="13" xr3:uid="{29993158-A9F3-4F26-8046-1F5E328D2921}" name="個人／構成比" dataDxfId="205"/>
    <tableColumn id="14" xr3:uid="{1D108E30-081E-4D1B-B8EF-D0E4AE4C32D4}" name="法人／事業所数" totalsRowFunction="sum" totalsRowDxfId="204" dataCellStyle="桁区切り" totalsRowCellStyle="桁区切り"/>
    <tableColumn id="15" xr3:uid="{38295510-C19C-41FD-9D29-D8DE49C09072}" name="法人／構成比" dataDxfId="203"/>
    <tableColumn id="16" xr3:uid="{D02663B7-1ECC-423A-A215-96400E93B08A}" name="法人以外の団体／事業所数" totalsRowFunction="sum" totalsRowDxfId="202" dataCellStyle="桁区切り" totalsRowCellStyle="桁区切り"/>
  </tableColumns>
  <tableStyleInfo name="TableStyleMedium9" showFirstColumn="0" showLastColumn="0" showRowStripes="1" showColumnStripes="0"/>
</table>
</file>

<file path=xl/tables/table8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6" xr:uid="{04B56709-F0BF-4754-86CE-3AC1491E6E30}" name="M_TABLE_21382" displayName="M_TABLE_21382" ref="B23:I44" totalsRowShown="0">
  <autoFilter ref="B23:I44" xr:uid="{04B56709-F0BF-4754-86CE-3AC1491E6E30}"/>
  <tableColumns count="8">
    <tableColumn id="9" xr3:uid="{7905A6E0-E232-40A3-8471-11A2DEB9DF4C}" name="産業中分類上位２０"/>
    <tableColumn id="10" xr3:uid="{DF96824C-A5A5-4A44-B578-29EE6188D6BD}" name="総数／事業所数" dataCellStyle="桁区切り"/>
    <tableColumn id="11" xr3:uid="{2B716902-8C6B-4BF2-BD90-BF63777773D2}" name="総数／構成比" dataDxfId="201"/>
    <tableColumn id="12" xr3:uid="{7E89F871-7BFC-4197-B3B5-42AC19703EA6}" name="個人／事業所数" dataCellStyle="桁区切り"/>
    <tableColumn id="13" xr3:uid="{A63BEAE3-62D1-48CF-962D-DE332EA25764}" name="個人／構成比" dataDxfId="200"/>
    <tableColumn id="14" xr3:uid="{4D9C66C5-9944-42D7-9B9A-578BE0F4FFE3}" name="法人／事業所数" dataCellStyle="桁区切り"/>
    <tableColumn id="15" xr3:uid="{A080E58B-F192-410E-90A7-1AFE3728D410}" name="法人／構成比" dataDxfId="199"/>
    <tableColumn id="16" xr3:uid="{BB4A8C20-FA3F-4D40-98A6-D83D81C93E00}" name="法人以外の団体／事業所数" dataCellStyle="桁区切り"/>
  </tableColumns>
  <tableStyleInfo name="TableStyleMedium9" showFirstColumn="0" showLastColumn="0" showRowStripes="1" showColumnStripes="0"/>
</table>
</file>

<file path=xl/tables/table8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7" xr:uid="{BB125E69-1477-453E-BD20-8B990ABC4656}" name="S_TABLE_21382" displayName="S_TABLE_21382" ref="B47:I73" totalsRowShown="0">
  <autoFilter ref="B47:I73" xr:uid="{BB125E69-1477-453E-BD20-8B990ABC4656}"/>
  <tableColumns count="8">
    <tableColumn id="9" xr3:uid="{35937120-1AD8-4207-AA54-270215436901}" name="産業小分類上位２０"/>
    <tableColumn id="10" xr3:uid="{C54F3F4E-D079-452C-A2F2-881DF9ED9D8A}" name="総数／事業所数" dataCellStyle="桁区切り"/>
    <tableColumn id="11" xr3:uid="{8323B9E7-22F4-4EAF-AB34-EFB87A4ADDBF}" name="総数／構成比" dataDxfId="198"/>
    <tableColumn id="12" xr3:uid="{E3D6EC0D-381E-4D94-AA16-F09980A42EEE}" name="個人／事業所数" dataCellStyle="桁区切り"/>
    <tableColumn id="13" xr3:uid="{D7F18834-41C2-4D1F-869A-4D8CA0CB4894}" name="個人／構成比" dataDxfId="197"/>
    <tableColumn id="14" xr3:uid="{6AD01DFB-B63F-4C3B-9BD5-9CC852B2889C}" name="法人／事業所数" dataCellStyle="桁区切り"/>
    <tableColumn id="15" xr3:uid="{6436D478-0D85-476B-AC24-46463C7B1F01}" name="法人／構成比" dataDxfId="196"/>
    <tableColumn id="16" xr3:uid="{F5C1314D-579A-41C7-BCE5-AB781B615170}" name="法人以外の団体／事業所数" dataCellStyle="桁区切り"/>
  </tableColumns>
  <tableStyleInfo name="TableStyleMedium9" showFirstColumn="0" showLastColumn="0" showRowStripes="1" showColumnStripes="0"/>
</table>
</file>

<file path=xl/tables/table8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8" xr:uid="{5B065738-65B4-45BB-B5CE-C1337825EB89}" name="LTBL_21383" displayName="LTBL_21383" ref="B4:I20" totalsRowCount="1">
  <autoFilter ref="B4:I19" xr:uid="{5B065738-65B4-45BB-B5CE-C1337825EB89}"/>
  <tableColumns count="8">
    <tableColumn id="9" xr3:uid="{D2D4A956-2589-445B-9B58-0DBC0BB23B33}" name="産業大分類" totalsRowLabel="合計" totalsRowDxfId="195"/>
    <tableColumn id="10" xr3:uid="{149E4B3B-B6D5-480B-8A1C-BC5E8DBE2BDC}" name="総数／事業所数" totalsRowFunction="custom" totalsRowDxfId="194" dataCellStyle="桁区切り" totalsRowCellStyle="桁区切り">
      <totalsRowFormula>SUM(LTBL_21383[総数／事業所数])</totalsRowFormula>
    </tableColumn>
    <tableColumn id="11" xr3:uid="{25835EC6-8590-4D41-8FDA-F3DD9E7C6C45}" name="総数／構成比" dataDxfId="193"/>
    <tableColumn id="12" xr3:uid="{5C5F2520-7B2D-4C6F-AA65-C9CF78FB2670}" name="個人／事業所数" totalsRowFunction="sum" totalsRowDxfId="192" dataCellStyle="桁区切り" totalsRowCellStyle="桁区切り"/>
    <tableColumn id="13" xr3:uid="{626F6431-D3BE-416A-A423-EA96C44B0680}" name="個人／構成比" dataDxfId="191"/>
    <tableColumn id="14" xr3:uid="{892C1909-476D-45FB-A7ED-857C964D0017}" name="法人／事業所数" totalsRowFunction="sum" totalsRowDxfId="190" dataCellStyle="桁区切り" totalsRowCellStyle="桁区切り"/>
    <tableColumn id="15" xr3:uid="{DB7D148A-00ED-44E0-AB6B-A5D4C90384E8}" name="法人／構成比" dataDxfId="189"/>
    <tableColumn id="16" xr3:uid="{F3CF3C34-E76A-4ED5-8CDF-B530BE4945DF}" name="法人以外の団体／事業所数" totalsRowFunction="sum" totalsRowDxfId="188" dataCellStyle="桁区切り" totalsRowCellStyle="桁区切り"/>
  </tableColumns>
  <tableStyleInfo name="TableStyleMedium9" showFirstColumn="0" showLastColumn="0" showRowStripes="1" showColumnStripes="0"/>
</table>
</file>

<file path=xl/tables/table8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9" xr:uid="{A13B00B8-9396-42F7-8680-C709848C11D8}" name="M_TABLE_21383" displayName="M_TABLE_21383" ref="B23:I49" totalsRowShown="0">
  <autoFilter ref="B23:I49" xr:uid="{A13B00B8-9396-42F7-8680-C709848C11D8}"/>
  <tableColumns count="8">
    <tableColumn id="9" xr3:uid="{B6963C4A-42B0-4093-A6C2-7F0B6D433FA8}" name="産業中分類上位２０"/>
    <tableColumn id="10" xr3:uid="{BA36A552-3894-49CF-8336-6C6037FC56FA}" name="総数／事業所数" dataCellStyle="桁区切り"/>
    <tableColumn id="11" xr3:uid="{95DFBADC-8B08-413E-BEB1-3678FE73BA5C}" name="総数／構成比" dataDxfId="187"/>
    <tableColumn id="12" xr3:uid="{3338663B-D391-4E40-9318-841C993A38BF}" name="個人／事業所数" dataCellStyle="桁区切り"/>
    <tableColumn id="13" xr3:uid="{9D124184-4C74-4D49-9F64-D877158A51CC}" name="個人／構成比" dataDxfId="186"/>
    <tableColumn id="14" xr3:uid="{C6FEA2DA-0B39-44D4-992B-2E386F16BF6A}" name="法人／事業所数" dataCellStyle="桁区切り"/>
    <tableColumn id="15" xr3:uid="{D20F802A-AD76-45E3-8D78-CC843D540BC8}" name="法人／構成比" dataDxfId="185"/>
    <tableColumn id="16" xr3:uid="{19A4792A-F0B1-4116-8BF6-F9870DA583BC}" name="法人以外の団体／事業所数" dataCellStyle="桁区切り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EB392C97-C206-4582-9EC0-941CAF31AEAF}" name="S_TABLE_21202" displayName="S_TABLE_21202" ref="B47:I67" totalsRowShown="0">
  <autoFilter ref="B47:I67" xr:uid="{EB392C97-C206-4582-9EC0-941CAF31AEAF}"/>
  <tableColumns count="8">
    <tableColumn id="9" xr3:uid="{B2D0FD3D-E3A8-4D8D-B0F0-88B3D0B6534C}" name="産業小分類上位２０"/>
    <tableColumn id="10" xr3:uid="{EEBA43CE-F53C-4364-B547-25A061A681F7}" name="総数／事業所数" dataCellStyle="桁区切り"/>
    <tableColumn id="11" xr3:uid="{040CBCAA-AB1C-4E7E-BA0D-3416029CC6FE}" name="総数／構成比" dataDxfId="562"/>
    <tableColumn id="12" xr3:uid="{F04B957B-5B2D-40DA-A0CF-B0A9BBC82A6D}" name="個人／事業所数" dataCellStyle="桁区切り"/>
    <tableColumn id="13" xr3:uid="{C9FFE0E7-F78C-4BFF-8F46-E18D0503880D}" name="個人／構成比" dataDxfId="561"/>
    <tableColumn id="14" xr3:uid="{08D4C31E-93AB-4559-AE82-3D1F1FEEE834}" name="法人／事業所数" dataCellStyle="桁区切り"/>
    <tableColumn id="15" xr3:uid="{E35F0A6A-B453-4773-B6FA-789FFD2193C9}" name="法人／構成比" dataDxfId="560"/>
    <tableColumn id="16" xr3:uid="{FDA5F52C-199C-47AF-8623-89D33456B62E}" name="法人以外の団体／事業所数" dataCellStyle="桁区切り"/>
  </tableColumns>
  <tableStyleInfo name="TableStyleMedium9" showFirstColumn="0" showLastColumn="0" showRowStripes="1" showColumnStripes="0"/>
</table>
</file>

<file path=xl/tables/table9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0" xr:uid="{E0C6E3B8-B1D9-439B-AF37-9F3F3808C2DB}" name="S_TABLE_21383" displayName="S_TABLE_21383" ref="B52:I74" totalsRowShown="0">
  <autoFilter ref="B52:I74" xr:uid="{E0C6E3B8-B1D9-439B-AF37-9F3F3808C2DB}"/>
  <tableColumns count="8">
    <tableColumn id="9" xr3:uid="{ED338CD3-270D-43E2-B186-C83A0A7BF5EB}" name="産業小分類上位２０"/>
    <tableColumn id="10" xr3:uid="{0168059B-D139-45F7-930C-CF7843AA7DBE}" name="総数／事業所数" dataCellStyle="桁区切り"/>
    <tableColumn id="11" xr3:uid="{71803309-B51F-4F91-9312-99AEE48654DF}" name="総数／構成比" dataDxfId="184"/>
    <tableColumn id="12" xr3:uid="{B0B5DBC0-5F54-4EBB-99B1-713F50865D0B}" name="個人／事業所数" dataCellStyle="桁区切り"/>
    <tableColumn id="13" xr3:uid="{CC0A5B86-8BEB-496E-8A99-060CCA7E09B1}" name="個人／構成比" dataDxfId="183"/>
    <tableColumn id="14" xr3:uid="{38352DD5-6A3E-4BB1-AAB4-343667930A52}" name="法人／事業所数" dataCellStyle="桁区切り"/>
    <tableColumn id="15" xr3:uid="{BD69D209-B154-4B28-8BD7-E0F3E76059E8}" name="法人／構成比" dataDxfId="182"/>
    <tableColumn id="16" xr3:uid="{5071B3D5-1830-455B-A931-51919F4E833C}" name="法人以外の団体／事業所数" dataCellStyle="桁区切り"/>
  </tableColumns>
  <tableStyleInfo name="TableStyleMedium9" showFirstColumn="0" showLastColumn="0" showRowStripes="1" showColumnStripes="0"/>
</table>
</file>

<file path=xl/tables/table9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1" xr:uid="{F623C65D-51E6-4D35-BF9B-0F75B7E39FE1}" name="LTBL_21401" displayName="LTBL_21401" ref="B4:I20" totalsRowCount="1">
  <autoFilter ref="B4:I19" xr:uid="{F623C65D-51E6-4D35-BF9B-0F75B7E39FE1}"/>
  <tableColumns count="8">
    <tableColumn id="9" xr3:uid="{50A343EE-9FA7-4755-A56C-E16A0ABC6A30}" name="産業大分類" totalsRowLabel="合計" totalsRowDxfId="181"/>
    <tableColumn id="10" xr3:uid="{3250F4AF-FB05-4EDA-98BD-E59B52BD31BD}" name="総数／事業所数" totalsRowFunction="custom" totalsRowDxfId="180" dataCellStyle="桁区切り" totalsRowCellStyle="桁区切り">
      <totalsRowFormula>SUM(LTBL_21401[総数／事業所数])</totalsRowFormula>
    </tableColumn>
    <tableColumn id="11" xr3:uid="{72697F71-CF87-461C-84AE-F793022B7F06}" name="総数／構成比" dataDxfId="179"/>
    <tableColumn id="12" xr3:uid="{C623965E-EB3D-4DFE-99A4-CC5E68201B31}" name="個人／事業所数" totalsRowFunction="sum" totalsRowDxfId="178" dataCellStyle="桁区切り" totalsRowCellStyle="桁区切り"/>
    <tableColumn id="13" xr3:uid="{B179A59C-4243-47EB-99FF-6FBE4F44038A}" name="個人／構成比" dataDxfId="177"/>
    <tableColumn id="14" xr3:uid="{B81494A1-E3A7-4A57-8880-2D02AE89A2E4}" name="法人／事業所数" totalsRowFunction="sum" totalsRowDxfId="176" dataCellStyle="桁区切り" totalsRowCellStyle="桁区切り"/>
    <tableColumn id="15" xr3:uid="{CE5225B1-6716-43CE-B17D-96299A612BDE}" name="法人／構成比" dataDxfId="175"/>
    <tableColumn id="16" xr3:uid="{43537108-E35A-40DC-A7FE-0269B8DE31EE}" name="法人以外の団体／事業所数" totalsRowFunction="sum" totalsRowDxfId="174" dataCellStyle="桁区切り" totalsRowCellStyle="桁区切り"/>
  </tableColumns>
  <tableStyleInfo name="TableStyleMedium9" showFirstColumn="0" showLastColumn="0" showRowStripes="1" showColumnStripes="0"/>
</table>
</file>

<file path=xl/tables/table9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2" xr:uid="{DACB59B9-3B02-4D1C-9AB5-4BB6A28CA067}" name="M_TABLE_21401" displayName="M_TABLE_21401" ref="B23:I47" totalsRowShown="0">
  <autoFilter ref="B23:I47" xr:uid="{DACB59B9-3B02-4D1C-9AB5-4BB6A28CA067}"/>
  <tableColumns count="8">
    <tableColumn id="9" xr3:uid="{BEC77E59-C4C0-4E77-A5BB-79615C5F97D1}" name="産業中分類上位２０"/>
    <tableColumn id="10" xr3:uid="{0D422A57-6ACD-4795-84AE-686491A74AF7}" name="総数／事業所数" dataCellStyle="桁区切り"/>
    <tableColumn id="11" xr3:uid="{4ABE24D2-289B-4717-801B-729D92F97AE6}" name="総数／構成比" dataDxfId="173"/>
    <tableColumn id="12" xr3:uid="{90AE7735-80F3-485C-8A63-182E40505A36}" name="個人／事業所数" dataCellStyle="桁区切り"/>
    <tableColumn id="13" xr3:uid="{F6AD8570-AB48-46AB-A803-FA06F27CF3D1}" name="個人／構成比" dataDxfId="172"/>
    <tableColumn id="14" xr3:uid="{763614EE-B60F-47CF-BAA5-DC15294EDECB}" name="法人／事業所数" dataCellStyle="桁区切り"/>
    <tableColumn id="15" xr3:uid="{948BBAFA-6FC4-48D9-88C1-3E8C7A27CB80}" name="法人／構成比" dataDxfId="171"/>
    <tableColumn id="16" xr3:uid="{8F1CD881-3380-42D3-9E70-44FDF89FB49A}" name="法人以外の団体／事業所数" dataCellStyle="桁区切り"/>
  </tableColumns>
  <tableStyleInfo name="TableStyleMedium9" showFirstColumn="0" showLastColumn="0" showRowStripes="1" showColumnStripes="0"/>
</table>
</file>

<file path=xl/tables/table9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3" xr:uid="{D56F8088-7AC5-408E-8DAF-412724AC24EB}" name="S_TABLE_21401" displayName="S_TABLE_21401" ref="B50:I71" totalsRowShown="0">
  <autoFilter ref="B50:I71" xr:uid="{D56F8088-7AC5-408E-8DAF-412724AC24EB}"/>
  <tableColumns count="8">
    <tableColumn id="9" xr3:uid="{76A6397F-7121-4FD4-B66B-3F8D6831432E}" name="産業小分類上位２０"/>
    <tableColumn id="10" xr3:uid="{AC445780-10B7-466B-93CC-DCC82604707C}" name="総数／事業所数" dataCellStyle="桁区切り"/>
    <tableColumn id="11" xr3:uid="{AE9037E5-E363-4570-A167-C2D968D88AFA}" name="総数／構成比" dataDxfId="170"/>
    <tableColumn id="12" xr3:uid="{189491F1-DDB2-4611-A78C-1DAF97BC2B1A}" name="個人／事業所数" dataCellStyle="桁区切り"/>
    <tableColumn id="13" xr3:uid="{4E453029-130F-4049-840D-05E0893A5D92}" name="個人／構成比" dataDxfId="169"/>
    <tableColumn id="14" xr3:uid="{2C0EA3E2-535E-4C79-AE2B-7383314F1930}" name="法人／事業所数" dataCellStyle="桁区切り"/>
    <tableColumn id="15" xr3:uid="{B7317569-28BD-4D39-B2A6-EBFF01C1D344}" name="法人／構成比" dataDxfId="168"/>
    <tableColumn id="16" xr3:uid="{0F133FA3-4F9A-4717-80F8-A9D716BB0BD0}" name="法人以外の団体／事業所数" dataCellStyle="桁区切り"/>
  </tableColumns>
  <tableStyleInfo name="TableStyleMedium9" showFirstColumn="0" showLastColumn="0" showRowStripes="1" showColumnStripes="0"/>
</table>
</file>

<file path=xl/tables/table9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4" xr:uid="{9D0FB5C4-F596-493A-91C1-B272EB2BB8AD}" name="LTBL_21403" displayName="LTBL_21403" ref="B4:I20" totalsRowCount="1">
  <autoFilter ref="B4:I19" xr:uid="{9D0FB5C4-F596-493A-91C1-B272EB2BB8AD}"/>
  <tableColumns count="8">
    <tableColumn id="9" xr3:uid="{A184B328-C5E2-4540-9B90-E01C6EC55FA0}" name="産業大分類" totalsRowLabel="合計" totalsRowDxfId="167"/>
    <tableColumn id="10" xr3:uid="{CF1EA068-8EF3-43ED-A7A7-0A7FDC8791B8}" name="総数／事業所数" totalsRowFunction="custom" totalsRowDxfId="166" dataCellStyle="桁区切り" totalsRowCellStyle="桁区切り">
      <totalsRowFormula>SUM(LTBL_21403[総数／事業所数])</totalsRowFormula>
    </tableColumn>
    <tableColumn id="11" xr3:uid="{14C42314-0FD1-492C-A669-E9722763C00F}" name="総数／構成比" dataDxfId="165"/>
    <tableColumn id="12" xr3:uid="{36464DD8-FF99-47A0-BB72-CB5F6BDCE330}" name="個人／事業所数" totalsRowFunction="sum" totalsRowDxfId="164" dataCellStyle="桁区切り" totalsRowCellStyle="桁区切り"/>
    <tableColumn id="13" xr3:uid="{87C5C9F5-AD13-474B-913B-397446978FE4}" name="個人／構成比" dataDxfId="163"/>
    <tableColumn id="14" xr3:uid="{9FD6795F-B271-4F6F-BB68-7FF806742012}" name="法人／事業所数" totalsRowFunction="sum" totalsRowDxfId="162" dataCellStyle="桁区切り" totalsRowCellStyle="桁区切り"/>
    <tableColumn id="15" xr3:uid="{0A29D8C0-5D0D-4491-A1FC-96ED527AAE48}" name="法人／構成比" dataDxfId="161"/>
    <tableColumn id="16" xr3:uid="{DE7FD8A9-2F84-4EED-8EBB-B8EF24A79C07}" name="法人以外の団体／事業所数" totalsRowFunction="sum" totalsRowDxfId="160" dataCellStyle="桁区切り" totalsRowCellStyle="桁区切り"/>
  </tableColumns>
  <tableStyleInfo name="TableStyleMedium9" showFirstColumn="0" showLastColumn="0" showRowStripes="1" showColumnStripes="0"/>
</table>
</file>

<file path=xl/tables/table9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5" xr:uid="{11E2A655-E0FD-431A-A510-112CB7BDC8D6}" name="M_TABLE_21403" displayName="M_TABLE_21403" ref="B23:I43" totalsRowShown="0">
  <autoFilter ref="B23:I43" xr:uid="{11E2A655-E0FD-431A-A510-112CB7BDC8D6}"/>
  <tableColumns count="8">
    <tableColumn id="9" xr3:uid="{3AD9DF6C-7988-4B6F-A230-70C5FC199D9C}" name="産業中分類上位２０"/>
    <tableColumn id="10" xr3:uid="{F02C50D0-3725-494F-A4DD-E5D5A8884E1E}" name="総数／事業所数" dataCellStyle="桁区切り"/>
    <tableColumn id="11" xr3:uid="{ADD7475E-3BA4-4F83-80B9-2477476ED88E}" name="総数／構成比" dataDxfId="159"/>
    <tableColumn id="12" xr3:uid="{705DD714-F75F-42B4-98BB-2DDCB3E0992E}" name="個人／事業所数" dataCellStyle="桁区切り"/>
    <tableColumn id="13" xr3:uid="{157A1CE4-D5D2-497A-8550-93672B0A90DB}" name="個人／構成比" dataDxfId="158"/>
    <tableColumn id="14" xr3:uid="{A2632CA6-18BC-4054-8D76-649A99AF5FB7}" name="法人／事業所数" dataCellStyle="桁区切り"/>
    <tableColumn id="15" xr3:uid="{FB392A42-ABD4-4A32-A047-3FE1186F36F6}" name="法人／構成比" dataDxfId="157"/>
    <tableColumn id="16" xr3:uid="{DF6D97DF-DDAD-42C1-979D-96DF342566EF}" name="法人以外の団体／事業所数" dataCellStyle="桁区切り"/>
  </tableColumns>
  <tableStyleInfo name="TableStyleMedium9" showFirstColumn="0" showLastColumn="0" showRowStripes="1" showColumnStripes="0"/>
</table>
</file>

<file path=xl/tables/table9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6" xr:uid="{DDDE93AD-A7EB-42D4-BE9B-ECAF01F8AA3F}" name="S_TABLE_21403" displayName="S_TABLE_21403" ref="B46:I70" totalsRowShown="0">
  <autoFilter ref="B46:I70" xr:uid="{DDDE93AD-A7EB-42D4-BE9B-ECAF01F8AA3F}"/>
  <tableColumns count="8">
    <tableColumn id="9" xr3:uid="{8FDD1E2B-4A52-4EE4-9665-803286A10FD7}" name="産業小分類上位２０"/>
    <tableColumn id="10" xr3:uid="{D4CE9F65-F261-4AB4-9BC4-68E829D9F02B}" name="総数／事業所数" dataCellStyle="桁区切り"/>
    <tableColumn id="11" xr3:uid="{B2ECA249-67EC-4B01-8861-169BC0EA2FE0}" name="総数／構成比" dataDxfId="156"/>
    <tableColumn id="12" xr3:uid="{6147FD9B-D4F3-4F61-9A8F-163B0677075E}" name="個人／事業所数" dataCellStyle="桁区切り"/>
    <tableColumn id="13" xr3:uid="{B7F92941-6BEA-4967-8A5C-4601BDF4D54A}" name="個人／構成比" dataDxfId="155"/>
    <tableColumn id="14" xr3:uid="{98C20F43-91F4-41EB-A824-147DA4752342}" name="法人／事業所数" dataCellStyle="桁区切り"/>
    <tableColumn id="15" xr3:uid="{12B3E01D-4CE3-4912-9F7B-26817F34BD38}" name="法人／構成比" dataDxfId="154"/>
    <tableColumn id="16" xr3:uid="{3B097727-BC7D-478E-9759-C48465CD14E1}" name="法人以外の団体／事業所数" dataCellStyle="桁区切り"/>
  </tableColumns>
  <tableStyleInfo name="TableStyleMedium9" showFirstColumn="0" showLastColumn="0" showRowStripes="1" showColumnStripes="0"/>
</table>
</file>

<file path=xl/tables/table9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7" xr:uid="{921A5E28-EB5A-45C9-A6EE-B337EFC132B2}" name="LTBL_21404" displayName="LTBL_21404" ref="B4:I20" totalsRowCount="1">
  <autoFilter ref="B4:I19" xr:uid="{921A5E28-EB5A-45C9-A6EE-B337EFC132B2}"/>
  <tableColumns count="8">
    <tableColumn id="9" xr3:uid="{1A6F28F3-49D2-45D3-B5C5-4F74BB8C5493}" name="産業大分類" totalsRowLabel="合計" totalsRowDxfId="153"/>
    <tableColumn id="10" xr3:uid="{ED523A32-F8A8-4BDE-B821-DD51BD2EA914}" name="総数／事業所数" totalsRowFunction="custom" totalsRowDxfId="152" dataCellStyle="桁区切り" totalsRowCellStyle="桁区切り">
      <totalsRowFormula>SUM(LTBL_21404[総数／事業所数])</totalsRowFormula>
    </tableColumn>
    <tableColumn id="11" xr3:uid="{49EB7A72-89B4-494A-9DCF-1821F3AD078B}" name="総数／構成比" dataDxfId="151"/>
    <tableColumn id="12" xr3:uid="{B95B857C-2589-4939-AFAD-7910CC52F0D6}" name="個人／事業所数" totalsRowFunction="sum" totalsRowDxfId="150" dataCellStyle="桁区切り" totalsRowCellStyle="桁区切り"/>
    <tableColumn id="13" xr3:uid="{0D3ED70D-B7CB-40AD-9A01-64D8629E0B93}" name="個人／構成比" dataDxfId="149"/>
    <tableColumn id="14" xr3:uid="{63F82DE6-FBAC-4FC3-9D36-3C627760142A}" name="法人／事業所数" totalsRowFunction="sum" totalsRowDxfId="148" dataCellStyle="桁区切り" totalsRowCellStyle="桁区切り"/>
    <tableColumn id="15" xr3:uid="{40632648-19FF-40A0-A96A-5C46252D6B68}" name="法人／構成比" dataDxfId="147"/>
    <tableColumn id="16" xr3:uid="{4B0FC0EA-9FDA-4F63-9365-9CAF29EFC128}" name="法人以外の団体／事業所数" totalsRowFunction="sum" totalsRowDxfId="146" dataCellStyle="桁区切り" totalsRowCellStyle="桁区切り"/>
  </tableColumns>
  <tableStyleInfo name="TableStyleMedium9" showFirstColumn="0" showLastColumn="0" showRowStripes="1" showColumnStripes="0"/>
</table>
</file>

<file path=xl/tables/table9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8" xr:uid="{E7AD5698-B3BC-47A2-8387-18E83C16F717}" name="M_TABLE_21404" displayName="M_TABLE_21404" ref="B23:I43" totalsRowShown="0">
  <autoFilter ref="B23:I43" xr:uid="{E7AD5698-B3BC-47A2-8387-18E83C16F717}"/>
  <tableColumns count="8">
    <tableColumn id="9" xr3:uid="{A27B5EC8-952F-4491-89F3-89172CEDE44E}" name="産業中分類上位２０"/>
    <tableColumn id="10" xr3:uid="{48DD7C27-46FB-4973-ACEA-63D3B354C77E}" name="総数／事業所数" dataCellStyle="桁区切り"/>
    <tableColumn id="11" xr3:uid="{846BC96D-4E41-4CC8-8941-1B80ED14F403}" name="総数／構成比" dataDxfId="145"/>
    <tableColumn id="12" xr3:uid="{776A8BFA-B80C-4AA4-BC86-5359B1989179}" name="個人／事業所数" dataCellStyle="桁区切り"/>
    <tableColumn id="13" xr3:uid="{4127C56B-E9AC-48B4-BBF3-501FB7507098}" name="個人／構成比" dataDxfId="144"/>
    <tableColumn id="14" xr3:uid="{11E86EBC-8D85-4D02-967D-DBD4AE8394A1}" name="法人／事業所数" dataCellStyle="桁区切り"/>
    <tableColumn id="15" xr3:uid="{F2847AFF-017B-47EE-947B-B28DA718C986}" name="法人／構成比" dataDxfId="143"/>
    <tableColumn id="16" xr3:uid="{85EC23C1-AA8D-4A39-B0A2-C0355609CAB3}" name="法人以外の団体／事業所数" dataCellStyle="桁区切り"/>
  </tableColumns>
  <tableStyleInfo name="TableStyleMedium9" showFirstColumn="0" showLastColumn="0" showRowStripes="1" showColumnStripes="0"/>
</table>
</file>

<file path=xl/tables/table9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9" xr:uid="{22E8A9BA-B07D-433A-AF94-5F5E375C57D4}" name="S_TABLE_21404" displayName="S_TABLE_21404" ref="B46:I66" totalsRowShown="0">
  <autoFilter ref="B46:I66" xr:uid="{22E8A9BA-B07D-433A-AF94-5F5E375C57D4}"/>
  <tableColumns count="8">
    <tableColumn id="9" xr3:uid="{02BB4BBB-0C58-4D68-8009-A903354B1C69}" name="産業小分類上位２０"/>
    <tableColumn id="10" xr3:uid="{5AACC4A1-2C02-4150-A03D-FB12C7C24A49}" name="総数／事業所数" dataCellStyle="桁区切り"/>
    <tableColumn id="11" xr3:uid="{ACE89448-B6DA-42A5-9FC9-63AB35CB09C3}" name="総数／構成比" dataDxfId="142"/>
    <tableColumn id="12" xr3:uid="{47CE06D7-3DF2-4E9A-8FA0-D4869F03ECC9}" name="個人／事業所数" dataCellStyle="桁区切り"/>
    <tableColumn id="13" xr3:uid="{4F818469-65D0-4870-B509-1F76C3B64F8B}" name="個人／構成比" dataDxfId="141"/>
    <tableColumn id="14" xr3:uid="{FA92EBB5-1466-4D09-9A8E-CDAAEDB7FC6A}" name="法人／事業所数" dataCellStyle="桁区切り"/>
    <tableColumn id="15" xr3:uid="{6AADB7C1-007D-4D07-8C77-7E21B419B8BC}" name="法人／構成比" dataDxfId="140"/>
    <tableColumn id="16" xr3:uid="{EB2B26AE-F8F7-46D7-8052-8CF24E4B16EB}" name="法人以外の団体／事業所数" dataCellStyle="桁区切り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.xml"/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9.bin"/><Relationship Id="rId4" Type="http://schemas.openxmlformats.org/officeDocument/2006/relationships/table" Target="../tables/table18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0.xml"/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0.bin"/><Relationship Id="rId4" Type="http://schemas.openxmlformats.org/officeDocument/2006/relationships/table" Target="../tables/table2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3.xml"/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11.bin"/><Relationship Id="rId4" Type="http://schemas.openxmlformats.org/officeDocument/2006/relationships/table" Target="../tables/table24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6.xml"/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12.bin"/><Relationship Id="rId4" Type="http://schemas.openxmlformats.org/officeDocument/2006/relationships/table" Target="../tables/table27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9.xml"/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13.bin"/><Relationship Id="rId4" Type="http://schemas.openxmlformats.org/officeDocument/2006/relationships/table" Target="../tables/table30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2.xml"/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14.bin"/><Relationship Id="rId4" Type="http://schemas.openxmlformats.org/officeDocument/2006/relationships/table" Target="../tables/table33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5.xml"/><Relationship Id="rId2" Type="http://schemas.openxmlformats.org/officeDocument/2006/relationships/table" Target="../tables/table34.xml"/><Relationship Id="rId1" Type="http://schemas.openxmlformats.org/officeDocument/2006/relationships/printerSettings" Target="../printerSettings/printerSettings15.bin"/><Relationship Id="rId4" Type="http://schemas.openxmlformats.org/officeDocument/2006/relationships/table" Target="../tables/table36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8.xml"/><Relationship Id="rId2" Type="http://schemas.openxmlformats.org/officeDocument/2006/relationships/table" Target="../tables/table37.xml"/><Relationship Id="rId1" Type="http://schemas.openxmlformats.org/officeDocument/2006/relationships/printerSettings" Target="../printerSettings/printerSettings16.bin"/><Relationship Id="rId4" Type="http://schemas.openxmlformats.org/officeDocument/2006/relationships/table" Target="../tables/table39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1.xml"/><Relationship Id="rId2" Type="http://schemas.openxmlformats.org/officeDocument/2006/relationships/table" Target="../tables/table40.xml"/><Relationship Id="rId1" Type="http://schemas.openxmlformats.org/officeDocument/2006/relationships/printerSettings" Target="../printerSettings/printerSettings17.bin"/><Relationship Id="rId4" Type="http://schemas.openxmlformats.org/officeDocument/2006/relationships/table" Target="../tables/table42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4.xml"/><Relationship Id="rId2" Type="http://schemas.openxmlformats.org/officeDocument/2006/relationships/table" Target="../tables/table43.xml"/><Relationship Id="rId1" Type="http://schemas.openxmlformats.org/officeDocument/2006/relationships/printerSettings" Target="../printerSettings/printerSettings18.bin"/><Relationship Id="rId4" Type="http://schemas.openxmlformats.org/officeDocument/2006/relationships/table" Target="../tables/table4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7.xml"/><Relationship Id="rId2" Type="http://schemas.openxmlformats.org/officeDocument/2006/relationships/table" Target="../tables/table46.xml"/><Relationship Id="rId1" Type="http://schemas.openxmlformats.org/officeDocument/2006/relationships/printerSettings" Target="../printerSettings/printerSettings19.bin"/><Relationship Id="rId4" Type="http://schemas.openxmlformats.org/officeDocument/2006/relationships/table" Target="../tables/table48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0.xml"/><Relationship Id="rId2" Type="http://schemas.openxmlformats.org/officeDocument/2006/relationships/table" Target="../tables/table49.xml"/><Relationship Id="rId1" Type="http://schemas.openxmlformats.org/officeDocument/2006/relationships/printerSettings" Target="../printerSettings/printerSettings20.bin"/><Relationship Id="rId4" Type="http://schemas.openxmlformats.org/officeDocument/2006/relationships/table" Target="../tables/table51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3.xml"/><Relationship Id="rId2" Type="http://schemas.openxmlformats.org/officeDocument/2006/relationships/table" Target="../tables/table52.xml"/><Relationship Id="rId1" Type="http://schemas.openxmlformats.org/officeDocument/2006/relationships/printerSettings" Target="../printerSettings/printerSettings21.bin"/><Relationship Id="rId4" Type="http://schemas.openxmlformats.org/officeDocument/2006/relationships/table" Target="../tables/table54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6.xml"/><Relationship Id="rId2" Type="http://schemas.openxmlformats.org/officeDocument/2006/relationships/table" Target="../tables/table55.xml"/><Relationship Id="rId1" Type="http://schemas.openxmlformats.org/officeDocument/2006/relationships/printerSettings" Target="../printerSettings/printerSettings22.bin"/><Relationship Id="rId4" Type="http://schemas.openxmlformats.org/officeDocument/2006/relationships/table" Target="../tables/table57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9.xml"/><Relationship Id="rId2" Type="http://schemas.openxmlformats.org/officeDocument/2006/relationships/table" Target="../tables/table58.xml"/><Relationship Id="rId1" Type="http://schemas.openxmlformats.org/officeDocument/2006/relationships/printerSettings" Target="../printerSettings/printerSettings23.bin"/><Relationship Id="rId4" Type="http://schemas.openxmlformats.org/officeDocument/2006/relationships/table" Target="../tables/table60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2.xml"/><Relationship Id="rId2" Type="http://schemas.openxmlformats.org/officeDocument/2006/relationships/table" Target="../tables/table61.xml"/><Relationship Id="rId1" Type="http://schemas.openxmlformats.org/officeDocument/2006/relationships/printerSettings" Target="../printerSettings/printerSettings24.bin"/><Relationship Id="rId4" Type="http://schemas.openxmlformats.org/officeDocument/2006/relationships/table" Target="../tables/table63.x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5.xml"/><Relationship Id="rId2" Type="http://schemas.openxmlformats.org/officeDocument/2006/relationships/table" Target="../tables/table64.xml"/><Relationship Id="rId1" Type="http://schemas.openxmlformats.org/officeDocument/2006/relationships/printerSettings" Target="../printerSettings/printerSettings25.bin"/><Relationship Id="rId4" Type="http://schemas.openxmlformats.org/officeDocument/2006/relationships/table" Target="../tables/table66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8.xml"/><Relationship Id="rId2" Type="http://schemas.openxmlformats.org/officeDocument/2006/relationships/table" Target="../tables/table67.xml"/><Relationship Id="rId1" Type="http://schemas.openxmlformats.org/officeDocument/2006/relationships/printerSettings" Target="../printerSettings/printerSettings26.bin"/><Relationship Id="rId4" Type="http://schemas.openxmlformats.org/officeDocument/2006/relationships/table" Target="../tables/table69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1.xml"/><Relationship Id="rId2" Type="http://schemas.openxmlformats.org/officeDocument/2006/relationships/table" Target="../tables/table70.xml"/><Relationship Id="rId1" Type="http://schemas.openxmlformats.org/officeDocument/2006/relationships/printerSettings" Target="../printerSettings/printerSettings27.bin"/><Relationship Id="rId4" Type="http://schemas.openxmlformats.org/officeDocument/2006/relationships/table" Target="../tables/table72.x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4.xml"/><Relationship Id="rId2" Type="http://schemas.openxmlformats.org/officeDocument/2006/relationships/table" Target="../tables/table73.xml"/><Relationship Id="rId1" Type="http://schemas.openxmlformats.org/officeDocument/2006/relationships/printerSettings" Target="../printerSettings/printerSettings28.bin"/><Relationship Id="rId4" Type="http://schemas.openxmlformats.org/officeDocument/2006/relationships/table" Target="../tables/table7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7.xml"/><Relationship Id="rId2" Type="http://schemas.openxmlformats.org/officeDocument/2006/relationships/table" Target="../tables/table76.xml"/><Relationship Id="rId1" Type="http://schemas.openxmlformats.org/officeDocument/2006/relationships/printerSettings" Target="../printerSettings/printerSettings29.bin"/><Relationship Id="rId4" Type="http://schemas.openxmlformats.org/officeDocument/2006/relationships/table" Target="../tables/table78.xm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0.xml"/><Relationship Id="rId2" Type="http://schemas.openxmlformats.org/officeDocument/2006/relationships/table" Target="../tables/table79.xml"/><Relationship Id="rId1" Type="http://schemas.openxmlformats.org/officeDocument/2006/relationships/printerSettings" Target="../printerSettings/printerSettings30.bin"/><Relationship Id="rId4" Type="http://schemas.openxmlformats.org/officeDocument/2006/relationships/table" Target="../tables/table81.x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3.xml"/><Relationship Id="rId2" Type="http://schemas.openxmlformats.org/officeDocument/2006/relationships/table" Target="../tables/table82.xml"/><Relationship Id="rId1" Type="http://schemas.openxmlformats.org/officeDocument/2006/relationships/printerSettings" Target="../printerSettings/printerSettings31.bin"/><Relationship Id="rId4" Type="http://schemas.openxmlformats.org/officeDocument/2006/relationships/table" Target="../tables/table84.x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6.xml"/><Relationship Id="rId2" Type="http://schemas.openxmlformats.org/officeDocument/2006/relationships/table" Target="../tables/table85.xml"/><Relationship Id="rId1" Type="http://schemas.openxmlformats.org/officeDocument/2006/relationships/printerSettings" Target="../printerSettings/printerSettings32.bin"/><Relationship Id="rId4" Type="http://schemas.openxmlformats.org/officeDocument/2006/relationships/table" Target="../tables/table87.xm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9.xml"/><Relationship Id="rId2" Type="http://schemas.openxmlformats.org/officeDocument/2006/relationships/table" Target="../tables/table88.xml"/><Relationship Id="rId1" Type="http://schemas.openxmlformats.org/officeDocument/2006/relationships/printerSettings" Target="../printerSettings/printerSettings33.bin"/><Relationship Id="rId4" Type="http://schemas.openxmlformats.org/officeDocument/2006/relationships/table" Target="../tables/table90.xm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2.xml"/><Relationship Id="rId2" Type="http://schemas.openxmlformats.org/officeDocument/2006/relationships/table" Target="../tables/table91.xml"/><Relationship Id="rId1" Type="http://schemas.openxmlformats.org/officeDocument/2006/relationships/printerSettings" Target="../printerSettings/printerSettings34.bin"/><Relationship Id="rId4" Type="http://schemas.openxmlformats.org/officeDocument/2006/relationships/table" Target="../tables/table93.xml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5.xml"/><Relationship Id="rId2" Type="http://schemas.openxmlformats.org/officeDocument/2006/relationships/table" Target="../tables/table94.xml"/><Relationship Id="rId1" Type="http://schemas.openxmlformats.org/officeDocument/2006/relationships/printerSettings" Target="../printerSettings/printerSettings35.bin"/><Relationship Id="rId4" Type="http://schemas.openxmlformats.org/officeDocument/2006/relationships/table" Target="../tables/table96.xml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8.xml"/><Relationship Id="rId2" Type="http://schemas.openxmlformats.org/officeDocument/2006/relationships/table" Target="../tables/table97.xml"/><Relationship Id="rId1" Type="http://schemas.openxmlformats.org/officeDocument/2006/relationships/printerSettings" Target="../printerSettings/printerSettings36.bin"/><Relationship Id="rId4" Type="http://schemas.openxmlformats.org/officeDocument/2006/relationships/table" Target="../tables/table99.xml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1.xml"/><Relationship Id="rId2" Type="http://schemas.openxmlformats.org/officeDocument/2006/relationships/table" Target="../tables/table100.xml"/><Relationship Id="rId1" Type="http://schemas.openxmlformats.org/officeDocument/2006/relationships/printerSettings" Target="../printerSettings/printerSettings37.bin"/><Relationship Id="rId4" Type="http://schemas.openxmlformats.org/officeDocument/2006/relationships/table" Target="../tables/table102.xml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4.xml"/><Relationship Id="rId2" Type="http://schemas.openxmlformats.org/officeDocument/2006/relationships/table" Target="../tables/table103.xml"/><Relationship Id="rId1" Type="http://schemas.openxmlformats.org/officeDocument/2006/relationships/printerSettings" Target="../printerSettings/printerSettings38.bin"/><Relationship Id="rId4" Type="http://schemas.openxmlformats.org/officeDocument/2006/relationships/table" Target="../tables/table105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7.xml"/><Relationship Id="rId2" Type="http://schemas.openxmlformats.org/officeDocument/2006/relationships/table" Target="../tables/table106.xml"/><Relationship Id="rId1" Type="http://schemas.openxmlformats.org/officeDocument/2006/relationships/printerSettings" Target="../printerSettings/printerSettings39.bin"/><Relationship Id="rId4" Type="http://schemas.openxmlformats.org/officeDocument/2006/relationships/table" Target="../tables/table108.xml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0.xml"/><Relationship Id="rId2" Type="http://schemas.openxmlformats.org/officeDocument/2006/relationships/table" Target="../tables/table109.xml"/><Relationship Id="rId1" Type="http://schemas.openxmlformats.org/officeDocument/2006/relationships/printerSettings" Target="../printerSettings/printerSettings40.bin"/><Relationship Id="rId4" Type="http://schemas.openxmlformats.org/officeDocument/2006/relationships/table" Target="../tables/table111.xml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3.xml"/><Relationship Id="rId2" Type="http://schemas.openxmlformats.org/officeDocument/2006/relationships/table" Target="../tables/table112.xml"/><Relationship Id="rId1" Type="http://schemas.openxmlformats.org/officeDocument/2006/relationships/printerSettings" Target="../printerSettings/printerSettings41.bin"/><Relationship Id="rId4" Type="http://schemas.openxmlformats.org/officeDocument/2006/relationships/table" Target="../tables/table114.xml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6.xml"/><Relationship Id="rId2" Type="http://schemas.openxmlformats.org/officeDocument/2006/relationships/table" Target="../tables/table115.xml"/><Relationship Id="rId1" Type="http://schemas.openxmlformats.org/officeDocument/2006/relationships/printerSettings" Target="../printerSettings/printerSettings42.bin"/><Relationship Id="rId4" Type="http://schemas.openxmlformats.org/officeDocument/2006/relationships/table" Target="../tables/table117.xml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9.xml"/><Relationship Id="rId2" Type="http://schemas.openxmlformats.org/officeDocument/2006/relationships/table" Target="../tables/table118.xml"/><Relationship Id="rId1" Type="http://schemas.openxmlformats.org/officeDocument/2006/relationships/printerSettings" Target="../printerSettings/printerSettings43.bin"/><Relationship Id="rId4" Type="http://schemas.openxmlformats.org/officeDocument/2006/relationships/table" Target="../tables/table120.xml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2.xml"/><Relationship Id="rId2" Type="http://schemas.openxmlformats.org/officeDocument/2006/relationships/table" Target="../tables/table121.xml"/><Relationship Id="rId1" Type="http://schemas.openxmlformats.org/officeDocument/2006/relationships/printerSettings" Target="../printerSettings/printerSettings44.bin"/><Relationship Id="rId4" Type="http://schemas.openxmlformats.org/officeDocument/2006/relationships/table" Target="../tables/table123.xml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5.xml"/><Relationship Id="rId2" Type="http://schemas.openxmlformats.org/officeDocument/2006/relationships/table" Target="../tables/table124.xml"/><Relationship Id="rId1" Type="http://schemas.openxmlformats.org/officeDocument/2006/relationships/printerSettings" Target="../printerSettings/printerSettings45.bin"/><Relationship Id="rId4" Type="http://schemas.openxmlformats.org/officeDocument/2006/relationships/table" Target="../tables/table126.xml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8.xml"/><Relationship Id="rId2" Type="http://schemas.openxmlformats.org/officeDocument/2006/relationships/table" Target="../tables/table127.xml"/><Relationship Id="rId1" Type="http://schemas.openxmlformats.org/officeDocument/2006/relationships/printerSettings" Target="../printerSettings/printerSettings46.bin"/><Relationship Id="rId4" Type="http://schemas.openxmlformats.org/officeDocument/2006/relationships/table" Target="../tables/table129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Relationship Id="rId4" Type="http://schemas.openxmlformats.org/officeDocument/2006/relationships/table" Target="../tables/table9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7.bin"/><Relationship Id="rId4" Type="http://schemas.openxmlformats.org/officeDocument/2006/relationships/table" Target="../tables/table12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8.bin"/><Relationship Id="rId4" Type="http://schemas.openxmlformats.org/officeDocument/2006/relationships/table" Target="../tables/table1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17CB6-5ECE-4F0F-8727-B90633D8B418}">
  <dimension ref="A1:B47"/>
  <sheetViews>
    <sheetView tabSelected="1" workbookViewId="0"/>
  </sheetViews>
  <sheetFormatPr defaultRowHeight="13.2" x14ac:dyDescent="0.2"/>
  <sheetData>
    <row r="1" spans="1:2" x14ac:dyDescent="0.2">
      <c r="A1" t="s">
        <v>321</v>
      </c>
    </row>
    <row r="2" spans="1:2" x14ac:dyDescent="0.2">
      <c r="B2" s="13" t="s">
        <v>231</v>
      </c>
    </row>
    <row r="3" spans="1:2" x14ac:dyDescent="0.2">
      <c r="B3" s="13" t="s">
        <v>121</v>
      </c>
    </row>
    <row r="4" spans="1:2" x14ac:dyDescent="0.2">
      <c r="B4" s="13" t="s">
        <v>229</v>
      </c>
    </row>
    <row r="5" spans="1:2" x14ac:dyDescent="0.2">
      <c r="B5" s="13" t="s">
        <v>278</v>
      </c>
    </row>
    <row r="6" spans="1:2" x14ac:dyDescent="0.2">
      <c r="B6" s="13" t="s">
        <v>279</v>
      </c>
    </row>
    <row r="7" spans="1:2" x14ac:dyDescent="0.2">
      <c r="B7" s="13" t="s">
        <v>280</v>
      </c>
    </row>
    <row r="8" spans="1:2" x14ac:dyDescent="0.2">
      <c r="B8" s="13" t="s">
        <v>281</v>
      </c>
    </row>
    <row r="9" spans="1:2" x14ac:dyDescent="0.2">
      <c r="B9" s="13" t="s">
        <v>282</v>
      </c>
    </row>
    <row r="10" spans="1:2" x14ac:dyDescent="0.2">
      <c r="B10" s="13" t="s">
        <v>283</v>
      </c>
    </row>
    <row r="11" spans="1:2" x14ac:dyDescent="0.2">
      <c r="B11" s="13" t="s">
        <v>284</v>
      </c>
    </row>
    <row r="12" spans="1:2" x14ac:dyDescent="0.2">
      <c r="B12" s="13" t="s">
        <v>285</v>
      </c>
    </row>
    <row r="13" spans="1:2" x14ac:dyDescent="0.2">
      <c r="B13" s="13" t="s">
        <v>286</v>
      </c>
    </row>
    <row r="14" spans="1:2" x14ac:dyDescent="0.2">
      <c r="B14" s="13" t="s">
        <v>287</v>
      </c>
    </row>
    <row r="15" spans="1:2" x14ac:dyDescent="0.2">
      <c r="B15" s="13" t="s">
        <v>288</v>
      </c>
    </row>
    <row r="16" spans="1:2" x14ac:dyDescent="0.2">
      <c r="B16" s="13" t="s">
        <v>289</v>
      </c>
    </row>
    <row r="17" spans="2:2" x14ac:dyDescent="0.2">
      <c r="B17" s="13" t="s">
        <v>290</v>
      </c>
    </row>
    <row r="18" spans="2:2" x14ac:dyDescent="0.2">
      <c r="B18" s="13" t="s">
        <v>291</v>
      </c>
    </row>
    <row r="19" spans="2:2" x14ac:dyDescent="0.2">
      <c r="B19" s="13" t="s">
        <v>292</v>
      </c>
    </row>
    <row r="20" spans="2:2" x14ac:dyDescent="0.2">
      <c r="B20" s="13" t="s">
        <v>293</v>
      </c>
    </row>
    <row r="21" spans="2:2" x14ac:dyDescent="0.2">
      <c r="B21" s="13" t="s">
        <v>294</v>
      </c>
    </row>
    <row r="22" spans="2:2" x14ac:dyDescent="0.2">
      <c r="B22" s="13" t="s">
        <v>295</v>
      </c>
    </row>
    <row r="23" spans="2:2" x14ac:dyDescent="0.2">
      <c r="B23" s="13" t="s">
        <v>296</v>
      </c>
    </row>
    <row r="24" spans="2:2" x14ac:dyDescent="0.2">
      <c r="B24" s="13" t="s">
        <v>297</v>
      </c>
    </row>
    <row r="25" spans="2:2" x14ac:dyDescent="0.2">
      <c r="B25" s="13" t="s">
        <v>298</v>
      </c>
    </row>
    <row r="26" spans="2:2" x14ac:dyDescent="0.2">
      <c r="B26" s="13" t="s">
        <v>299</v>
      </c>
    </row>
    <row r="27" spans="2:2" x14ac:dyDescent="0.2">
      <c r="B27" s="13" t="s">
        <v>300</v>
      </c>
    </row>
    <row r="28" spans="2:2" x14ac:dyDescent="0.2">
      <c r="B28" s="13" t="s">
        <v>301</v>
      </c>
    </row>
    <row r="29" spans="2:2" x14ac:dyDescent="0.2">
      <c r="B29" s="13" t="s">
        <v>302</v>
      </c>
    </row>
    <row r="30" spans="2:2" x14ac:dyDescent="0.2">
      <c r="B30" s="13" t="s">
        <v>303</v>
      </c>
    </row>
    <row r="31" spans="2:2" x14ac:dyDescent="0.2">
      <c r="B31" s="13" t="s">
        <v>304</v>
      </c>
    </row>
    <row r="32" spans="2:2" x14ac:dyDescent="0.2">
      <c r="B32" s="13" t="s">
        <v>305</v>
      </c>
    </row>
    <row r="33" spans="2:2" x14ac:dyDescent="0.2">
      <c r="B33" s="13" t="s">
        <v>306</v>
      </c>
    </row>
    <row r="34" spans="2:2" x14ac:dyDescent="0.2">
      <c r="B34" s="13" t="s">
        <v>307</v>
      </c>
    </row>
    <row r="35" spans="2:2" x14ac:dyDescent="0.2">
      <c r="B35" s="13" t="s">
        <v>308</v>
      </c>
    </row>
    <row r="36" spans="2:2" x14ac:dyDescent="0.2">
      <c r="B36" s="13" t="s">
        <v>309</v>
      </c>
    </row>
    <row r="37" spans="2:2" x14ac:dyDescent="0.2">
      <c r="B37" s="13" t="s">
        <v>310</v>
      </c>
    </row>
    <row r="38" spans="2:2" x14ac:dyDescent="0.2">
      <c r="B38" s="13" t="s">
        <v>311</v>
      </c>
    </row>
    <row r="39" spans="2:2" x14ac:dyDescent="0.2">
      <c r="B39" s="13" t="s">
        <v>312</v>
      </c>
    </row>
    <row r="40" spans="2:2" x14ac:dyDescent="0.2">
      <c r="B40" s="13" t="s">
        <v>313</v>
      </c>
    </row>
    <row r="41" spans="2:2" x14ac:dyDescent="0.2">
      <c r="B41" s="13" t="s">
        <v>314</v>
      </c>
    </row>
    <row r="42" spans="2:2" x14ac:dyDescent="0.2">
      <c r="B42" s="13" t="s">
        <v>315</v>
      </c>
    </row>
    <row r="43" spans="2:2" x14ac:dyDescent="0.2">
      <c r="B43" s="13" t="s">
        <v>316</v>
      </c>
    </row>
    <row r="44" spans="2:2" x14ac:dyDescent="0.2">
      <c r="B44" s="13" t="s">
        <v>317</v>
      </c>
    </row>
    <row r="45" spans="2:2" x14ac:dyDescent="0.2">
      <c r="B45" s="13" t="s">
        <v>318</v>
      </c>
    </row>
    <row r="46" spans="2:2" x14ac:dyDescent="0.2">
      <c r="B46" s="13" t="s">
        <v>319</v>
      </c>
    </row>
    <row r="47" spans="2:2" x14ac:dyDescent="0.2">
      <c r="B47" s="13" t="s">
        <v>320</v>
      </c>
    </row>
  </sheetData>
  <phoneticPr fontId="1"/>
  <hyperlinks>
    <hyperlink ref="B2" location="'産業大分類'!a1" display="産業大分類" xr:uid="{DFA84A27-AC6D-450E-8110-726700C67E54}"/>
    <hyperlink ref="B3" location="'産業中分類'!a1" display="産業中分類" xr:uid="{DE3DC885-DD59-4E29-A3E8-32231CD27BAE}"/>
    <hyperlink ref="B4" location="'産業小分類'!a1" display="産業小分類" xr:uid="{AA151ABE-C6A3-4A7E-AB70-B4232F60E285}"/>
    <hyperlink ref="B5" location="'岐阜県'!a1" display="岐阜県" xr:uid="{C22F61B0-E203-424F-B23C-C539C5277B80}"/>
    <hyperlink ref="B6" location="'岐阜市'!a1" display="岐阜市" xr:uid="{FE5F9050-1482-43EC-B3B7-B0BFBEF12659}"/>
    <hyperlink ref="B7" location="'大垣市'!a1" display="大垣市" xr:uid="{4137CEB4-DDDA-4579-A8E2-487F1A345C4B}"/>
    <hyperlink ref="B8" location="'高山市'!a1" display="高山市" xr:uid="{03CECA29-C987-4537-919E-91DF3CB11CE9}"/>
    <hyperlink ref="B9" location="'多治見市'!a1" display="多治見市" xr:uid="{1BA05CCE-F8DD-4646-A84C-69A398091972}"/>
    <hyperlink ref="B10" location="'関市'!a1" display="関市" xr:uid="{11D5B962-5A00-491F-9F5D-18B5D8542A8C}"/>
    <hyperlink ref="B11" location="'中津川市'!a1" display="中津川市" xr:uid="{E6EDB834-2375-4357-A651-B5AFBA2D8562}"/>
    <hyperlink ref="B12" location="'美濃市'!a1" display="美濃市" xr:uid="{3F2A9DBE-4FF4-4FB8-B8AD-933216F05456}"/>
    <hyperlink ref="B13" location="'瑞浪市'!a1" display="瑞浪市" xr:uid="{406E6941-FB5F-4AED-A30A-124696D69A9E}"/>
    <hyperlink ref="B14" location="'羽島市'!a1" display="羽島市" xr:uid="{88965C02-6DFD-4801-89CF-0C71C3DFC7A9}"/>
    <hyperlink ref="B15" location="'恵那市'!a1" display="恵那市" xr:uid="{956BE32E-2158-49AC-9770-99C22BBC4485}"/>
    <hyperlink ref="B16" location="'美濃加茂市'!a1" display="美濃加茂市" xr:uid="{603E286D-F41C-4B5B-867C-0D4FF8D931BE}"/>
    <hyperlink ref="B17" location="'土岐市'!a1" display="土岐市" xr:uid="{F7F7E5EA-B2BB-4BCB-94D4-B8FB23CD4736}"/>
    <hyperlink ref="B18" location="'各務原市'!a1" display="各務原市" xr:uid="{E9E21B3F-101C-4BF2-A032-173B846EDC01}"/>
    <hyperlink ref="B19" location="'可児市'!a1" display="可児市" xr:uid="{4FB987D7-2844-47D7-85C4-442E638C8D9F}"/>
    <hyperlink ref="B20" location="'山県市'!a1" display="山県市" xr:uid="{CD62FA78-624B-4FB5-9CF6-05CCA9821C8B}"/>
    <hyperlink ref="B21" location="'瑞穂市'!a1" display="瑞穂市" xr:uid="{82230BED-AB95-4119-A11A-D605A9445F49}"/>
    <hyperlink ref="B22" location="'飛騨市'!a1" display="飛騨市" xr:uid="{C2CA908B-A307-4BCE-A51B-D6830BE0314D}"/>
    <hyperlink ref="B23" location="'本巣市'!a1" display="本巣市" xr:uid="{163BC94C-C46A-45AA-BFC0-AC6C610D0AA6}"/>
    <hyperlink ref="B24" location="'郡上市'!a1" display="郡上市" xr:uid="{356849F1-10E0-466D-9491-09CBCDE5D5D1}"/>
    <hyperlink ref="B25" location="'下呂市'!a1" display="下呂市" xr:uid="{E1FD2A88-224A-48F1-A4F4-74BD1671A18E}"/>
    <hyperlink ref="B26" location="'海津市'!a1" display="海津市" xr:uid="{BC57467D-A4C6-4C22-8460-1156167C18BA}"/>
    <hyperlink ref="B27" location="'羽島郡岐南町'!a1" display="羽島郡岐南町" xr:uid="{36F15583-4E2E-4EA7-A597-891C77E06C86}"/>
    <hyperlink ref="B28" location="'羽島郡笠松町'!a1" display="羽島郡笠松町" xr:uid="{66165C08-5663-43DA-99A5-F54A3005182F}"/>
    <hyperlink ref="B29" location="'養老郡養老町'!a1" display="養老郡養老町" xr:uid="{CA407979-71EB-4019-808E-EF2333EC5C56}"/>
    <hyperlink ref="B30" location="'不破郡垂井町'!a1" display="不破郡垂井町" xr:uid="{1052D280-7161-4852-91D2-381987DC61A0}"/>
    <hyperlink ref="B31" location="'不破郡関ケ原町'!a1" display="不破郡関ケ原町" xr:uid="{CE516915-4367-4543-9CFD-6742CBD776FE}"/>
    <hyperlink ref="B32" location="'安八郡神戸町'!a1" display="安八郡神戸町" xr:uid="{0A25B206-8F66-4E0C-A947-6B8D6B2E6518}"/>
    <hyperlink ref="B33" location="'安八郡輪之内町'!a1" display="安八郡輪之内町" xr:uid="{4DACEB90-6233-4BBB-BFF8-15A148F2CB54}"/>
    <hyperlink ref="B34" location="'安八郡安八町'!a1" display="安八郡安八町" xr:uid="{8EB1C0FC-8AB7-4CA5-874E-578B754C6F5D}"/>
    <hyperlink ref="B35" location="'揖斐郡揖斐川町'!a1" display="揖斐郡揖斐川町" xr:uid="{BFB75D3C-5B43-4508-99EA-D73D443D831D}"/>
    <hyperlink ref="B36" location="'揖斐郡大野町'!a1" display="揖斐郡大野町" xr:uid="{78169DC1-8037-48AE-81BC-097B4378CD97}"/>
    <hyperlink ref="B37" location="'揖斐郡池田町'!a1" display="揖斐郡池田町" xr:uid="{A165992C-3E36-4471-8C05-18BD2F8E203A}"/>
    <hyperlink ref="B38" location="'本巣郡北方町'!a1" display="本巣郡北方町" xr:uid="{6B5BCF6B-1CBE-45C8-B1EC-4DE38896FFF8}"/>
    <hyperlink ref="B39" location="'加茂郡坂祝町'!a1" display="加茂郡坂祝町" xr:uid="{662BB807-7064-4BF5-AF4F-931423880E24}"/>
    <hyperlink ref="B40" location="'加茂郡富加町'!a1" display="加茂郡富加町" xr:uid="{4EFACEC9-170E-4909-A06B-322C1555CFEC}"/>
    <hyperlink ref="B41" location="'加茂郡川辺町'!a1" display="加茂郡川辺町" xr:uid="{8D6F52D4-FB54-4739-9D52-B9BF683CB349}"/>
    <hyperlink ref="B42" location="'加茂郡七宗町'!a1" display="加茂郡七宗町" xr:uid="{1190A18E-8809-45BC-A4EF-A0F985DACDE0}"/>
    <hyperlink ref="B43" location="'加茂郡八百津町'!a1" display="加茂郡八百津町" xr:uid="{453C372B-CD53-401A-84C7-76C943218DB4}"/>
    <hyperlink ref="B44" location="'加茂郡白川町'!a1" display="加茂郡白川町" xr:uid="{CDA2A03A-4199-49B3-AD1D-3C8B27B88EDA}"/>
    <hyperlink ref="B45" location="'加茂郡東白川村'!a1" display="加茂郡東白川村" xr:uid="{02EF2CE9-C4E8-418E-AFBC-2C8218D5B9A6}"/>
    <hyperlink ref="B46" location="'可児郡御嵩町'!a1" display="可児郡御嵩町" xr:uid="{3BADFB48-D8C0-47A0-9A5F-76A29860FB5E}"/>
    <hyperlink ref="B47" location="'大野郡白川村'!a1" display="大野郡白川村" xr:uid="{F40438FA-B104-4615-9670-9E537CFBDF6D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55FF2-42B8-41DB-A9D2-9AC1E6DC5FC1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240</v>
      </c>
    </row>
    <row r="4" spans="2:9" ht="33" customHeight="1" x14ac:dyDescent="0.2">
      <c r="B4" t="s">
        <v>231</v>
      </c>
      <c r="C4" s="10" t="s">
        <v>59</v>
      </c>
      <c r="D4" s="10" t="s">
        <v>60</v>
      </c>
      <c r="E4" s="10" t="s">
        <v>61</v>
      </c>
      <c r="F4" s="10" t="s">
        <v>62</v>
      </c>
      <c r="G4" s="10" t="s">
        <v>63</v>
      </c>
      <c r="H4" s="10" t="s">
        <v>64</v>
      </c>
      <c r="I4" s="10" t="s">
        <v>65</v>
      </c>
    </row>
    <row r="5" spans="2:9" ht="15" customHeight="1" x14ac:dyDescent="0.2">
      <c r="B5" t="s">
        <v>43</v>
      </c>
      <c r="C5" s="12">
        <v>1</v>
      </c>
      <c r="D5" s="8">
        <v>0.03</v>
      </c>
      <c r="E5" s="12">
        <v>0</v>
      </c>
      <c r="F5" s="8">
        <v>0</v>
      </c>
      <c r="G5" s="12">
        <v>1</v>
      </c>
      <c r="H5" s="8">
        <v>0.09</v>
      </c>
      <c r="I5" s="12">
        <v>0</v>
      </c>
    </row>
    <row r="6" spans="2:9" ht="15" customHeight="1" x14ac:dyDescent="0.2">
      <c r="B6" t="s">
        <v>44</v>
      </c>
      <c r="C6" s="12">
        <v>394</v>
      </c>
      <c r="D6" s="8">
        <v>13.16</v>
      </c>
      <c r="E6" s="12">
        <v>183</v>
      </c>
      <c r="F6" s="8">
        <v>10.23</v>
      </c>
      <c r="G6" s="12">
        <v>211</v>
      </c>
      <c r="H6" s="8">
        <v>18.170000000000002</v>
      </c>
      <c r="I6" s="12">
        <v>0</v>
      </c>
    </row>
    <row r="7" spans="2:9" ht="15" customHeight="1" x14ac:dyDescent="0.2">
      <c r="B7" t="s">
        <v>45</v>
      </c>
      <c r="C7" s="12">
        <v>800</v>
      </c>
      <c r="D7" s="8">
        <v>26.72</v>
      </c>
      <c r="E7" s="12">
        <v>448</v>
      </c>
      <c r="F7" s="8">
        <v>25.04</v>
      </c>
      <c r="G7" s="12">
        <v>352</v>
      </c>
      <c r="H7" s="8">
        <v>30.32</v>
      </c>
      <c r="I7" s="12">
        <v>0</v>
      </c>
    </row>
    <row r="8" spans="2:9" ht="15" customHeight="1" x14ac:dyDescent="0.2">
      <c r="B8" t="s">
        <v>46</v>
      </c>
      <c r="C8" s="12">
        <v>4</v>
      </c>
      <c r="D8" s="8">
        <v>0.13</v>
      </c>
      <c r="E8" s="12">
        <v>1</v>
      </c>
      <c r="F8" s="8">
        <v>0.06</v>
      </c>
      <c r="G8" s="12">
        <v>3</v>
      </c>
      <c r="H8" s="8">
        <v>0.26</v>
      </c>
      <c r="I8" s="12">
        <v>0</v>
      </c>
    </row>
    <row r="9" spans="2:9" ht="15" customHeight="1" x14ac:dyDescent="0.2">
      <c r="B9" t="s">
        <v>47</v>
      </c>
      <c r="C9" s="12">
        <v>14</v>
      </c>
      <c r="D9" s="8">
        <v>0.47</v>
      </c>
      <c r="E9" s="12">
        <v>3</v>
      </c>
      <c r="F9" s="8">
        <v>0.17</v>
      </c>
      <c r="G9" s="12">
        <v>11</v>
      </c>
      <c r="H9" s="8">
        <v>0.95</v>
      </c>
      <c r="I9" s="12">
        <v>0</v>
      </c>
    </row>
    <row r="10" spans="2:9" ht="15" customHeight="1" x14ac:dyDescent="0.2">
      <c r="B10" t="s">
        <v>48</v>
      </c>
      <c r="C10" s="12">
        <v>20</v>
      </c>
      <c r="D10" s="8">
        <v>0.67</v>
      </c>
      <c r="E10" s="12">
        <v>4</v>
      </c>
      <c r="F10" s="8">
        <v>0.22</v>
      </c>
      <c r="G10" s="12">
        <v>16</v>
      </c>
      <c r="H10" s="8">
        <v>1.38</v>
      </c>
      <c r="I10" s="12">
        <v>0</v>
      </c>
    </row>
    <row r="11" spans="2:9" ht="15" customHeight="1" x14ac:dyDescent="0.2">
      <c r="B11" t="s">
        <v>49</v>
      </c>
      <c r="C11" s="12">
        <v>594</v>
      </c>
      <c r="D11" s="8">
        <v>19.84</v>
      </c>
      <c r="E11" s="12">
        <v>309</v>
      </c>
      <c r="F11" s="8">
        <v>17.27</v>
      </c>
      <c r="G11" s="12">
        <v>284</v>
      </c>
      <c r="H11" s="8">
        <v>24.46</v>
      </c>
      <c r="I11" s="12">
        <v>1</v>
      </c>
    </row>
    <row r="12" spans="2:9" ht="15" customHeight="1" x14ac:dyDescent="0.2">
      <c r="B12" t="s">
        <v>50</v>
      </c>
      <c r="C12" s="12">
        <v>11</v>
      </c>
      <c r="D12" s="8">
        <v>0.37</v>
      </c>
      <c r="E12" s="12">
        <v>3</v>
      </c>
      <c r="F12" s="8">
        <v>0.17</v>
      </c>
      <c r="G12" s="12">
        <v>8</v>
      </c>
      <c r="H12" s="8">
        <v>0.69</v>
      </c>
      <c r="I12" s="12">
        <v>0</v>
      </c>
    </row>
    <row r="13" spans="2:9" ht="15" customHeight="1" x14ac:dyDescent="0.2">
      <c r="B13" t="s">
        <v>51</v>
      </c>
      <c r="C13" s="12">
        <v>157</v>
      </c>
      <c r="D13" s="8">
        <v>5.24</v>
      </c>
      <c r="E13" s="12">
        <v>91</v>
      </c>
      <c r="F13" s="8">
        <v>5.09</v>
      </c>
      <c r="G13" s="12">
        <v>66</v>
      </c>
      <c r="H13" s="8">
        <v>5.68</v>
      </c>
      <c r="I13" s="12">
        <v>0</v>
      </c>
    </row>
    <row r="14" spans="2:9" ht="15" customHeight="1" x14ac:dyDescent="0.2">
      <c r="B14" t="s">
        <v>52</v>
      </c>
      <c r="C14" s="12">
        <v>100</v>
      </c>
      <c r="D14" s="8">
        <v>3.34</v>
      </c>
      <c r="E14" s="12">
        <v>65</v>
      </c>
      <c r="F14" s="8">
        <v>3.63</v>
      </c>
      <c r="G14" s="12">
        <v>33</v>
      </c>
      <c r="H14" s="8">
        <v>2.84</v>
      </c>
      <c r="I14" s="12">
        <v>0</v>
      </c>
    </row>
    <row r="15" spans="2:9" ht="15" customHeight="1" x14ac:dyDescent="0.2">
      <c r="B15" t="s">
        <v>53</v>
      </c>
      <c r="C15" s="12">
        <v>269</v>
      </c>
      <c r="D15" s="8">
        <v>8.98</v>
      </c>
      <c r="E15" s="12">
        <v>231</v>
      </c>
      <c r="F15" s="8">
        <v>12.91</v>
      </c>
      <c r="G15" s="12">
        <v>38</v>
      </c>
      <c r="H15" s="8">
        <v>3.27</v>
      </c>
      <c r="I15" s="12">
        <v>0</v>
      </c>
    </row>
    <row r="16" spans="2:9" ht="15" customHeight="1" x14ac:dyDescent="0.2">
      <c r="B16" t="s">
        <v>54</v>
      </c>
      <c r="C16" s="12">
        <v>285</v>
      </c>
      <c r="D16" s="8">
        <v>9.52</v>
      </c>
      <c r="E16" s="12">
        <v>241</v>
      </c>
      <c r="F16" s="8">
        <v>13.47</v>
      </c>
      <c r="G16" s="12">
        <v>42</v>
      </c>
      <c r="H16" s="8">
        <v>3.62</v>
      </c>
      <c r="I16" s="12">
        <v>0</v>
      </c>
    </row>
    <row r="17" spans="2:9" ht="15" customHeight="1" x14ac:dyDescent="0.2">
      <c r="B17" t="s">
        <v>55</v>
      </c>
      <c r="C17" s="12">
        <v>104</v>
      </c>
      <c r="D17" s="8">
        <v>3.47</v>
      </c>
      <c r="E17" s="12">
        <v>75</v>
      </c>
      <c r="F17" s="8">
        <v>4.1900000000000004</v>
      </c>
      <c r="G17" s="12">
        <v>21</v>
      </c>
      <c r="H17" s="8">
        <v>1.81</v>
      </c>
      <c r="I17" s="12">
        <v>1</v>
      </c>
    </row>
    <row r="18" spans="2:9" ht="15" customHeight="1" x14ac:dyDescent="0.2">
      <c r="B18" t="s">
        <v>56</v>
      </c>
      <c r="C18" s="12">
        <v>138</v>
      </c>
      <c r="D18" s="8">
        <v>4.6100000000000003</v>
      </c>
      <c r="E18" s="12">
        <v>79</v>
      </c>
      <c r="F18" s="8">
        <v>4.42</v>
      </c>
      <c r="G18" s="12">
        <v>36</v>
      </c>
      <c r="H18" s="8">
        <v>3.1</v>
      </c>
      <c r="I18" s="12">
        <v>1</v>
      </c>
    </row>
    <row r="19" spans="2:9" ht="15" customHeight="1" x14ac:dyDescent="0.2">
      <c r="B19" t="s">
        <v>57</v>
      </c>
      <c r="C19" s="12">
        <v>103</v>
      </c>
      <c r="D19" s="8">
        <v>3.44</v>
      </c>
      <c r="E19" s="12">
        <v>56</v>
      </c>
      <c r="F19" s="8">
        <v>3.13</v>
      </c>
      <c r="G19" s="12">
        <v>39</v>
      </c>
      <c r="H19" s="8">
        <v>3.36</v>
      </c>
      <c r="I19" s="12">
        <v>8</v>
      </c>
    </row>
    <row r="20" spans="2:9" ht="15" customHeight="1" x14ac:dyDescent="0.2">
      <c r="B20" s="9" t="s">
        <v>232</v>
      </c>
      <c r="C20" s="12">
        <f>SUM(LTBL_21205[総数／事業所数])</f>
        <v>2994</v>
      </c>
      <c r="E20" s="12">
        <f>SUBTOTAL(109,LTBL_21205[個人／事業所数])</f>
        <v>1789</v>
      </c>
      <c r="G20" s="12">
        <f>SUBTOTAL(109,LTBL_21205[法人／事業所数])</f>
        <v>1161</v>
      </c>
      <c r="I20" s="12">
        <f>SUBTOTAL(109,LTBL_21205[法人以外の団体／事業所数])</f>
        <v>11</v>
      </c>
    </row>
    <row r="21" spans="2:9" ht="15" customHeight="1" x14ac:dyDescent="0.2">
      <c r="E21" s="11">
        <f>LTBL_21205[[#Totals],[個人／事業所数]]/LTBL_21205[[#Totals],[総数／事業所数]]</f>
        <v>0.5975283901135604</v>
      </c>
      <c r="G21" s="11">
        <f>LTBL_21205[[#Totals],[法人／事業所数]]/LTBL_21205[[#Totals],[総数／事業所数]]</f>
        <v>0.38777555110220441</v>
      </c>
      <c r="I21" s="11">
        <f>LTBL_21205[[#Totals],[法人以外の団体／事業所数]]/LTBL_21205[[#Totals],[総数／事業所数]]</f>
        <v>3.6740146960587841E-3</v>
      </c>
    </row>
    <row r="23" spans="2:9" ht="33" customHeight="1" x14ac:dyDescent="0.2">
      <c r="B23" t="s">
        <v>233</v>
      </c>
      <c r="C23" s="10" t="s">
        <v>59</v>
      </c>
      <c r="D23" s="10" t="s">
        <v>60</v>
      </c>
      <c r="E23" s="10" t="s">
        <v>61</v>
      </c>
      <c r="F23" s="10" t="s">
        <v>62</v>
      </c>
      <c r="G23" s="10" t="s">
        <v>63</v>
      </c>
      <c r="H23" s="10" t="s">
        <v>64</v>
      </c>
      <c r="I23" s="10" t="s">
        <v>65</v>
      </c>
    </row>
    <row r="24" spans="2:9" ht="15" customHeight="1" x14ac:dyDescent="0.2">
      <c r="B24" t="s">
        <v>71</v>
      </c>
      <c r="C24" s="12">
        <v>316</v>
      </c>
      <c r="D24" s="8">
        <v>10.55</v>
      </c>
      <c r="E24" s="12">
        <v>200</v>
      </c>
      <c r="F24" s="8">
        <v>11.18</v>
      </c>
      <c r="G24" s="12">
        <v>116</v>
      </c>
      <c r="H24" s="8">
        <v>9.99</v>
      </c>
      <c r="I24" s="12">
        <v>0</v>
      </c>
    </row>
    <row r="25" spans="2:9" ht="15" customHeight="1" x14ac:dyDescent="0.2">
      <c r="B25" t="s">
        <v>81</v>
      </c>
      <c r="C25" s="12">
        <v>250</v>
      </c>
      <c r="D25" s="8">
        <v>8.35</v>
      </c>
      <c r="E25" s="12">
        <v>217</v>
      </c>
      <c r="F25" s="8">
        <v>12.13</v>
      </c>
      <c r="G25" s="12">
        <v>33</v>
      </c>
      <c r="H25" s="8">
        <v>2.84</v>
      </c>
      <c r="I25" s="12">
        <v>0</v>
      </c>
    </row>
    <row r="26" spans="2:9" ht="15" customHeight="1" x14ac:dyDescent="0.2">
      <c r="B26" t="s">
        <v>82</v>
      </c>
      <c r="C26" s="12">
        <v>243</v>
      </c>
      <c r="D26" s="8">
        <v>8.1199999999999992</v>
      </c>
      <c r="E26" s="12">
        <v>223</v>
      </c>
      <c r="F26" s="8">
        <v>12.47</v>
      </c>
      <c r="G26" s="12">
        <v>20</v>
      </c>
      <c r="H26" s="8">
        <v>1.72</v>
      </c>
      <c r="I26" s="12">
        <v>0</v>
      </c>
    </row>
    <row r="27" spans="2:9" ht="15" customHeight="1" x14ac:dyDescent="0.2">
      <c r="B27" t="s">
        <v>66</v>
      </c>
      <c r="C27" s="12">
        <v>157</v>
      </c>
      <c r="D27" s="8">
        <v>5.24</v>
      </c>
      <c r="E27" s="12">
        <v>44</v>
      </c>
      <c r="F27" s="8">
        <v>2.46</v>
      </c>
      <c r="G27" s="12">
        <v>113</v>
      </c>
      <c r="H27" s="8">
        <v>9.73</v>
      </c>
      <c r="I27" s="12">
        <v>0</v>
      </c>
    </row>
    <row r="28" spans="2:9" ht="15" customHeight="1" x14ac:dyDescent="0.2">
      <c r="B28" t="s">
        <v>77</v>
      </c>
      <c r="C28" s="12">
        <v>154</v>
      </c>
      <c r="D28" s="8">
        <v>5.14</v>
      </c>
      <c r="E28" s="12">
        <v>86</v>
      </c>
      <c r="F28" s="8">
        <v>4.8099999999999996</v>
      </c>
      <c r="G28" s="12">
        <v>68</v>
      </c>
      <c r="H28" s="8">
        <v>5.86</v>
      </c>
      <c r="I28" s="12">
        <v>0</v>
      </c>
    </row>
    <row r="29" spans="2:9" ht="15" customHeight="1" x14ac:dyDescent="0.2">
      <c r="B29" t="s">
        <v>67</v>
      </c>
      <c r="C29" s="12">
        <v>146</v>
      </c>
      <c r="D29" s="8">
        <v>4.88</v>
      </c>
      <c r="E29" s="12">
        <v>93</v>
      </c>
      <c r="F29" s="8">
        <v>5.2</v>
      </c>
      <c r="G29" s="12">
        <v>53</v>
      </c>
      <c r="H29" s="8">
        <v>4.57</v>
      </c>
      <c r="I29" s="12">
        <v>0</v>
      </c>
    </row>
    <row r="30" spans="2:9" ht="15" customHeight="1" x14ac:dyDescent="0.2">
      <c r="B30" t="s">
        <v>78</v>
      </c>
      <c r="C30" s="12">
        <v>125</v>
      </c>
      <c r="D30" s="8">
        <v>4.18</v>
      </c>
      <c r="E30" s="12">
        <v>80</v>
      </c>
      <c r="F30" s="8">
        <v>4.47</v>
      </c>
      <c r="G30" s="12">
        <v>45</v>
      </c>
      <c r="H30" s="8">
        <v>3.88</v>
      </c>
      <c r="I30" s="12">
        <v>0</v>
      </c>
    </row>
    <row r="31" spans="2:9" ht="15" customHeight="1" x14ac:dyDescent="0.2">
      <c r="B31" t="s">
        <v>76</v>
      </c>
      <c r="C31" s="12">
        <v>115</v>
      </c>
      <c r="D31" s="8">
        <v>3.84</v>
      </c>
      <c r="E31" s="12">
        <v>75</v>
      </c>
      <c r="F31" s="8">
        <v>4.1900000000000004</v>
      </c>
      <c r="G31" s="12">
        <v>40</v>
      </c>
      <c r="H31" s="8">
        <v>3.45</v>
      </c>
      <c r="I31" s="12">
        <v>0</v>
      </c>
    </row>
    <row r="32" spans="2:9" ht="15" customHeight="1" x14ac:dyDescent="0.2">
      <c r="B32" t="s">
        <v>72</v>
      </c>
      <c r="C32" s="12">
        <v>106</v>
      </c>
      <c r="D32" s="8">
        <v>3.54</v>
      </c>
      <c r="E32" s="12">
        <v>43</v>
      </c>
      <c r="F32" s="8">
        <v>2.4</v>
      </c>
      <c r="G32" s="12">
        <v>63</v>
      </c>
      <c r="H32" s="8">
        <v>5.43</v>
      </c>
      <c r="I32" s="12">
        <v>0</v>
      </c>
    </row>
    <row r="33" spans="2:9" ht="15" customHeight="1" x14ac:dyDescent="0.2">
      <c r="B33" t="s">
        <v>83</v>
      </c>
      <c r="C33" s="12">
        <v>104</v>
      </c>
      <c r="D33" s="8">
        <v>3.47</v>
      </c>
      <c r="E33" s="12">
        <v>75</v>
      </c>
      <c r="F33" s="8">
        <v>4.1900000000000004</v>
      </c>
      <c r="G33" s="12">
        <v>21</v>
      </c>
      <c r="H33" s="8">
        <v>1.81</v>
      </c>
      <c r="I33" s="12">
        <v>1</v>
      </c>
    </row>
    <row r="34" spans="2:9" ht="15" customHeight="1" x14ac:dyDescent="0.2">
      <c r="B34" t="s">
        <v>75</v>
      </c>
      <c r="C34" s="12">
        <v>100</v>
      </c>
      <c r="D34" s="8">
        <v>3.34</v>
      </c>
      <c r="E34" s="12">
        <v>74</v>
      </c>
      <c r="F34" s="8">
        <v>4.1399999999999997</v>
      </c>
      <c r="G34" s="12">
        <v>25</v>
      </c>
      <c r="H34" s="8">
        <v>2.15</v>
      </c>
      <c r="I34" s="12">
        <v>1</v>
      </c>
    </row>
    <row r="35" spans="2:9" ht="15" customHeight="1" x14ac:dyDescent="0.2">
      <c r="B35" t="s">
        <v>68</v>
      </c>
      <c r="C35" s="12">
        <v>91</v>
      </c>
      <c r="D35" s="8">
        <v>3.04</v>
      </c>
      <c r="E35" s="12">
        <v>46</v>
      </c>
      <c r="F35" s="8">
        <v>2.57</v>
      </c>
      <c r="G35" s="12">
        <v>45</v>
      </c>
      <c r="H35" s="8">
        <v>3.88</v>
      </c>
      <c r="I35" s="12">
        <v>0</v>
      </c>
    </row>
    <row r="36" spans="2:9" ht="15" customHeight="1" x14ac:dyDescent="0.2">
      <c r="B36" t="s">
        <v>84</v>
      </c>
      <c r="C36" s="12">
        <v>81</v>
      </c>
      <c r="D36" s="8">
        <v>2.71</v>
      </c>
      <c r="E36" s="12">
        <v>79</v>
      </c>
      <c r="F36" s="8">
        <v>4.42</v>
      </c>
      <c r="G36" s="12">
        <v>2</v>
      </c>
      <c r="H36" s="8">
        <v>0.17</v>
      </c>
      <c r="I36" s="12">
        <v>0</v>
      </c>
    </row>
    <row r="37" spans="2:9" ht="15" customHeight="1" x14ac:dyDescent="0.2">
      <c r="B37" t="s">
        <v>74</v>
      </c>
      <c r="C37" s="12">
        <v>59</v>
      </c>
      <c r="D37" s="8">
        <v>1.97</v>
      </c>
      <c r="E37" s="12">
        <v>29</v>
      </c>
      <c r="F37" s="8">
        <v>1.62</v>
      </c>
      <c r="G37" s="12">
        <v>30</v>
      </c>
      <c r="H37" s="8">
        <v>2.58</v>
      </c>
      <c r="I37" s="12">
        <v>0</v>
      </c>
    </row>
    <row r="38" spans="2:9" ht="15" customHeight="1" x14ac:dyDescent="0.2">
      <c r="B38" t="s">
        <v>97</v>
      </c>
      <c r="C38" s="12">
        <v>57</v>
      </c>
      <c r="D38" s="8">
        <v>1.9</v>
      </c>
      <c r="E38" s="12">
        <v>0</v>
      </c>
      <c r="F38" s="8">
        <v>0</v>
      </c>
      <c r="G38" s="12">
        <v>34</v>
      </c>
      <c r="H38" s="8">
        <v>2.93</v>
      </c>
      <c r="I38" s="12">
        <v>1</v>
      </c>
    </row>
    <row r="39" spans="2:9" ht="15" customHeight="1" x14ac:dyDescent="0.2">
      <c r="B39" t="s">
        <v>73</v>
      </c>
      <c r="C39" s="12">
        <v>53</v>
      </c>
      <c r="D39" s="8">
        <v>1.77</v>
      </c>
      <c r="E39" s="12">
        <v>20</v>
      </c>
      <c r="F39" s="8">
        <v>1.1200000000000001</v>
      </c>
      <c r="G39" s="12">
        <v>33</v>
      </c>
      <c r="H39" s="8">
        <v>2.84</v>
      </c>
      <c r="I39" s="12">
        <v>0</v>
      </c>
    </row>
    <row r="40" spans="2:9" ht="15" customHeight="1" x14ac:dyDescent="0.2">
      <c r="B40" t="s">
        <v>80</v>
      </c>
      <c r="C40" s="12">
        <v>52</v>
      </c>
      <c r="D40" s="8">
        <v>1.74</v>
      </c>
      <c r="E40" s="12">
        <v>28</v>
      </c>
      <c r="F40" s="8">
        <v>1.57</v>
      </c>
      <c r="G40" s="12">
        <v>23</v>
      </c>
      <c r="H40" s="8">
        <v>1.98</v>
      </c>
      <c r="I40" s="12">
        <v>0</v>
      </c>
    </row>
    <row r="41" spans="2:9" ht="15" customHeight="1" x14ac:dyDescent="0.2">
      <c r="B41" t="s">
        <v>69</v>
      </c>
      <c r="C41" s="12">
        <v>51</v>
      </c>
      <c r="D41" s="8">
        <v>1.7</v>
      </c>
      <c r="E41" s="12">
        <v>34</v>
      </c>
      <c r="F41" s="8">
        <v>1.9</v>
      </c>
      <c r="G41" s="12">
        <v>17</v>
      </c>
      <c r="H41" s="8">
        <v>1.46</v>
      </c>
      <c r="I41" s="12">
        <v>0</v>
      </c>
    </row>
    <row r="42" spans="2:9" ht="15" customHeight="1" x14ac:dyDescent="0.2">
      <c r="B42" t="s">
        <v>98</v>
      </c>
      <c r="C42" s="12">
        <v>49</v>
      </c>
      <c r="D42" s="8">
        <v>1.64</v>
      </c>
      <c r="E42" s="12">
        <v>25</v>
      </c>
      <c r="F42" s="8">
        <v>1.4</v>
      </c>
      <c r="G42" s="12">
        <v>24</v>
      </c>
      <c r="H42" s="8">
        <v>2.0699999999999998</v>
      </c>
      <c r="I42" s="12">
        <v>0</v>
      </c>
    </row>
    <row r="43" spans="2:9" ht="15" customHeight="1" x14ac:dyDescent="0.2">
      <c r="B43" t="s">
        <v>85</v>
      </c>
      <c r="C43" s="12">
        <v>49</v>
      </c>
      <c r="D43" s="8">
        <v>1.64</v>
      </c>
      <c r="E43" s="12">
        <v>38</v>
      </c>
      <c r="F43" s="8">
        <v>2.12</v>
      </c>
      <c r="G43" s="12">
        <v>11</v>
      </c>
      <c r="H43" s="8">
        <v>0.95</v>
      </c>
      <c r="I43" s="12">
        <v>0</v>
      </c>
    </row>
    <row r="46" spans="2:9" ht="33" customHeight="1" x14ac:dyDescent="0.2">
      <c r="B46" t="s">
        <v>234</v>
      </c>
      <c r="C46" s="10" t="s">
        <v>59</v>
      </c>
      <c r="D46" s="10" t="s">
        <v>60</v>
      </c>
      <c r="E46" s="10" t="s">
        <v>61</v>
      </c>
      <c r="F46" s="10" t="s">
        <v>62</v>
      </c>
      <c r="G46" s="10" t="s">
        <v>63</v>
      </c>
      <c r="H46" s="10" t="s">
        <v>64</v>
      </c>
      <c r="I46" s="10" t="s">
        <v>65</v>
      </c>
    </row>
    <row r="47" spans="2:9" ht="15" customHeight="1" x14ac:dyDescent="0.2">
      <c r="B47" t="s">
        <v>152</v>
      </c>
      <c r="C47" s="12">
        <v>152</v>
      </c>
      <c r="D47" s="8">
        <v>5.08</v>
      </c>
      <c r="E47" s="12">
        <v>94</v>
      </c>
      <c r="F47" s="8">
        <v>5.25</v>
      </c>
      <c r="G47" s="12">
        <v>58</v>
      </c>
      <c r="H47" s="8">
        <v>5</v>
      </c>
      <c r="I47" s="12">
        <v>0</v>
      </c>
    </row>
    <row r="48" spans="2:9" ht="15" customHeight="1" x14ac:dyDescent="0.2">
      <c r="B48" t="s">
        <v>138</v>
      </c>
      <c r="C48" s="12">
        <v>139</v>
      </c>
      <c r="D48" s="8">
        <v>4.6399999999999997</v>
      </c>
      <c r="E48" s="12">
        <v>134</v>
      </c>
      <c r="F48" s="8">
        <v>7.49</v>
      </c>
      <c r="G48" s="12">
        <v>5</v>
      </c>
      <c r="H48" s="8">
        <v>0.43</v>
      </c>
      <c r="I48" s="12">
        <v>0</v>
      </c>
    </row>
    <row r="49" spans="2:9" ht="15" customHeight="1" x14ac:dyDescent="0.2">
      <c r="B49" t="s">
        <v>132</v>
      </c>
      <c r="C49" s="12">
        <v>92</v>
      </c>
      <c r="D49" s="8">
        <v>3.07</v>
      </c>
      <c r="E49" s="12">
        <v>70</v>
      </c>
      <c r="F49" s="8">
        <v>3.91</v>
      </c>
      <c r="G49" s="12">
        <v>22</v>
      </c>
      <c r="H49" s="8">
        <v>1.89</v>
      </c>
      <c r="I49" s="12">
        <v>0</v>
      </c>
    </row>
    <row r="50" spans="2:9" ht="15" customHeight="1" x14ac:dyDescent="0.2">
      <c r="B50" t="s">
        <v>154</v>
      </c>
      <c r="C50" s="12">
        <v>81</v>
      </c>
      <c r="D50" s="8">
        <v>2.71</v>
      </c>
      <c r="E50" s="12">
        <v>64</v>
      </c>
      <c r="F50" s="8">
        <v>3.58</v>
      </c>
      <c r="G50" s="12">
        <v>17</v>
      </c>
      <c r="H50" s="8">
        <v>1.46</v>
      </c>
      <c r="I50" s="12">
        <v>0</v>
      </c>
    </row>
    <row r="51" spans="2:9" ht="15" customHeight="1" x14ac:dyDescent="0.2">
      <c r="B51" t="s">
        <v>128</v>
      </c>
      <c r="C51" s="12">
        <v>77</v>
      </c>
      <c r="D51" s="8">
        <v>2.57</v>
      </c>
      <c r="E51" s="12">
        <v>51</v>
      </c>
      <c r="F51" s="8">
        <v>2.85</v>
      </c>
      <c r="G51" s="12">
        <v>26</v>
      </c>
      <c r="H51" s="8">
        <v>2.2400000000000002</v>
      </c>
      <c r="I51" s="12">
        <v>0</v>
      </c>
    </row>
    <row r="52" spans="2:9" ht="15" customHeight="1" x14ac:dyDescent="0.2">
      <c r="B52" t="s">
        <v>136</v>
      </c>
      <c r="C52" s="12">
        <v>75</v>
      </c>
      <c r="D52" s="8">
        <v>2.5099999999999998</v>
      </c>
      <c r="E52" s="12">
        <v>67</v>
      </c>
      <c r="F52" s="8">
        <v>3.75</v>
      </c>
      <c r="G52" s="12">
        <v>8</v>
      </c>
      <c r="H52" s="8">
        <v>0.69</v>
      </c>
      <c r="I52" s="12">
        <v>0</v>
      </c>
    </row>
    <row r="53" spans="2:9" ht="15" customHeight="1" x14ac:dyDescent="0.2">
      <c r="B53" t="s">
        <v>137</v>
      </c>
      <c r="C53" s="12">
        <v>73</v>
      </c>
      <c r="D53" s="8">
        <v>2.44</v>
      </c>
      <c r="E53" s="12">
        <v>72</v>
      </c>
      <c r="F53" s="8">
        <v>4.0199999999999996</v>
      </c>
      <c r="G53" s="12">
        <v>1</v>
      </c>
      <c r="H53" s="8">
        <v>0.09</v>
      </c>
      <c r="I53" s="12">
        <v>0</v>
      </c>
    </row>
    <row r="54" spans="2:9" ht="15" customHeight="1" x14ac:dyDescent="0.2">
      <c r="B54" t="s">
        <v>140</v>
      </c>
      <c r="C54" s="12">
        <v>62</v>
      </c>
      <c r="D54" s="8">
        <v>2.0699999999999998</v>
      </c>
      <c r="E54" s="12">
        <v>61</v>
      </c>
      <c r="F54" s="8">
        <v>3.41</v>
      </c>
      <c r="G54" s="12">
        <v>1</v>
      </c>
      <c r="H54" s="8">
        <v>0.09</v>
      </c>
      <c r="I54" s="12">
        <v>0</v>
      </c>
    </row>
    <row r="55" spans="2:9" ht="15" customHeight="1" x14ac:dyDescent="0.2">
      <c r="B55" t="s">
        <v>134</v>
      </c>
      <c r="C55" s="12">
        <v>55</v>
      </c>
      <c r="D55" s="8">
        <v>1.84</v>
      </c>
      <c r="E55" s="12">
        <v>41</v>
      </c>
      <c r="F55" s="8">
        <v>2.29</v>
      </c>
      <c r="G55" s="12">
        <v>14</v>
      </c>
      <c r="H55" s="8">
        <v>1.21</v>
      </c>
      <c r="I55" s="12">
        <v>0</v>
      </c>
    </row>
    <row r="56" spans="2:9" ht="15" customHeight="1" x14ac:dyDescent="0.2">
      <c r="B56" t="s">
        <v>123</v>
      </c>
      <c r="C56" s="12">
        <v>53</v>
      </c>
      <c r="D56" s="8">
        <v>1.77</v>
      </c>
      <c r="E56" s="12">
        <v>17</v>
      </c>
      <c r="F56" s="8">
        <v>0.95</v>
      </c>
      <c r="G56" s="12">
        <v>36</v>
      </c>
      <c r="H56" s="8">
        <v>3.1</v>
      </c>
      <c r="I56" s="12">
        <v>0</v>
      </c>
    </row>
    <row r="57" spans="2:9" ht="15" customHeight="1" x14ac:dyDescent="0.2">
      <c r="B57" t="s">
        <v>139</v>
      </c>
      <c r="C57" s="12">
        <v>53</v>
      </c>
      <c r="D57" s="8">
        <v>1.77</v>
      </c>
      <c r="E57" s="12">
        <v>45</v>
      </c>
      <c r="F57" s="8">
        <v>2.52</v>
      </c>
      <c r="G57" s="12">
        <v>8</v>
      </c>
      <c r="H57" s="8">
        <v>0.69</v>
      </c>
      <c r="I57" s="12">
        <v>0</v>
      </c>
    </row>
    <row r="58" spans="2:9" ht="15" customHeight="1" x14ac:dyDescent="0.2">
      <c r="B58" t="s">
        <v>156</v>
      </c>
      <c r="C58" s="12">
        <v>49</v>
      </c>
      <c r="D58" s="8">
        <v>1.64</v>
      </c>
      <c r="E58" s="12">
        <v>20</v>
      </c>
      <c r="F58" s="8">
        <v>1.1200000000000001</v>
      </c>
      <c r="G58" s="12">
        <v>29</v>
      </c>
      <c r="H58" s="8">
        <v>2.5</v>
      </c>
      <c r="I58" s="12">
        <v>0</v>
      </c>
    </row>
    <row r="59" spans="2:9" ht="15" customHeight="1" x14ac:dyDescent="0.2">
      <c r="B59" t="s">
        <v>141</v>
      </c>
      <c r="C59" s="12">
        <v>49</v>
      </c>
      <c r="D59" s="8">
        <v>1.64</v>
      </c>
      <c r="E59" s="12">
        <v>38</v>
      </c>
      <c r="F59" s="8">
        <v>2.12</v>
      </c>
      <c r="G59" s="12">
        <v>11</v>
      </c>
      <c r="H59" s="8">
        <v>0.95</v>
      </c>
      <c r="I59" s="12">
        <v>0</v>
      </c>
    </row>
    <row r="60" spans="2:9" ht="15" customHeight="1" x14ac:dyDescent="0.2">
      <c r="B60" t="s">
        <v>125</v>
      </c>
      <c r="C60" s="12">
        <v>48</v>
      </c>
      <c r="D60" s="8">
        <v>1.6</v>
      </c>
      <c r="E60" s="12">
        <v>30</v>
      </c>
      <c r="F60" s="8">
        <v>1.68</v>
      </c>
      <c r="G60" s="12">
        <v>18</v>
      </c>
      <c r="H60" s="8">
        <v>1.55</v>
      </c>
      <c r="I60" s="12">
        <v>0</v>
      </c>
    </row>
    <row r="61" spans="2:9" ht="15" customHeight="1" x14ac:dyDescent="0.2">
      <c r="B61" t="s">
        <v>122</v>
      </c>
      <c r="C61" s="12">
        <v>46</v>
      </c>
      <c r="D61" s="8">
        <v>1.54</v>
      </c>
      <c r="E61" s="12">
        <v>8</v>
      </c>
      <c r="F61" s="8">
        <v>0.45</v>
      </c>
      <c r="G61" s="12">
        <v>38</v>
      </c>
      <c r="H61" s="8">
        <v>3.27</v>
      </c>
      <c r="I61" s="12">
        <v>0</v>
      </c>
    </row>
    <row r="62" spans="2:9" ht="15" customHeight="1" x14ac:dyDescent="0.2">
      <c r="B62" t="s">
        <v>155</v>
      </c>
      <c r="C62" s="12">
        <v>41</v>
      </c>
      <c r="D62" s="8">
        <v>1.37</v>
      </c>
      <c r="E62" s="12">
        <v>17</v>
      </c>
      <c r="F62" s="8">
        <v>0.95</v>
      </c>
      <c r="G62" s="12">
        <v>24</v>
      </c>
      <c r="H62" s="8">
        <v>2.0699999999999998</v>
      </c>
      <c r="I62" s="12">
        <v>0</v>
      </c>
    </row>
    <row r="63" spans="2:9" ht="15" customHeight="1" x14ac:dyDescent="0.2">
      <c r="B63" t="s">
        <v>153</v>
      </c>
      <c r="C63" s="12">
        <v>40</v>
      </c>
      <c r="D63" s="8">
        <v>1.34</v>
      </c>
      <c r="E63" s="12">
        <v>19</v>
      </c>
      <c r="F63" s="8">
        <v>1.06</v>
      </c>
      <c r="G63" s="12">
        <v>21</v>
      </c>
      <c r="H63" s="8">
        <v>1.81</v>
      </c>
      <c r="I63" s="12">
        <v>0</v>
      </c>
    </row>
    <row r="64" spans="2:9" ht="15" customHeight="1" x14ac:dyDescent="0.2">
      <c r="B64" t="s">
        <v>129</v>
      </c>
      <c r="C64" s="12">
        <v>39</v>
      </c>
      <c r="D64" s="8">
        <v>1.3</v>
      </c>
      <c r="E64" s="12">
        <v>23</v>
      </c>
      <c r="F64" s="8">
        <v>1.29</v>
      </c>
      <c r="G64" s="12">
        <v>16</v>
      </c>
      <c r="H64" s="8">
        <v>1.38</v>
      </c>
      <c r="I64" s="12">
        <v>0</v>
      </c>
    </row>
    <row r="65" spans="2:9" ht="15" customHeight="1" x14ac:dyDescent="0.2">
      <c r="B65" t="s">
        <v>130</v>
      </c>
      <c r="C65" s="12">
        <v>37</v>
      </c>
      <c r="D65" s="8">
        <v>1.24</v>
      </c>
      <c r="E65" s="12">
        <v>22</v>
      </c>
      <c r="F65" s="8">
        <v>1.23</v>
      </c>
      <c r="G65" s="12">
        <v>15</v>
      </c>
      <c r="H65" s="8">
        <v>1.29</v>
      </c>
      <c r="I65" s="12">
        <v>0</v>
      </c>
    </row>
    <row r="66" spans="2:9" ht="15" customHeight="1" x14ac:dyDescent="0.2">
      <c r="B66" t="s">
        <v>133</v>
      </c>
      <c r="C66" s="12">
        <v>37</v>
      </c>
      <c r="D66" s="8">
        <v>1.24</v>
      </c>
      <c r="E66" s="12">
        <v>19</v>
      </c>
      <c r="F66" s="8">
        <v>1.06</v>
      </c>
      <c r="G66" s="12">
        <v>17</v>
      </c>
      <c r="H66" s="8">
        <v>1.46</v>
      </c>
      <c r="I66" s="12">
        <v>0</v>
      </c>
    </row>
    <row r="67" spans="2:9" ht="15" customHeight="1" x14ac:dyDescent="0.2">
      <c r="B67" t="s">
        <v>135</v>
      </c>
      <c r="C67" s="12">
        <v>37</v>
      </c>
      <c r="D67" s="8">
        <v>1.24</v>
      </c>
      <c r="E67" s="12">
        <v>36</v>
      </c>
      <c r="F67" s="8">
        <v>2.0099999999999998</v>
      </c>
      <c r="G67" s="12">
        <v>1</v>
      </c>
      <c r="H67" s="8">
        <v>0.09</v>
      </c>
      <c r="I67" s="12">
        <v>0</v>
      </c>
    </row>
    <row r="68" spans="2:9" ht="15" customHeight="1" x14ac:dyDescent="0.2">
      <c r="B68" t="s">
        <v>145</v>
      </c>
      <c r="C68" s="12">
        <v>37</v>
      </c>
      <c r="D68" s="8">
        <v>1.24</v>
      </c>
      <c r="E68" s="12">
        <v>28</v>
      </c>
      <c r="F68" s="8">
        <v>1.57</v>
      </c>
      <c r="G68" s="12">
        <v>9</v>
      </c>
      <c r="H68" s="8">
        <v>0.78</v>
      </c>
      <c r="I68" s="12">
        <v>0</v>
      </c>
    </row>
    <row r="70" spans="2:9" ht="15" customHeight="1" x14ac:dyDescent="0.2">
      <c r="B70" t="s">
        <v>235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0D8F3-4F1E-44A9-AE74-8AC50FC4EC8A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241</v>
      </c>
    </row>
    <row r="4" spans="2:9" ht="33" customHeight="1" x14ac:dyDescent="0.2">
      <c r="B4" t="s">
        <v>231</v>
      </c>
      <c r="C4" s="10" t="s">
        <v>59</v>
      </c>
      <c r="D4" s="10" t="s">
        <v>60</v>
      </c>
      <c r="E4" s="10" t="s">
        <v>61</v>
      </c>
      <c r="F4" s="10" t="s">
        <v>62</v>
      </c>
      <c r="G4" s="10" t="s">
        <v>63</v>
      </c>
      <c r="H4" s="10" t="s">
        <v>64</v>
      </c>
      <c r="I4" s="10" t="s">
        <v>65</v>
      </c>
    </row>
    <row r="5" spans="2:9" ht="15" customHeight="1" x14ac:dyDescent="0.2">
      <c r="B5" t="s">
        <v>43</v>
      </c>
      <c r="C5" s="12">
        <v>4</v>
      </c>
      <c r="D5" s="8">
        <v>0.18</v>
      </c>
      <c r="E5" s="12">
        <v>3</v>
      </c>
      <c r="F5" s="8">
        <v>0.23</v>
      </c>
      <c r="G5" s="12">
        <v>1</v>
      </c>
      <c r="H5" s="8">
        <v>0.11</v>
      </c>
      <c r="I5" s="12">
        <v>0</v>
      </c>
    </row>
    <row r="6" spans="2:9" ht="15" customHeight="1" x14ac:dyDescent="0.2">
      <c r="B6" t="s">
        <v>44</v>
      </c>
      <c r="C6" s="12">
        <v>401</v>
      </c>
      <c r="D6" s="8">
        <v>17.77</v>
      </c>
      <c r="E6" s="12">
        <v>216</v>
      </c>
      <c r="F6" s="8">
        <v>16.25</v>
      </c>
      <c r="G6" s="12">
        <v>185</v>
      </c>
      <c r="H6" s="8">
        <v>20.309999999999999</v>
      </c>
      <c r="I6" s="12">
        <v>0</v>
      </c>
    </row>
    <row r="7" spans="2:9" ht="15" customHeight="1" x14ac:dyDescent="0.2">
      <c r="B7" t="s">
        <v>45</v>
      </c>
      <c r="C7" s="12">
        <v>351</v>
      </c>
      <c r="D7" s="8">
        <v>15.56</v>
      </c>
      <c r="E7" s="12">
        <v>172</v>
      </c>
      <c r="F7" s="8">
        <v>12.94</v>
      </c>
      <c r="G7" s="12">
        <v>176</v>
      </c>
      <c r="H7" s="8">
        <v>19.32</v>
      </c>
      <c r="I7" s="12">
        <v>3</v>
      </c>
    </row>
    <row r="8" spans="2:9" ht="15" customHeight="1" x14ac:dyDescent="0.2">
      <c r="B8" t="s">
        <v>46</v>
      </c>
      <c r="C8" s="12">
        <v>9</v>
      </c>
      <c r="D8" s="8">
        <v>0.4</v>
      </c>
      <c r="E8" s="12">
        <v>0</v>
      </c>
      <c r="F8" s="8">
        <v>0</v>
      </c>
      <c r="G8" s="12">
        <v>8</v>
      </c>
      <c r="H8" s="8">
        <v>0.88</v>
      </c>
      <c r="I8" s="12">
        <v>0</v>
      </c>
    </row>
    <row r="9" spans="2:9" ht="15" customHeight="1" x14ac:dyDescent="0.2">
      <c r="B9" t="s">
        <v>47</v>
      </c>
      <c r="C9" s="12">
        <v>15</v>
      </c>
      <c r="D9" s="8">
        <v>0.66</v>
      </c>
      <c r="E9" s="12">
        <v>1</v>
      </c>
      <c r="F9" s="8">
        <v>0.08</v>
      </c>
      <c r="G9" s="12">
        <v>14</v>
      </c>
      <c r="H9" s="8">
        <v>1.54</v>
      </c>
      <c r="I9" s="12">
        <v>0</v>
      </c>
    </row>
    <row r="10" spans="2:9" ht="15" customHeight="1" x14ac:dyDescent="0.2">
      <c r="B10" t="s">
        <v>48</v>
      </c>
      <c r="C10" s="12">
        <v>22</v>
      </c>
      <c r="D10" s="8">
        <v>0.98</v>
      </c>
      <c r="E10" s="12">
        <v>11</v>
      </c>
      <c r="F10" s="8">
        <v>0.83</v>
      </c>
      <c r="G10" s="12">
        <v>11</v>
      </c>
      <c r="H10" s="8">
        <v>1.21</v>
      </c>
      <c r="I10" s="12">
        <v>0</v>
      </c>
    </row>
    <row r="11" spans="2:9" ht="15" customHeight="1" x14ac:dyDescent="0.2">
      <c r="B11" t="s">
        <v>49</v>
      </c>
      <c r="C11" s="12">
        <v>459</v>
      </c>
      <c r="D11" s="8">
        <v>20.350000000000001</v>
      </c>
      <c r="E11" s="12">
        <v>221</v>
      </c>
      <c r="F11" s="8">
        <v>16.63</v>
      </c>
      <c r="G11" s="12">
        <v>237</v>
      </c>
      <c r="H11" s="8">
        <v>26.02</v>
      </c>
      <c r="I11" s="12">
        <v>1</v>
      </c>
    </row>
    <row r="12" spans="2:9" ht="15" customHeight="1" x14ac:dyDescent="0.2">
      <c r="B12" t="s">
        <v>50</v>
      </c>
      <c r="C12" s="12">
        <v>16</v>
      </c>
      <c r="D12" s="8">
        <v>0.71</v>
      </c>
      <c r="E12" s="12">
        <v>2</v>
      </c>
      <c r="F12" s="8">
        <v>0.15</v>
      </c>
      <c r="G12" s="12">
        <v>14</v>
      </c>
      <c r="H12" s="8">
        <v>1.54</v>
      </c>
      <c r="I12" s="12">
        <v>0</v>
      </c>
    </row>
    <row r="13" spans="2:9" ht="15" customHeight="1" x14ac:dyDescent="0.2">
      <c r="B13" t="s">
        <v>51</v>
      </c>
      <c r="C13" s="12">
        <v>113</v>
      </c>
      <c r="D13" s="8">
        <v>5.01</v>
      </c>
      <c r="E13" s="12">
        <v>43</v>
      </c>
      <c r="F13" s="8">
        <v>3.24</v>
      </c>
      <c r="G13" s="12">
        <v>69</v>
      </c>
      <c r="H13" s="8">
        <v>7.57</v>
      </c>
      <c r="I13" s="12">
        <v>0</v>
      </c>
    </row>
    <row r="14" spans="2:9" ht="15" customHeight="1" x14ac:dyDescent="0.2">
      <c r="B14" t="s">
        <v>52</v>
      </c>
      <c r="C14" s="12">
        <v>97</v>
      </c>
      <c r="D14" s="8">
        <v>4.3</v>
      </c>
      <c r="E14" s="12">
        <v>55</v>
      </c>
      <c r="F14" s="8">
        <v>4.1399999999999997</v>
      </c>
      <c r="G14" s="12">
        <v>38</v>
      </c>
      <c r="H14" s="8">
        <v>4.17</v>
      </c>
      <c r="I14" s="12">
        <v>0</v>
      </c>
    </row>
    <row r="15" spans="2:9" ht="15" customHeight="1" x14ac:dyDescent="0.2">
      <c r="B15" t="s">
        <v>53</v>
      </c>
      <c r="C15" s="12">
        <v>314</v>
      </c>
      <c r="D15" s="8">
        <v>13.92</v>
      </c>
      <c r="E15" s="12">
        <v>267</v>
      </c>
      <c r="F15" s="8">
        <v>20.09</v>
      </c>
      <c r="G15" s="12">
        <v>45</v>
      </c>
      <c r="H15" s="8">
        <v>4.9400000000000004</v>
      </c>
      <c r="I15" s="12">
        <v>1</v>
      </c>
    </row>
    <row r="16" spans="2:9" ht="15" customHeight="1" x14ac:dyDescent="0.2">
      <c r="B16" t="s">
        <v>54</v>
      </c>
      <c r="C16" s="12">
        <v>222</v>
      </c>
      <c r="D16" s="8">
        <v>9.84</v>
      </c>
      <c r="E16" s="12">
        <v>184</v>
      </c>
      <c r="F16" s="8">
        <v>13.84</v>
      </c>
      <c r="G16" s="12">
        <v>38</v>
      </c>
      <c r="H16" s="8">
        <v>4.17</v>
      </c>
      <c r="I16" s="12">
        <v>0</v>
      </c>
    </row>
    <row r="17" spans="2:9" ht="15" customHeight="1" x14ac:dyDescent="0.2">
      <c r="B17" t="s">
        <v>55</v>
      </c>
      <c r="C17" s="12">
        <v>64</v>
      </c>
      <c r="D17" s="8">
        <v>2.84</v>
      </c>
      <c r="E17" s="12">
        <v>51</v>
      </c>
      <c r="F17" s="8">
        <v>3.84</v>
      </c>
      <c r="G17" s="12">
        <v>11</v>
      </c>
      <c r="H17" s="8">
        <v>1.21</v>
      </c>
      <c r="I17" s="12">
        <v>0</v>
      </c>
    </row>
    <row r="18" spans="2:9" ht="15" customHeight="1" x14ac:dyDescent="0.2">
      <c r="B18" t="s">
        <v>56</v>
      </c>
      <c r="C18" s="12">
        <v>112</v>
      </c>
      <c r="D18" s="8">
        <v>4.96</v>
      </c>
      <c r="E18" s="12">
        <v>77</v>
      </c>
      <c r="F18" s="8">
        <v>5.79</v>
      </c>
      <c r="G18" s="12">
        <v>33</v>
      </c>
      <c r="H18" s="8">
        <v>3.62</v>
      </c>
      <c r="I18" s="12">
        <v>2</v>
      </c>
    </row>
    <row r="19" spans="2:9" ht="15" customHeight="1" x14ac:dyDescent="0.2">
      <c r="B19" t="s">
        <v>57</v>
      </c>
      <c r="C19" s="12">
        <v>57</v>
      </c>
      <c r="D19" s="8">
        <v>2.5299999999999998</v>
      </c>
      <c r="E19" s="12">
        <v>26</v>
      </c>
      <c r="F19" s="8">
        <v>1.96</v>
      </c>
      <c r="G19" s="12">
        <v>31</v>
      </c>
      <c r="H19" s="8">
        <v>3.4</v>
      </c>
      <c r="I19" s="12">
        <v>0</v>
      </c>
    </row>
    <row r="20" spans="2:9" ht="15" customHeight="1" x14ac:dyDescent="0.2">
      <c r="B20" s="9" t="s">
        <v>232</v>
      </c>
      <c r="C20" s="12">
        <f>SUM(LTBL_21206[総数／事業所数])</f>
        <v>2256</v>
      </c>
      <c r="E20" s="12">
        <f>SUBTOTAL(109,LTBL_21206[個人／事業所数])</f>
        <v>1329</v>
      </c>
      <c r="G20" s="12">
        <f>SUBTOTAL(109,LTBL_21206[法人／事業所数])</f>
        <v>911</v>
      </c>
      <c r="I20" s="12">
        <f>SUBTOTAL(109,LTBL_21206[法人以外の団体／事業所数])</f>
        <v>7</v>
      </c>
    </row>
    <row r="21" spans="2:9" ht="15" customHeight="1" x14ac:dyDescent="0.2">
      <c r="E21" s="11">
        <f>LTBL_21206[[#Totals],[個人／事業所数]]/LTBL_21206[[#Totals],[総数／事業所数]]</f>
        <v>0.58909574468085102</v>
      </c>
      <c r="G21" s="11">
        <f>LTBL_21206[[#Totals],[法人／事業所数]]/LTBL_21206[[#Totals],[総数／事業所数]]</f>
        <v>0.40381205673758863</v>
      </c>
      <c r="I21" s="11">
        <f>LTBL_21206[[#Totals],[法人以外の団体／事業所数]]/LTBL_21206[[#Totals],[総数／事業所数]]</f>
        <v>3.1028368794326243E-3</v>
      </c>
    </row>
    <row r="23" spans="2:9" ht="33" customHeight="1" x14ac:dyDescent="0.2">
      <c r="B23" t="s">
        <v>233</v>
      </c>
      <c r="C23" s="10" t="s">
        <v>59</v>
      </c>
      <c r="D23" s="10" t="s">
        <v>60</v>
      </c>
      <c r="E23" s="10" t="s">
        <v>61</v>
      </c>
      <c r="F23" s="10" t="s">
        <v>62</v>
      </c>
      <c r="G23" s="10" t="s">
        <v>63</v>
      </c>
      <c r="H23" s="10" t="s">
        <v>64</v>
      </c>
      <c r="I23" s="10" t="s">
        <v>65</v>
      </c>
    </row>
    <row r="24" spans="2:9" ht="15" customHeight="1" x14ac:dyDescent="0.2">
      <c r="B24" t="s">
        <v>81</v>
      </c>
      <c r="C24" s="12">
        <v>274</v>
      </c>
      <c r="D24" s="8">
        <v>12.15</v>
      </c>
      <c r="E24" s="12">
        <v>248</v>
      </c>
      <c r="F24" s="8">
        <v>18.66</v>
      </c>
      <c r="G24" s="12">
        <v>25</v>
      </c>
      <c r="H24" s="8">
        <v>2.74</v>
      </c>
      <c r="I24" s="12">
        <v>1</v>
      </c>
    </row>
    <row r="25" spans="2:9" ht="15" customHeight="1" x14ac:dyDescent="0.2">
      <c r="B25" t="s">
        <v>82</v>
      </c>
      <c r="C25" s="12">
        <v>205</v>
      </c>
      <c r="D25" s="8">
        <v>9.09</v>
      </c>
      <c r="E25" s="12">
        <v>176</v>
      </c>
      <c r="F25" s="8">
        <v>13.24</v>
      </c>
      <c r="G25" s="12">
        <v>29</v>
      </c>
      <c r="H25" s="8">
        <v>3.18</v>
      </c>
      <c r="I25" s="12">
        <v>0</v>
      </c>
    </row>
    <row r="26" spans="2:9" ht="15" customHeight="1" x14ac:dyDescent="0.2">
      <c r="B26" t="s">
        <v>66</v>
      </c>
      <c r="C26" s="12">
        <v>192</v>
      </c>
      <c r="D26" s="8">
        <v>8.51</v>
      </c>
      <c r="E26" s="12">
        <v>90</v>
      </c>
      <c r="F26" s="8">
        <v>6.77</v>
      </c>
      <c r="G26" s="12">
        <v>102</v>
      </c>
      <c r="H26" s="8">
        <v>11.2</v>
      </c>
      <c r="I26" s="12">
        <v>0</v>
      </c>
    </row>
    <row r="27" spans="2:9" ht="15" customHeight="1" x14ac:dyDescent="0.2">
      <c r="B27" t="s">
        <v>77</v>
      </c>
      <c r="C27" s="12">
        <v>158</v>
      </c>
      <c r="D27" s="8">
        <v>7</v>
      </c>
      <c r="E27" s="12">
        <v>73</v>
      </c>
      <c r="F27" s="8">
        <v>5.49</v>
      </c>
      <c r="G27" s="12">
        <v>85</v>
      </c>
      <c r="H27" s="8">
        <v>9.33</v>
      </c>
      <c r="I27" s="12">
        <v>0</v>
      </c>
    </row>
    <row r="28" spans="2:9" ht="15" customHeight="1" x14ac:dyDescent="0.2">
      <c r="B28" t="s">
        <v>67</v>
      </c>
      <c r="C28" s="12">
        <v>134</v>
      </c>
      <c r="D28" s="8">
        <v>5.94</v>
      </c>
      <c r="E28" s="12">
        <v>95</v>
      </c>
      <c r="F28" s="8">
        <v>7.15</v>
      </c>
      <c r="G28" s="12">
        <v>39</v>
      </c>
      <c r="H28" s="8">
        <v>4.28</v>
      </c>
      <c r="I28" s="12">
        <v>0</v>
      </c>
    </row>
    <row r="29" spans="2:9" ht="15" customHeight="1" x14ac:dyDescent="0.2">
      <c r="B29" t="s">
        <v>75</v>
      </c>
      <c r="C29" s="12">
        <v>102</v>
      </c>
      <c r="D29" s="8">
        <v>4.5199999999999996</v>
      </c>
      <c r="E29" s="12">
        <v>71</v>
      </c>
      <c r="F29" s="8">
        <v>5.34</v>
      </c>
      <c r="G29" s="12">
        <v>30</v>
      </c>
      <c r="H29" s="8">
        <v>3.29</v>
      </c>
      <c r="I29" s="12">
        <v>1</v>
      </c>
    </row>
    <row r="30" spans="2:9" ht="15" customHeight="1" x14ac:dyDescent="0.2">
      <c r="B30" t="s">
        <v>78</v>
      </c>
      <c r="C30" s="12">
        <v>89</v>
      </c>
      <c r="D30" s="8">
        <v>3.95</v>
      </c>
      <c r="E30" s="12">
        <v>41</v>
      </c>
      <c r="F30" s="8">
        <v>3.09</v>
      </c>
      <c r="G30" s="12">
        <v>47</v>
      </c>
      <c r="H30" s="8">
        <v>5.16</v>
      </c>
      <c r="I30" s="12">
        <v>0</v>
      </c>
    </row>
    <row r="31" spans="2:9" ht="15" customHeight="1" x14ac:dyDescent="0.2">
      <c r="B31" t="s">
        <v>84</v>
      </c>
      <c r="C31" s="12">
        <v>78</v>
      </c>
      <c r="D31" s="8">
        <v>3.46</v>
      </c>
      <c r="E31" s="12">
        <v>76</v>
      </c>
      <c r="F31" s="8">
        <v>5.72</v>
      </c>
      <c r="G31" s="12">
        <v>2</v>
      </c>
      <c r="H31" s="8">
        <v>0.22</v>
      </c>
      <c r="I31" s="12">
        <v>0</v>
      </c>
    </row>
    <row r="32" spans="2:9" ht="15" customHeight="1" x14ac:dyDescent="0.2">
      <c r="B32" t="s">
        <v>92</v>
      </c>
      <c r="C32" s="12">
        <v>76</v>
      </c>
      <c r="D32" s="8">
        <v>3.37</v>
      </c>
      <c r="E32" s="12">
        <v>39</v>
      </c>
      <c r="F32" s="8">
        <v>2.93</v>
      </c>
      <c r="G32" s="12">
        <v>37</v>
      </c>
      <c r="H32" s="8">
        <v>4.0599999999999996</v>
      </c>
      <c r="I32" s="12">
        <v>0</v>
      </c>
    </row>
    <row r="33" spans="2:9" ht="15" customHeight="1" x14ac:dyDescent="0.2">
      <c r="B33" t="s">
        <v>68</v>
      </c>
      <c r="C33" s="12">
        <v>75</v>
      </c>
      <c r="D33" s="8">
        <v>3.32</v>
      </c>
      <c r="E33" s="12">
        <v>31</v>
      </c>
      <c r="F33" s="8">
        <v>2.33</v>
      </c>
      <c r="G33" s="12">
        <v>44</v>
      </c>
      <c r="H33" s="8">
        <v>4.83</v>
      </c>
      <c r="I33" s="12">
        <v>0</v>
      </c>
    </row>
    <row r="34" spans="2:9" ht="15" customHeight="1" x14ac:dyDescent="0.2">
      <c r="B34" t="s">
        <v>83</v>
      </c>
      <c r="C34" s="12">
        <v>64</v>
      </c>
      <c r="D34" s="8">
        <v>2.84</v>
      </c>
      <c r="E34" s="12">
        <v>51</v>
      </c>
      <c r="F34" s="8">
        <v>3.84</v>
      </c>
      <c r="G34" s="12">
        <v>11</v>
      </c>
      <c r="H34" s="8">
        <v>1.21</v>
      </c>
      <c r="I34" s="12">
        <v>0</v>
      </c>
    </row>
    <row r="35" spans="2:9" ht="15" customHeight="1" x14ac:dyDescent="0.2">
      <c r="B35" t="s">
        <v>76</v>
      </c>
      <c r="C35" s="12">
        <v>58</v>
      </c>
      <c r="D35" s="8">
        <v>2.57</v>
      </c>
      <c r="E35" s="12">
        <v>32</v>
      </c>
      <c r="F35" s="8">
        <v>2.41</v>
      </c>
      <c r="G35" s="12">
        <v>26</v>
      </c>
      <c r="H35" s="8">
        <v>2.85</v>
      </c>
      <c r="I35" s="12">
        <v>0</v>
      </c>
    </row>
    <row r="36" spans="2:9" ht="15" customHeight="1" x14ac:dyDescent="0.2">
      <c r="B36" t="s">
        <v>80</v>
      </c>
      <c r="C36" s="12">
        <v>50</v>
      </c>
      <c r="D36" s="8">
        <v>2.2200000000000002</v>
      </c>
      <c r="E36" s="12">
        <v>24</v>
      </c>
      <c r="F36" s="8">
        <v>1.81</v>
      </c>
      <c r="G36" s="12">
        <v>23</v>
      </c>
      <c r="H36" s="8">
        <v>2.52</v>
      </c>
      <c r="I36" s="12">
        <v>0</v>
      </c>
    </row>
    <row r="37" spans="2:9" ht="15" customHeight="1" x14ac:dyDescent="0.2">
      <c r="B37" t="s">
        <v>74</v>
      </c>
      <c r="C37" s="12">
        <v>45</v>
      </c>
      <c r="D37" s="8">
        <v>1.99</v>
      </c>
      <c r="E37" s="12">
        <v>22</v>
      </c>
      <c r="F37" s="8">
        <v>1.66</v>
      </c>
      <c r="G37" s="12">
        <v>23</v>
      </c>
      <c r="H37" s="8">
        <v>2.52</v>
      </c>
      <c r="I37" s="12">
        <v>0</v>
      </c>
    </row>
    <row r="38" spans="2:9" ht="15" customHeight="1" x14ac:dyDescent="0.2">
      <c r="B38" t="s">
        <v>79</v>
      </c>
      <c r="C38" s="12">
        <v>43</v>
      </c>
      <c r="D38" s="8">
        <v>1.91</v>
      </c>
      <c r="E38" s="12">
        <v>31</v>
      </c>
      <c r="F38" s="8">
        <v>2.33</v>
      </c>
      <c r="G38" s="12">
        <v>12</v>
      </c>
      <c r="H38" s="8">
        <v>1.32</v>
      </c>
      <c r="I38" s="12">
        <v>0</v>
      </c>
    </row>
    <row r="39" spans="2:9" ht="15" customHeight="1" x14ac:dyDescent="0.2">
      <c r="B39" t="s">
        <v>93</v>
      </c>
      <c r="C39" s="12">
        <v>41</v>
      </c>
      <c r="D39" s="8">
        <v>1.82</v>
      </c>
      <c r="E39" s="12">
        <v>31</v>
      </c>
      <c r="F39" s="8">
        <v>2.33</v>
      </c>
      <c r="G39" s="12">
        <v>10</v>
      </c>
      <c r="H39" s="8">
        <v>1.1000000000000001</v>
      </c>
      <c r="I39" s="12">
        <v>0</v>
      </c>
    </row>
    <row r="40" spans="2:9" ht="15" customHeight="1" x14ac:dyDescent="0.2">
      <c r="B40" t="s">
        <v>71</v>
      </c>
      <c r="C40" s="12">
        <v>36</v>
      </c>
      <c r="D40" s="8">
        <v>1.6</v>
      </c>
      <c r="E40" s="12">
        <v>19</v>
      </c>
      <c r="F40" s="8">
        <v>1.43</v>
      </c>
      <c r="G40" s="12">
        <v>17</v>
      </c>
      <c r="H40" s="8">
        <v>1.87</v>
      </c>
      <c r="I40" s="12">
        <v>0</v>
      </c>
    </row>
    <row r="41" spans="2:9" ht="15" customHeight="1" x14ac:dyDescent="0.2">
      <c r="B41" t="s">
        <v>97</v>
      </c>
      <c r="C41" s="12">
        <v>34</v>
      </c>
      <c r="D41" s="8">
        <v>1.51</v>
      </c>
      <c r="E41" s="12">
        <v>1</v>
      </c>
      <c r="F41" s="8">
        <v>0.08</v>
      </c>
      <c r="G41" s="12">
        <v>31</v>
      </c>
      <c r="H41" s="8">
        <v>3.4</v>
      </c>
      <c r="I41" s="12">
        <v>2</v>
      </c>
    </row>
    <row r="42" spans="2:9" ht="15" customHeight="1" x14ac:dyDescent="0.2">
      <c r="B42" t="s">
        <v>91</v>
      </c>
      <c r="C42" s="12">
        <v>30</v>
      </c>
      <c r="D42" s="8">
        <v>1.33</v>
      </c>
      <c r="E42" s="12">
        <v>13</v>
      </c>
      <c r="F42" s="8">
        <v>0.98</v>
      </c>
      <c r="G42" s="12">
        <v>15</v>
      </c>
      <c r="H42" s="8">
        <v>1.65</v>
      </c>
      <c r="I42" s="12">
        <v>2</v>
      </c>
    </row>
    <row r="43" spans="2:9" ht="15" customHeight="1" x14ac:dyDescent="0.2">
      <c r="B43" t="s">
        <v>95</v>
      </c>
      <c r="C43" s="12">
        <v>28</v>
      </c>
      <c r="D43" s="8">
        <v>1.24</v>
      </c>
      <c r="E43" s="12">
        <v>16</v>
      </c>
      <c r="F43" s="8">
        <v>1.2</v>
      </c>
      <c r="G43" s="12">
        <v>12</v>
      </c>
      <c r="H43" s="8">
        <v>1.32</v>
      </c>
      <c r="I43" s="12">
        <v>0</v>
      </c>
    </row>
    <row r="46" spans="2:9" ht="33" customHeight="1" x14ac:dyDescent="0.2">
      <c r="B46" t="s">
        <v>234</v>
      </c>
      <c r="C46" s="10" t="s">
        <v>59</v>
      </c>
      <c r="D46" s="10" t="s">
        <v>60</v>
      </c>
      <c r="E46" s="10" t="s">
        <v>61</v>
      </c>
      <c r="F46" s="10" t="s">
        <v>62</v>
      </c>
      <c r="G46" s="10" t="s">
        <v>63</v>
      </c>
      <c r="H46" s="10" t="s">
        <v>64</v>
      </c>
      <c r="I46" s="10" t="s">
        <v>65</v>
      </c>
    </row>
    <row r="47" spans="2:9" ht="15" customHeight="1" x14ac:dyDescent="0.2">
      <c r="B47" t="s">
        <v>138</v>
      </c>
      <c r="C47" s="12">
        <v>112</v>
      </c>
      <c r="D47" s="8">
        <v>4.96</v>
      </c>
      <c r="E47" s="12">
        <v>97</v>
      </c>
      <c r="F47" s="8">
        <v>7.3</v>
      </c>
      <c r="G47" s="12">
        <v>15</v>
      </c>
      <c r="H47" s="8">
        <v>1.65</v>
      </c>
      <c r="I47" s="12">
        <v>0</v>
      </c>
    </row>
    <row r="48" spans="2:9" ht="15" customHeight="1" x14ac:dyDescent="0.2">
      <c r="B48" t="s">
        <v>136</v>
      </c>
      <c r="C48" s="12">
        <v>110</v>
      </c>
      <c r="D48" s="8">
        <v>4.88</v>
      </c>
      <c r="E48" s="12">
        <v>103</v>
      </c>
      <c r="F48" s="8">
        <v>7.75</v>
      </c>
      <c r="G48" s="12">
        <v>6</v>
      </c>
      <c r="H48" s="8">
        <v>0.66</v>
      </c>
      <c r="I48" s="12">
        <v>1</v>
      </c>
    </row>
    <row r="49" spans="2:9" ht="15" customHeight="1" x14ac:dyDescent="0.2">
      <c r="B49" t="s">
        <v>124</v>
      </c>
      <c r="C49" s="12">
        <v>76</v>
      </c>
      <c r="D49" s="8">
        <v>3.37</v>
      </c>
      <c r="E49" s="12">
        <v>54</v>
      </c>
      <c r="F49" s="8">
        <v>4.0599999999999996</v>
      </c>
      <c r="G49" s="12">
        <v>22</v>
      </c>
      <c r="H49" s="8">
        <v>2.41</v>
      </c>
      <c r="I49" s="12">
        <v>0</v>
      </c>
    </row>
    <row r="50" spans="2:9" ht="15" customHeight="1" x14ac:dyDescent="0.2">
      <c r="B50" t="s">
        <v>140</v>
      </c>
      <c r="C50" s="12">
        <v>70</v>
      </c>
      <c r="D50" s="8">
        <v>3.1</v>
      </c>
      <c r="E50" s="12">
        <v>68</v>
      </c>
      <c r="F50" s="8">
        <v>5.12</v>
      </c>
      <c r="G50" s="12">
        <v>2</v>
      </c>
      <c r="H50" s="8">
        <v>0.22</v>
      </c>
      <c r="I50" s="12">
        <v>0</v>
      </c>
    </row>
    <row r="51" spans="2:9" ht="15" customHeight="1" x14ac:dyDescent="0.2">
      <c r="B51" t="s">
        <v>122</v>
      </c>
      <c r="C51" s="12">
        <v>67</v>
      </c>
      <c r="D51" s="8">
        <v>2.97</v>
      </c>
      <c r="E51" s="12">
        <v>18</v>
      </c>
      <c r="F51" s="8">
        <v>1.35</v>
      </c>
      <c r="G51" s="12">
        <v>49</v>
      </c>
      <c r="H51" s="8">
        <v>5.38</v>
      </c>
      <c r="I51" s="12">
        <v>0</v>
      </c>
    </row>
    <row r="52" spans="2:9" ht="15" customHeight="1" x14ac:dyDescent="0.2">
      <c r="B52" t="s">
        <v>137</v>
      </c>
      <c r="C52" s="12">
        <v>60</v>
      </c>
      <c r="D52" s="8">
        <v>2.66</v>
      </c>
      <c r="E52" s="12">
        <v>59</v>
      </c>
      <c r="F52" s="8">
        <v>4.4400000000000004</v>
      </c>
      <c r="G52" s="12">
        <v>1</v>
      </c>
      <c r="H52" s="8">
        <v>0.11</v>
      </c>
      <c r="I52" s="12">
        <v>0</v>
      </c>
    </row>
    <row r="53" spans="2:9" ht="15" customHeight="1" x14ac:dyDescent="0.2">
      <c r="B53" t="s">
        <v>134</v>
      </c>
      <c r="C53" s="12">
        <v>52</v>
      </c>
      <c r="D53" s="8">
        <v>2.2999999999999998</v>
      </c>
      <c r="E53" s="12">
        <v>45</v>
      </c>
      <c r="F53" s="8">
        <v>3.39</v>
      </c>
      <c r="G53" s="12">
        <v>7</v>
      </c>
      <c r="H53" s="8">
        <v>0.77</v>
      </c>
      <c r="I53" s="12">
        <v>0</v>
      </c>
    </row>
    <row r="54" spans="2:9" ht="15" customHeight="1" x14ac:dyDescent="0.2">
      <c r="B54" t="s">
        <v>125</v>
      </c>
      <c r="C54" s="12">
        <v>43</v>
      </c>
      <c r="D54" s="8">
        <v>1.91</v>
      </c>
      <c r="E54" s="12">
        <v>19</v>
      </c>
      <c r="F54" s="8">
        <v>1.43</v>
      </c>
      <c r="G54" s="12">
        <v>24</v>
      </c>
      <c r="H54" s="8">
        <v>2.63</v>
      </c>
      <c r="I54" s="12">
        <v>0</v>
      </c>
    </row>
    <row r="55" spans="2:9" ht="15" customHeight="1" x14ac:dyDescent="0.2">
      <c r="B55" t="s">
        <v>128</v>
      </c>
      <c r="C55" s="12">
        <v>43</v>
      </c>
      <c r="D55" s="8">
        <v>1.91</v>
      </c>
      <c r="E55" s="12">
        <v>23</v>
      </c>
      <c r="F55" s="8">
        <v>1.73</v>
      </c>
      <c r="G55" s="12">
        <v>20</v>
      </c>
      <c r="H55" s="8">
        <v>2.2000000000000002</v>
      </c>
      <c r="I55" s="12">
        <v>0</v>
      </c>
    </row>
    <row r="56" spans="2:9" ht="15" customHeight="1" x14ac:dyDescent="0.2">
      <c r="B56" t="s">
        <v>148</v>
      </c>
      <c r="C56" s="12">
        <v>40</v>
      </c>
      <c r="D56" s="8">
        <v>1.77</v>
      </c>
      <c r="E56" s="12">
        <v>28</v>
      </c>
      <c r="F56" s="8">
        <v>2.11</v>
      </c>
      <c r="G56" s="12">
        <v>11</v>
      </c>
      <c r="H56" s="8">
        <v>1.21</v>
      </c>
      <c r="I56" s="12">
        <v>1</v>
      </c>
    </row>
    <row r="57" spans="2:9" ht="15" customHeight="1" x14ac:dyDescent="0.2">
      <c r="B57" t="s">
        <v>130</v>
      </c>
      <c r="C57" s="12">
        <v>37</v>
      </c>
      <c r="D57" s="8">
        <v>1.64</v>
      </c>
      <c r="E57" s="12">
        <v>25</v>
      </c>
      <c r="F57" s="8">
        <v>1.88</v>
      </c>
      <c r="G57" s="12">
        <v>12</v>
      </c>
      <c r="H57" s="8">
        <v>1.32</v>
      </c>
      <c r="I57" s="12">
        <v>0</v>
      </c>
    </row>
    <row r="58" spans="2:9" ht="15" customHeight="1" x14ac:dyDescent="0.2">
      <c r="B58" t="s">
        <v>133</v>
      </c>
      <c r="C58" s="12">
        <v>35</v>
      </c>
      <c r="D58" s="8">
        <v>1.55</v>
      </c>
      <c r="E58" s="12">
        <v>15</v>
      </c>
      <c r="F58" s="8">
        <v>1.1299999999999999</v>
      </c>
      <c r="G58" s="12">
        <v>18</v>
      </c>
      <c r="H58" s="8">
        <v>1.98</v>
      </c>
      <c r="I58" s="12">
        <v>0</v>
      </c>
    </row>
    <row r="59" spans="2:9" ht="15" customHeight="1" x14ac:dyDescent="0.2">
      <c r="B59" t="s">
        <v>147</v>
      </c>
      <c r="C59" s="12">
        <v>34</v>
      </c>
      <c r="D59" s="8">
        <v>1.51</v>
      </c>
      <c r="E59" s="12">
        <v>31</v>
      </c>
      <c r="F59" s="8">
        <v>2.33</v>
      </c>
      <c r="G59" s="12">
        <v>3</v>
      </c>
      <c r="H59" s="8">
        <v>0.33</v>
      </c>
      <c r="I59" s="12">
        <v>0</v>
      </c>
    </row>
    <row r="60" spans="2:9" ht="15" customHeight="1" x14ac:dyDescent="0.2">
      <c r="B60" t="s">
        <v>135</v>
      </c>
      <c r="C60" s="12">
        <v>34</v>
      </c>
      <c r="D60" s="8">
        <v>1.51</v>
      </c>
      <c r="E60" s="12">
        <v>32</v>
      </c>
      <c r="F60" s="8">
        <v>2.41</v>
      </c>
      <c r="G60" s="12">
        <v>2</v>
      </c>
      <c r="H60" s="8">
        <v>0.22</v>
      </c>
      <c r="I60" s="12">
        <v>0</v>
      </c>
    </row>
    <row r="61" spans="2:9" ht="15" customHeight="1" x14ac:dyDescent="0.2">
      <c r="B61" t="s">
        <v>139</v>
      </c>
      <c r="C61" s="12">
        <v>34</v>
      </c>
      <c r="D61" s="8">
        <v>1.51</v>
      </c>
      <c r="E61" s="12">
        <v>28</v>
      </c>
      <c r="F61" s="8">
        <v>2.11</v>
      </c>
      <c r="G61" s="12">
        <v>6</v>
      </c>
      <c r="H61" s="8">
        <v>0.66</v>
      </c>
      <c r="I61" s="12">
        <v>0</v>
      </c>
    </row>
    <row r="62" spans="2:9" ht="15" customHeight="1" x14ac:dyDescent="0.2">
      <c r="B62" t="s">
        <v>129</v>
      </c>
      <c r="C62" s="12">
        <v>30</v>
      </c>
      <c r="D62" s="8">
        <v>1.33</v>
      </c>
      <c r="E62" s="12">
        <v>9</v>
      </c>
      <c r="F62" s="8">
        <v>0.68</v>
      </c>
      <c r="G62" s="12">
        <v>21</v>
      </c>
      <c r="H62" s="8">
        <v>2.31</v>
      </c>
      <c r="I62" s="12">
        <v>0</v>
      </c>
    </row>
    <row r="63" spans="2:9" ht="15" customHeight="1" x14ac:dyDescent="0.2">
      <c r="B63" t="s">
        <v>132</v>
      </c>
      <c r="C63" s="12">
        <v>29</v>
      </c>
      <c r="D63" s="8">
        <v>1.29</v>
      </c>
      <c r="E63" s="12">
        <v>18</v>
      </c>
      <c r="F63" s="8">
        <v>1.35</v>
      </c>
      <c r="G63" s="12">
        <v>10</v>
      </c>
      <c r="H63" s="8">
        <v>1.1000000000000001</v>
      </c>
      <c r="I63" s="12">
        <v>0</v>
      </c>
    </row>
    <row r="64" spans="2:9" ht="15" customHeight="1" x14ac:dyDescent="0.2">
      <c r="B64" t="s">
        <v>123</v>
      </c>
      <c r="C64" s="12">
        <v>28</v>
      </c>
      <c r="D64" s="8">
        <v>1.24</v>
      </c>
      <c r="E64" s="12">
        <v>11</v>
      </c>
      <c r="F64" s="8">
        <v>0.83</v>
      </c>
      <c r="G64" s="12">
        <v>17</v>
      </c>
      <c r="H64" s="8">
        <v>1.87</v>
      </c>
      <c r="I64" s="12">
        <v>0</v>
      </c>
    </row>
    <row r="65" spans="2:9" ht="15" customHeight="1" x14ac:dyDescent="0.2">
      <c r="B65" t="s">
        <v>157</v>
      </c>
      <c r="C65" s="12">
        <v>28</v>
      </c>
      <c r="D65" s="8">
        <v>1.24</v>
      </c>
      <c r="E65" s="12">
        <v>15</v>
      </c>
      <c r="F65" s="8">
        <v>1.1299999999999999</v>
      </c>
      <c r="G65" s="12">
        <v>13</v>
      </c>
      <c r="H65" s="8">
        <v>1.43</v>
      </c>
      <c r="I65" s="12">
        <v>0</v>
      </c>
    </row>
    <row r="66" spans="2:9" ht="15" customHeight="1" x14ac:dyDescent="0.2">
      <c r="B66" t="s">
        <v>127</v>
      </c>
      <c r="C66" s="12">
        <v>28</v>
      </c>
      <c r="D66" s="8">
        <v>1.24</v>
      </c>
      <c r="E66" s="12">
        <v>21</v>
      </c>
      <c r="F66" s="8">
        <v>1.58</v>
      </c>
      <c r="G66" s="12">
        <v>7</v>
      </c>
      <c r="H66" s="8">
        <v>0.77</v>
      </c>
      <c r="I66" s="12">
        <v>0</v>
      </c>
    </row>
    <row r="68" spans="2:9" ht="15" customHeight="1" x14ac:dyDescent="0.2">
      <c r="B68" t="s">
        <v>235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C5C94-D19D-4E8F-8D43-CBA60CC868C8}">
  <sheetPr>
    <pageSetUpPr fitToPage="1"/>
  </sheetPr>
  <dimension ref="B2:I71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242</v>
      </c>
    </row>
    <row r="4" spans="2:9" ht="33" customHeight="1" x14ac:dyDescent="0.2">
      <c r="B4" t="s">
        <v>231</v>
      </c>
      <c r="C4" s="10" t="s">
        <v>59</v>
      </c>
      <c r="D4" s="10" t="s">
        <v>60</v>
      </c>
      <c r="E4" s="10" t="s">
        <v>61</v>
      </c>
      <c r="F4" s="10" t="s">
        <v>62</v>
      </c>
      <c r="G4" s="10" t="s">
        <v>63</v>
      </c>
      <c r="H4" s="10" t="s">
        <v>64</v>
      </c>
      <c r="I4" s="10" t="s">
        <v>65</v>
      </c>
    </row>
    <row r="5" spans="2:9" ht="15" customHeight="1" x14ac:dyDescent="0.2">
      <c r="B5" t="s">
        <v>43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44</v>
      </c>
      <c r="C6" s="12">
        <v>107</v>
      </c>
      <c r="D6" s="8">
        <v>13.72</v>
      </c>
      <c r="E6" s="12">
        <v>53</v>
      </c>
      <c r="F6" s="8">
        <v>11.42</v>
      </c>
      <c r="G6" s="12">
        <v>54</v>
      </c>
      <c r="H6" s="8">
        <v>17.7</v>
      </c>
      <c r="I6" s="12">
        <v>0</v>
      </c>
    </row>
    <row r="7" spans="2:9" ht="15" customHeight="1" x14ac:dyDescent="0.2">
      <c r="B7" t="s">
        <v>45</v>
      </c>
      <c r="C7" s="12">
        <v>223</v>
      </c>
      <c r="D7" s="8">
        <v>28.59</v>
      </c>
      <c r="E7" s="12">
        <v>115</v>
      </c>
      <c r="F7" s="8">
        <v>24.78</v>
      </c>
      <c r="G7" s="12">
        <v>108</v>
      </c>
      <c r="H7" s="8">
        <v>35.409999999999997</v>
      </c>
      <c r="I7" s="12">
        <v>0</v>
      </c>
    </row>
    <row r="8" spans="2:9" ht="15" customHeight="1" x14ac:dyDescent="0.2">
      <c r="B8" t="s">
        <v>46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47</v>
      </c>
      <c r="C9" s="12">
        <v>2</v>
      </c>
      <c r="D9" s="8">
        <v>0.26</v>
      </c>
      <c r="E9" s="12">
        <v>0</v>
      </c>
      <c r="F9" s="8">
        <v>0</v>
      </c>
      <c r="G9" s="12">
        <v>2</v>
      </c>
      <c r="H9" s="8">
        <v>0.66</v>
      </c>
      <c r="I9" s="12">
        <v>0</v>
      </c>
    </row>
    <row r="10" spans="2:9" ht="15" customHeight="1" x14ac:dyDescent="0.2">
      <c r="B10" t="s">
        <v>48</v>
      </c>
      <c r="C10" s="12">
        <v>2</v>
      </c>
      <c r="D10" s="8">
        <v>0.26</v>
      </c>
      <c r="E10" s="12">
        <v>1</v>
      </c>
      <c r="F10" s="8">
        <v>0.22</v>
      </c>
      <c r="G10" s="12">
        <v>1</v>
      </c>
      <c r="H10" s="8">
        <v>0.33</v>
      </c>
      <c r="I10" s="12">
        <v>0</v>
      </c>
    </row>
    <row r="11" spans="2:9" ht="15" customHeight="1" x14ac:dyDescent="0.2">
      <c r="B11" t="s">
        <v>49</v>
      </c>
      <c r="C11" s="12">
        <v>177</v>
      </c>
      <c r="D11" s="8">
        <v>22.69</v>
      </c>
      <c r="E11" s="12">
        <v>99</v>
      </c>
      <c r="F11" s="8">
        <v>21.34</v>
      </c>
      <c r="G11" s="12">
        <v>78</v>
      </c>
      <c r="H11" s="8">
        <v>25.57</v>
      </c>
      <c r="I11" s="12">
        <v>0</v>
      </c>
    </row>
    <row r="12" spans="2:9" ht="15" customHeight="1" x14ac:dyDescent="0.2">
      <c r="B12" t="s">
        <v>50</v>
      </c>
      <c r="C12" s="12">
        <v>6</v>
      </c>
      <c r="D12" s="8">
        <v>0.77</v>
      </c>
      <c r="E12" s="12">
        <v>2</v>
      </c>
      <c r="F12" s="8">
        <v>0.43</v>
      </c>
      <c r="G12" s="12">
        <v>4</v>
      </c>
      <c r="H12" s="8">
        <v>1.31</v>
      </c>
      <c r="I12" s="12">
        <v>0</v>
      </c>
    </row>
    <row r="13" spans="2:9" ht="15" customHeight="1" x14ac:dyDescent="0.2">
      <c r="B13" t="s">
        <v>51</v>
      </c>
      <c r="C13" s="12">
        <v>36</v>
      </c>
      <c r="D13" s="8">
        <v>4.62</v>
      </c>
      <c r="E13" s="12">
        <v>21</v>
      </c>
      <c r="F13" s="8">
        <v>4.53</v>
      </c>
      <c r="G13" s="12">
        <v>14</v>
      </c>
      <c r="H13" s="8">
        <v>4.59</v>
      </c>
      <c r="I13" s="12">
        <v>0</v>
      </c>
    </row>
    <row r="14" spans="2:9" ht="15" customHeight="1" x14ac:dyDescent="0.2">
      <c r="B14" t="s">
        <v>52</v>
      </c>
      <c r="C14" s="12">
        <v>30</v>
      </c>
      <c r="D14" s="8">
        <v>3.85</v>
      </c>
      <c r="E14" s="12">
        <v>17</v>
      </c>
      <c r="F14" s="8">
        <v>3.66</v>
      </c>
      <c r="G14" s="12">
        <v>13</v>
      </c>
      <c r="H14" s="8">
        <v>4.26</v>
      </c>
      <c r="I14" s="12">
        <v>0</v>
      </c>
    </row>
    <row r="15" spans="2:9" ht="15" customHeight="1" x14ac:dyDescent="0.2">
      <c r="B15" t="s">
        <v>53</v>
      </c>
      <c r="C15" s="12">
        <v>75</v>
      </c>
      <c r="D15" s="8">
        <v>9.6199999999999992</v>
      </c>
      <c r="E15" s="12">
        <v>66</v>
      </c>
      <c r="F15" s="8">
        <v>14.22</v>
      </c>
      <c r="G15" s="12">
        <v>8</v>
      </c>
      <c r="H15" s="8">
        <v>2.62</v>
      </c>
      <c r="I15" s="12">
        <v>0</v>
      </c>
    </row>
    <row r="16" spans="2:9" ht="15" customHeight="1" x14ac:dyDescent="0.2">
      <c r="B16" t="s">
        <v>54</v>
      </c>
      <c r="C16" s="12">
        <v>65</v>
      </c>
      <c r="D16" s="8">
        <v>8.33</v>
      </c>
      <c r="E16" s="12">
        <v>52</v>
      </c>
      <c r="F16" s="8">
        <v>11.21</v>
      </c>
      <c r="G16" s="12">
        <v>12</v>
      </c>
      <c r="H16" s="8">
        <v>3.93</v>
      </c>
      <c r="I16" s="12">
        <v>0</v>
      </c>
    </row>
    <row r="17" spans="2:9" ht="15" customHeight="1" x14ac:dyDescent="0.2">
      <c r="B17" t="s">
        <v>55</v>
      </c>
      <c r="C17" s="12">
        <v>22</v>
      </c>
      <c r="D17" s="8">
        <v>2.82</v>
      </c>
      <c r="E17" s="12">
        <v>17</v>
      </c>
      <c r="F17" s="8">
        <v>3.66</v>
      </c>
      <c r="G17" s="12">
        <v>3</v>
      </c>
      <c r="H17" s="8">
        <v>0.98</v>
      </c>
      <c r="I17" s="12">
        <v>0</v>
      </c>
    </row>
    <row r="18" spans="2:9" ht="15" customHeight="1" x14ac:dyDescent="0.2">
      <c r="B18" t="s">
        <v>56</v>
      </c>
      <c r="C18" s="12">
        <v>19</v>
      </c>
      <c r="D18" s="8">
        <v>2.44</v>
      </c>
      <c r="E18" s="12">
        <v>12</v>
      </c>
      <c r="F18" s="8">
        <v>2.59</v>
      </c>
      <c r="G18" s="12">
        <v>3</v>
      </c>
      <c r="H18" s="8">
        <v>0.98</v>
      </c>
      <c r="I18" s="12">
        <v>0</v>
      </c>
    </row>
    <row r="19" spans="2:9" ht="15" customHeight="1" x14ac:dyDescent="0.2">
      <c r="B19" t="s">
        <v>57</v>
      </c>
      <c r="C19" s="12">
        <v>16</v>
      </c>
      <c r="D19" s="8">
        <v>2.0499999999999998</v>
      </c>
      <c r="E19" s="12">
        <v>9</v>
      </c>
      <c r="F19" s="8">
        <v>1.94</v>
      </c>
      <c r="G19" s="12">
        <v>5</v>
      </c>
      <c r="H19" s="8">
        <v>1.64</v>
      </c>
      <c r="I19" s="12">
        <v>1</v>
      </c>
    </row>
    <row r="20" spans="2:9" ht="15" customHeight="1" x14ac:dyDescent="0.2">
      <c r="B20" s="9" t="s">
        <v>232</v>
      </c>
      <c r="C20" s="12">
        <f>SUM(LTBL_21207[総数／事業所数])</f>
        <v>780</v>
      </c>
      <c r="E20" s="12">
        <f>SUBTOTAL(109,LTBL_21207[個人／事業所数])</f>
        <v>464</v>
      </c>
      <c r="G20" s="12">
        <f>SUBTOTAL(109,LTBL_21207[法人／事業所数])</f>
        <v>305</v>
      </c>
      <c r="I20" s="12">
        <f>SUBTOTAL(109,LTBL_21207[法人以外の団体／事業所数])</f>
        <v>1</v>
      </c>
    </row>
    <row r="21" spans="2:9" ht="15" customHeight="1" x14ac:dyDescent="0.2">
      <c r="E21" s="11">
        <f>LTBL_21207[[#Totals],[個人／事業所数]]/LTBL_21207[[#Totals],[総数／事業所数]]</f>
        <v>0.59487179487179487</v>
      </c>
      <c r="G21" s="11">
        <f>LTBL_21207[[#Totals],[法人／事業所数]]/LTBL_21207[[#Totals],[総数／事業所数]]</f>
        <v>0.39102564102564102</v>
      </c>
      <c r="I21" s="11">
        <f>LTBL_21207[[#Totals],[法人以外の団体／事業所数]]/LTBL_21207[[#Totals],[総数／事業所数]]</f>
        <v>1.2820512820512821E-3</v>
      </c>
    </row>
    <row r="23" spans="2:9" ht="33" customHeight="1" x14ac:dyDescent="0.2">
      <c r="B23" t="s">
        <v>233</v>
      </c>
      <c r="C23" s="10" t="s">
        <v>59</v>
      </c>
      <c r="D23" s="10" t="s">
        <v>60</v>
      </c>
      <c r="E23" s="10" t="s">
        <v>61</v>
      </c>
      <c r="F23" s="10" t="s">
        <v>62</v>
      </c>
      <c r="G23" s="10" t="s">
        <v>63</v>
      </c>
      <c r="H23" s="10" t="s">
        <v>64</v>
      </c>
      <c r="I23" s="10" t="s">
        <v>65</v>
      </c>
    </row>
    <row r="24" spans="2:9" ht="15" customHeight="1" x14ac:dyDescent="0.2">
      <c r="B24" t="s">
        <v>77</v>
      </c>
      <c r="C24" s="12">
        <v>65</v>
      </c>
      <c r="D24" s="8">
        <v>8.33</v>
      </c>
      <c r="E24" s="12">
        <v>37</v>
      </c>
      <c r="F24" s="8">
        <v>7.97</v>
      </c>
      <c r="G24" s="12">
        <v>28</v>
      </c>
      <c r="H24" s="8">
        <v>9.18</v>
      </c>
      <c r="I24" s="12">
        <v>0</v>
      </c>
    </row>
    <row r="25" spans="2:9" ht="15" customHeight="1" x14ac:dyDescent="0.2">
      <c r="B25" t="s">
        <v>81</v>
      </c>
      <c r="C25" s="12">
        <v>62</v>
      </c>
      <c r="D25" s="8">
        <v>7.95</v>
      </c>
      <c r="E25" s="12">
        <v>58</v>
      </c>
      <c r="F25" s="8">
        <v>12.5</v>
      </c>
      <c r="G25" s="12">
        <v>4</v>
      </c>
      <c r="H25" s="8">
        <v>1.31</v>
      </c>
      <c r="I25" s="12">
        <v>0</v>
      </c>
    </row>
    <row r="26" spans="2:9" ht="15" customHeight="1" x14ac:dyDescent="0.2">
      <c r="B26" t="s">
        <v>82</v>
      </c>
      <c r="C26" s="12">
        <v>56</v>
      </c>
      <c r="D26" s="8">
        <v>7.18</v>
      </c>
      <c r="E26" s="12">
        <v>48</v>
      </c>
      <c r="F26" s="8">
        <v>10.34</v>
      </c>
      <c r="G26" s="12">
        <v>8</v>
      </c>
      <c r="H26" s="8">
        <v>2.62</v>
      </c>
      <c r="I26" s="12">
        <v>0</v>
      </c>
    </row>
    <row r="27" spans="2:9" ht="15" customHeight="1" x14ac:dyDescent="0.2">
      <c r="B27" t="s">
        <v>66</v>
      </c>
      <c r="C27" s="12">
        <v>48</v>
      </c>
      <c r="D27" s="8">
        <v>6.15</v>
      </c>
      <c r="E27" s="12">
        <v>23</v>
      </c>
      <c r="F27" s="8">
        <v>4.96</v>
      </c>
      <c r="G27" s="12">
        <v>25</v>
      </c>
      <c r="H27" s="8">
        <v>8.1999999999999993</v>
      </c>
      <c r="I27" s="12">
        <v>0</v>
      </c>
    </row>
    <row r="28" spans="2:9" ht="15" customHeight="1" x14ac:dyDescent="0.2">
      <c r="B28" t="s">
        <v>98</v>
      </c>
      <c r="C28" s="12">
        <v>43</v>
      </c>
      <c r="D28" s="8">
        <v>5.51</v>
      </c>
      <c r="E28" s="12">
        <v>20</v>
      </c>
      <c r="F28" s="8">
        <v>4.3099999999999996</v>
      </c>
      <c r="G28" s="12">
        <v>23</v>
      </c>
      <c r="H28" s="8">
        <v>7.54</v>
      </c>
      <c r="I28" s="12">
        <v>0</v>
      </c>
    </row>
    <row r="29" spans="2:9" ht="15" customHeight="1" x14ac:dyDescent="0.2">
      <c r="B29" t="s">
        <v>71</v>
      </c>
      <c r="C29" s="12">
        <v>38</v>
      </c>
      <c r="D29" s="8">
        <v>4.87</v>
      </c>
      <c r="E29" s="12">
        <v>24</v>
      </c>
      <c r="F29" s="8">
        <v>5.17</v>
      </c>
      <c r="G29" s="12">
        <v>14</v>
      </c>
      <c r="H29" s="8">
        <v>4.59</v>
      </c>
      <c r="I29" s="12">
        <v>0</v>
      </c>
    </row>
    <row r="30" spans="2:9" ht="15" customHeight="1" x14ac:dyDescent="0.2">
      <c r="B30" t="s">
        <v>67</v>
      </c>
      <c r="C30" s="12">
        <v>35</v>
      </c>
      <c r="D30" s="8">
        <v>4.49</v>
      </c>
      <c r="E30" s="12">
        <v>20</v>
      </c>
      <c r="F30" s="8">
        <v>4.3099999999999996</v>
      </c>
      <c r="G30" s="12">
        <v>15</v>
      </c>
      <c r="H30" s="8">
        <v>4.92</v>
      </c>
      <c r="I30" s="12">
        <v>0</v>
      </c>
    </row>
    <row r="31" spans="2:9" ht="15" customHeight="1" x14ac:dyDescent="0.2">
      <c r="B31" t="s">
        <v>75</v>
      </c>
      <c r="C31" s="12">
        <v>32</v>
      </c>
      <c r="D31" s="8">
        <v>4.0999999999999996</v>
      </c>
      <c r="E31" s="12">
        <v>25</v>
      </c>
      <c r="F31" s="8">
        <v>5.39</v>
      </c>
      <c r="G31" s="12">
        <v>7</v>
      </c>
      <c r="H31" s="8">
        <v>2.2999999999999998</v>
      </c>
      <c r="I31" s="12">
        <v>0</v>
      </c>
    </row>
    <row r="32" spans="2:9" ht="15" customHeight="1" x14ac:dyDescent="0.2">
      <c r="B32" t="s">
        <v>78</v>
      </c>
      <c r="C32" s="12">
        <v>31</v>
      </c>
      <c r="D32" s="8">
        <v>3.97</v>
      </c>
      <c r="E32" s="12">
        <v>19</v>
      </c>
      <c r="F32" s="8">
        <v>4.09</v>
      </c>
      <c r="G32" s="12">
        <v>11</v>
      </c>
      <c r="H32" s="8">
        <v>3.61</v>
      </c>
      <c r="I32" s="12">
        <v>0</v>
      </c>
    </row>
    <row r="33" spans="2:9" ht="15" customHeight="1" x14ac:dyDescent="0.2">
      <c r="B33" t="s">
        <v>99</v>
      </c>
      <c r="C33" s="12">
        <v>27</v>
      </c>
      <c r="D33" s="8">
        <v>3.46</v>
      </c>
      <c r="E33" s="12">
        <v>13</v>
      </c>
      <c r="F33" s="8">
        <v>2.8</v>
      </c>
      <c r="G33" s="12">
        <v>14</v>
      </c>
      <c r="H33" s="8">
        <v>4.59</v>
      </c>
      <c r="I33" s="12">
        <v>0</v>
      </c>
    </row>
    <row r="34" spans="2:9" ht="15" customHeight="1" x14ac:dyDescent="0.2">
      <c r="B34" t="s">
        <v>68</v>
      </c>
      <c r="C34" s="12">
        <v>24</v>
      </c>
      <c r="D34" s="8">
        <v>3.08</v>
      </c>
      <c r="E34" s="12">
        <v>10</v>
      </c>
      <c r="F34" s="8">
        <v>2.16</v>
      </c>
      <c r="G34" s="12">
        <v>14</v>
      </c>
      <c r="H34" s="8">
        <v>4.59</v>
      </c>
      <c r="I34" s="12">
        <v>0</v>
      </c>
    </row>
    <row r="35" spans="2:9" ht="15" customHeight="1" x14ac:dyDescent="0.2">
      <c r="B35" t="s">
        <v>83</v>
      </c>
      <c r="C35" s="12">
        <v>22</v>
      </c>
      <c r="D35" s="8">
        <v>2.82</v>
      </c>
      <c r="E35" s="12">
        <v>17</v>
      </c>
      <c r="F35" s="8">
        <v>3.66</v>
      </c>
      <c r="G35" s="12">
        <v>3</v>
      </c>
      <c r="H35" s="8">
        <v>0.98</v>
      </c>
      <c r="I35" s="12">
        <v>0</v>
      </c>
    </row>
    <row r="36" spans="2:9" ht="15" customHeight="1" x14ac:dyDescent="0.2">
      <c r="B36" t="s">
        <v>76</v>
      </c>
      <c r="C36" s="12">
        <v>21</v>
      </c>
      <c r="D36" s="8">
        <v>2.69</v>
      </c>
      <c r="E36" s="12">
        <v>12</v>
      </c>
      <c r="F36" s="8">
        <v>2.59</v>
      </c>
      <c r="G36" s="12">
        <v>9</v>
      </c>
      <c r="H36" s="8">
        <v>2.95</v>
      </c>
      <c r="I36" s="12">
        <v>0</v>
      </c>
    </row>
    <row r="37" spans="2:9" ht="15" customHeight="1" x14ac:dyDescent="0.2">
      <c r="B37" t="s">
        <v>80</v>
      </c>
      <c r="C37" s="12">
        <v>19</v>
      </c>
      <c r="D37" s="8">
        <v>2.44</v>
      </c>
      <c r="E37" s="12">
        <v>8</v>
      </c>
      <c r="F37" s="8">
        <v>1.72</v>
      </c>
      <c r="G37" s="12">
        <v>11</v>
      </c>
      <c r="H37" s="8">
        <v>3.61</v>
      </c>
      <c r="I37" s="12">
        <v>0</v>
      </c>
    </row>
    <row r="38" spans="2:9" ht="15" customHeight="1" x14ac:dyDescent="0.2">
      <c r="B38" t="s">
        <v>74</v>
      </c>
      <c r="C38" s="12">
        <v>16</v>
      </c>
      <c r="D38" s="8">
        <v>2.0499999999999998</v>
      </c>
      <c r="E38" s="12">
        <v>9</v>
      </c>
      <c r="F38" s="8">
        <v>1.94</v>
      </c>
      <c r="G38" s="12">
        <v>7</v>
      </c>
      <c r="H38" s="8">
        <v>2.2999999999999998</v>
      </c>
      <c r="I38" s="12">
        <v>0</v>
      </c>
    </row>
    <row r="39" spans="2:9" ht="15" customHeight="1" x14ac:dyDescent="0.2">
      <c r="B39" t="s">
        <v>72</v>
      </c>
      <c r="C39" s="12">
        <v>15</v>
      </c>
      <c r="D39" s="8">
        <v>1.92</v>
      </c>
      <c r="E39" s="12">
        <v>7</v>
      </c>
      <c r="F39" s="8">
        <v>1.51</v>
      </c>
      <c r="G39" s="12">
        <v>8</v>
      </c>
      <c r="H39" s="8">
        <v>2.62</v>
      </c>
      <c r="I39" s="12">
        <v>0</v>
      </c>
    </row>
    <row r="40" spans="2:9" ht="15" customHeight="1" x14ac:dyDescent="0.2">
      <c r="B40" t="s">
        <v>96</v>
      </c>
      <c r="C40" s="12">
        <v>14</v>
      </c>
      <c r="D40" s="8">
        <v>1.79</v>
      </c>
      <c r="E40" s="12">
        <v>5</v>
      </c>
      <c r="F40" s="8">
        <v>1.08</v>
      </c>
      <c r="G40" s="12">
        <v>9</v>
      </c>
      <c r="H40" s="8">
        <v>2.95</v>
      </c>
      <c r="I40" s="12">
        <v>0</v>
      </c>
    </row>
    <row r="41" spans="2:9" ht="15" customHeight="1" x14ac:dyDescent="0.2">
      <c r="B41" t="s">
        <v>69</v>
      </c>
      <c r="C41" s="12">
        <v>13</v>
      </c>
      <c r="D41" s="8">
        <v>1.67</v>
      </c>
      <c r="E41" s="12">
        <v>9</v>
      </c>
      <c r="F41" s="8">
        <v>1.94</v>
      </c>
      <c r="G41" s="12">
        <v>4</v>
      </c>
      <c r="H41" s="8">
        <v>1.31</v>
      </c>
      <c r="I41" s="12">
        <v>0</v>
      </c>
    </row>
    <row r="42" spans="2:9" ht="15" customHeight="1" x14ac:dyDescent="0.2">
      <c r="B42" t="s">
        <v>89</v>
      </c>
      <c r="C42" s="12">
        <v>13</v>
      </c>
      <c r="D42" s="8">
        <v>1.67</v>
      </c>
      <c r="E42" s="12">
        <v>4</v>
      </c>
      <c r="F42" s="8">
        <v>0.86</v>
      </c>
      <c r="G42" s="12">
        <v>9</v>
      </c>
      <c r="H42" s="8">
        <v>2.95</v>
      </c>
      <c r="I42" s="12">
        <v>0</v>
      </c>
    </row>
    <row r="43" spans="2:9" ht="15" customHeight="1" x14ac:dyDescent="0.2">
      <c r="B43" t="s">
        <v>84</v>
      </c>
      <c r="C43" s="12">
        <v>13</v>
      </c>
      <c r="D43" s="8">
        <v>1.67</v>
      </c>
      <c r="E43" s="12">
        <v>11</v>
      </c>
      <c r="F43" s="8">
        <v>2.37</v>
      </c>
      <c r="G43" s="12">
        <v>2</v>
      </c>
      <c r="H43" s="8">
        <v>0.66</v>
      </c>
      <c r="I43" s="12">
        <v>0</v>
      </c>
    </row>
    <row r="46" spans="2:9" ht="33" customHeight="1" x14ac:dyDescent="0.2">
      <c r="B46" t="s">
        <v>234</v>
      </c>
      <c r="C46" s="10" t="s">
        <v>59</v>
      </c>
      <c r="D46" s="10" t="s">
        <v>60</v>
      </c>
      <c r="E46" s="10" t="s">
        <v>61</v>
      </c>
      <c r="F46" s="10" t="s">
        <v>62</v>
      </c>
      <c r="G46" s="10" t="s">
        <v>63</v>
      </c>
      <c r="H46" s="10" t="s">
        <v>64</v>
      </c>
      <c r="I46" s="10" t="s">
        <v>65</v>
      </c>
    </row>
    <row r="47" spans="2:9" ht="15" customHeight="1" x14ac:dyDescent="0.2">
      <c r="B47" t="s">
        <v>138</v>
      </c>
      <c r="C47" s="12">
        <v>30</v>
      </c>
      <c r="D47" s="8">
        <v>3.85</v>
      </c>
      <c r="E47" s="12">
        <v>27</v>
      </c>
      <c r="F47" s="8">
        <v>5.82</v>
      </c>
      <c r="G47" s="12">
        <v>3</v>
      </c>
      <c r="H47" s="8">
        <v>0.98</v>
      </c>
      <c r="I47" s="12">
        <v>0</v>
      </c>
    </row>
    <row r="48" spans="2:9" ht="15" customHeight="1" x14ac:dyDescent="0.2">
      <c r="B48" t="s">
        <v>132</v>
      </c>
      <c r="C48" s="12">
        <v>23</v>
      </c>
      <c r="D48" s="8">
        <v>2.95</v>
      </c>
      <c r="E48" s="12">
        <v>16</v>
      </c>
      <c r="F48" s="8">
        <v>3.45</v>
      </c>
      <c r="G48" s="12">
        <v>6</v>
      </c>
      <c r="H48" s="8">
        <v>1.97</v>
      </c>
      <c r="I48" s="12">
        <v>0</v>
      </c>
    </row>
    <row r="49" spans="2:9" ht="15" customHeight="1" x14ac:dyDescent="0.2">
      <c r="B49" t="s">
        <v>130</v>
      </c>
      <c r="C49" s="12">
        <v>18</v>
      </c>
      <c r="D49" s="8">
        <v>2.31</v>
      </c>
      <c r="E49" s="12">
        <v>12</v>
      </c>
      <c r="F49" s="8">
        <v>2.59</v>
      </c>
      <c r="G49" s="12">
        <v>6</v>
      </c>
      <c r="H49" s="8">
        <v>1.97</v>
      </c>
      <c r="I49" s="12">
        <v>0</v>
      </c>
    </row>
    <row r="50" spans="2:9" ht="15" customHeight="1" x14ac:dyDescent="0.2">
      <c r="B50" t="s">
        <v>122</v>
      </c>
      <c r="C50" s="12">
        <v>17</v>
      </c>
      <c r="D50" s="8">
        <v>2.1800000000000002</v>
      </c>
      <c r="E50" s="12">
        <v>3</v>
      </c>
      <c r="F50" s="8">
        <v>0.65</v>
      </c>
      <c r="G50" s="12">
        <v>14</v>
      </c>
      <c r="H50" s="8">
        <v>4.59</v>
      </c>
      <c r="I50" s="12">
        <v>0</v>
      </c>
    </row>
    <row r="51" spans="2:9" ht="15" customHeight="1" x14ac:dyDescent="0.2">
      <c r="B51" t="s">
        <v>124</v>
      </c>
      <c r="C51" s="12">
        <v>17</v>
      </c>
      <c r="D51" s="8">
        <v>2.1800000000000002</v>
      </c>
      <c r="E51" s="12">
        <v>13</v>
      </c>
      <c r="F51" s="8">
        <v>2.8</v>
      </c>
      <c r="G51" s="12">
        <v>4</v>
      </c>
      <c r="H51" s="8">
        <v>1.31</v>
      </c>
      <c r="I51" s="12">
        <v>0</v>
      </c>
    </row>
    <row r="52" spans="2:9" ht="15" customHeight="1" x14ac:dyDescent="0.2">
      <c r="B52" t="s">
        <v>136</v>
      </c>
      <c r="C52" s="12">
        <v>17</v>
      </c>
      <c r="D52" s="8">
        <v>2.1800000000000002</v>
      </c>
      <c r="E52" s="12">
        <v>15</v>
      </c>
      <c r="F52" s="8">
        <v>3.23</v>
      </c>
      <c r="G52" s="12">
        <v>2</v>
      </c>
      <c r="H52" s="8">
        <v>0.66</v>
      </c>
      <c r="I52" s="12">
        <v>0</v>
      </c>
    </row>
    <row r="53" spans="2:9" ht="15" customHeight="1" x14ac:dyDescent="0.2">
      <c r="B53" t="s">
        <v>137</v>
      </c>
      <c r="C53" s="12">
        <v>17</v>
      </c>
      <c r="D53" s="8">
        <v>2.1800000000000002</v>
      </c>
      <c r="E53" s="12">
        <v>17</v>
      </c>
      <c r="F53" s="8">
        <v>3.66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162</v>
      </c>
      <c r="C54" s="12">
        <v>16</v>
      </c>
      <c r="D54" s="8">
        <v>2.0499999999999998</v>
      </c>
      <c r="E54" s="12">
        <v>11</v>
      </c>
      <c r="F54" s="8">
        <v>2.37</v>
      </c>
      <c r="G54" s="12">
        <v>5</v>
      </c>
      <c r="H54" s="8">
        <v>1.64</v>
      </c>
      <c r="I54" s="12">
        <v>0</v>
      </c>
    </row>
    <row r="55" spans="2:9" ht="15" customHeight="1" x14ac:dyDescent="0.2">
      <c r="B55" t="s">
        <v>134</v>
      </c>
      <c r="C55" s="12">
        <v>16</v>
      </c>
      <c r="D55" s="8">
        <v>2.0499999999999998</v>
      </c>
      <c r="E55" s="12">
        <v>14</v>
      </c>
      <c r="F55" s="8">
        <v>3.02</v>
      </c>
      <c r="G55" s="12">
        <v>2</v>
      </c>
      <c r="H55" s="8">
        <v>0.66</v>
      </c>
      <c r="I55" s="12">
        <v>0</v>
      </c>
    </row>
    <row r="56" spans="2:9" ht="15" customHeight="1" x14ac:dyDescent="0.2">
      <c r="B56" t="s">
        <v>154</v>
      </c>
      <c r="C56" s="12">
        <v>14</v>
      </c>
      <c r="D56" s="8">
        <v>1.79</v>
      </c>
      <c r="E56" s="12">
        <v>10</v>
      </c>
      <c r="F56" s="8">
        <v>2.16</v>
      </c>
      <c r="G56" s="12">
        <v>4</v>
      </c>
      <c r="H56" s="8">
        <v>1.31</v>
      </c>
      <c r="I56" s="12">
        <v>0</v>
      </c>
    </row>
    <row r="57" spans="2:9" ht="15" customHeight="1" x14ac:dyDescent="0.2">
      <c r="B57" t="s">
        <v>148</v>
      </c>
      <c r="C57" s="12">
        <v>14</v>
      </c>
      <c r="D57" s="8">
        <v>1.79</v>
      </c>
      <c r="E57" s="12">
        <v>12</v>
      </c>
      <c r="F57" s="8">
        <v>2.59</v>
      </c>
      <c r="G57" s="12">
        <v>2</v>
      </c>
      <c r="H57" s="8">
        <v>0.66</v>
      </c>
      <c r="I57" s="12">
        <v>0</v>
      </c>
    </row>
    <row r="58" spans="2:9" ht="15" customHeight="1" x14ac:dyDescent="0.2">
      <c r="B58" t="s">
        <v>139</v>
      </c>
      <c r="C58" s="12">
        <v>13</v>
      </c>
      <c r="D58" s="8">
        <v>1.67</v>
      </c>
      <c r="E58" s="12">
        <v>11</v>
      </c>
      <c r="F58" s="8">
        <v>2.37</v>
      </c>
      <c r="G58" s="12">
        <v>2</v>
      </c>
      <c r="H58" s="8">
        <v>0.66</v>
      </c>
      <c r="I58" s="12">
        <v>0</v>
      </c>
    </row>
    <row r="59" spans="2:9" ht="15" customHeight="1" x14ac:dyDescent="0.2">
      <c r="B59" t="s">
        <v>159</v>
      </c>
      <c r="C59" s="12">
        <v>11</v>
      </c>
      <c r="D59" s="8">
        <v>1.41</v>
      </c>
      <c r="E59" s="12">
        <v>9</v>
      </c>
      <c r="F59" s="8">
        <v>1.94</v>
      </c>
      <c r="G59" s="12">
        <v>2</v>
      </c>
      <c r="H59" s="8">
        <v>0.66</v>
      </c>
      <c r="I59" s="12">
        <v>0</v>
      </c>
    </row>
    <row r="60" spans="2:9" ht="15" customHeight="1" x14ac:dyDescent="0.2">
      <c r="B60" t="s">
        <v>133</v>
      </c>
      <c r="C60" s="12">
        <v>11</v>
      </c>
      <c r="D60" s="8">
        <v>1.41</v>
      </c>
      <c r="E60" s="12">
        <v>5</v>
      </c>
      <c r="F60" s="8">
        <v>1.08</v>
      </c>
      <c r="G60" s="12">
        <v>6</v>
      </c>
      <c r="H60" s="8">
        <v>1.97</v>
      </c>
      <c r="I60" s="12">
        <v>0</v>
      </c>
    </row>
    <row r="61" spans="2:9" ht="15" customHeight="1" x14ac:dyDescent="0.2">
      <c r="B61" t="s">
        <v>125</v>
      </c>
      <c r="C61" s="12">
        <v>10</v>
      </c>
      <c r="D61" s="8">
        <v>1.28</v>
      </c>
      <c r="E61" s="12">
        <v>5</v>
      </c>
      <c r="F61" s="8">
        <v>1.08</v>
      </c>
      <c r="G61" s="12">
        <v>5</v>
      </c>
      <c r="H61" s="8">
        <v>1.64</v>
      </c>
      <c r="I61" s="12">
        <v>0</v>
      </c>
    </row>
    <row r="62" spans="2:9" ht="15" customHeight="1" x14ac:dyDescent="0.2">
      <c r="B62" t="s">
        <v>158</v>
      </c>
      <c r="C62" s="12">
        <v>10</v>
      </c>
      <c r="D62" s="8">
        <v>1.28</v>
      </c>
      <c r="E62" s="12">
        <v>4</v>
      </c>
      <c r="F62" s="8">
        <v>0.86</v>
      </c>
      <c r="G62" s="12">
        <v>6</v>
      </c>
      <c r="H62" s="8">
        <v>1.97</v>
      </c>
      <c r="I62" s="12">
        <v>0</v>
      </c>
    </row>
    <row r="63" spans="2:9" ht="15" customHeight="1" x14ac:dyDescent="0.2">
      <c r="B63" t="s">
        <v>160</v>
      </c>
      <c r="C63" s="12">
        <v>10</v>
      </c>
      <c r="D63" s="8">
        <v>1.28</v>
      </c>
      <c r="E63" s="12">
        <v>6</v>
      </c>
      <c r="F63" s="8">
        <v>1.29</v>
      </c>
      <c r="G63" s="12">
        <v>4</v>
      </c>
      <c r="H63" s="8">
        <v>1.31</v>
      </c>
      <c r="I63" s="12">
        <v>0</v>
      </c>
    </row>
    <row r="64" spans="2:9" ht="15" customHeight="1" x14ac:dyDescent="0.2">
      <c r="B64" t="s">
        <v>161</v>
      </c>
      <c r="C64" s="12">
        <v>10</v>
      </c>
      <c r="D64" s="8">
        <v>1.28</v>
      </c>
      <c r="E64" s="12">
        <v>5</v>
      </c>
      <c r="F64" s="8">
        <v>1.08</v>
      </c>
      <c r="G64" s="12">
        <v>5</v>
      </c>
      <c r="H64" s="8">
        <v>1.64</v>
      </c>
      <c r="I64" s="12">
        <v>0</v>
      </c>
    </row>
    <row r="65" spans="2:9" ht="15" customHeight="1" x14ac:dyDescent="0.2">
      <c r="B65" t="s">
        <v>128</v>
      </c>
      <c r="C65" s="12">
        <v>10</v>
      </c>
      <c r="D65" s="8">
        <v>1.28</v>
      </c>
      <c r="E65" s="12">
        <v>5</v>
      </c>
      <c r="F65" s="8">
        <v>1.08</v>
      </c>
      <c r="G65" s="12">
        <v>5</v>
      </c>
      <c r="H65" s="8">
        <v>1.64</v>
      </c>
      <c r="I65" s="12">
        <v>0</v>
      </c>
    </row>
    <row r="66" spans="2:9" ht="15" customHeight="1" x14ac:dyDescent="0.2">
      <c r="B66" t="s">
        <v>163</v>
      </c>
      <c r="C66" s="12">
        <v>10</v>
      </c>
      <c r="D66" s="8">
        <v>1.28</v>
      </c>
      <c r="E66" s="12">
        <v>6</v>
      </c>
      <c r="F66" s="8">
        <v>1.29</v>
      </c>
      <c r="G66" s="12">
        <v>4</v>
      </c>
      <c r="H66" s="8">
        <v>1.31</v>
      </c>
      <c r="I66" s="12">
        <v>0</v>
      </c>
    </row>
    <row r="67" spans="2:9" ht="15" customHeight="1" x14ac:dyDescent="0.2">
      <c r="B67" t="s">
        <v>164</v>
      </c>
      <c r="C67" s="12">
        <v>10</v>
      </c>
      <c r="D67" s="8">
        <v>1.28</v>
      </c>
      <c r="E67" s="12">
        <v>4</v>
      </c>
      <c r="F67" s="8">
        <v>0.86</v>
      </c>
      <c r="G67" s="12">
        <v>6</v>
      </c>
      <c r="H67" s="8">
        <v>1.97</v>
      </c>
      <c r="I67" s="12">
        <v>0</v>
      </c>
    </row>
    <row r="68" spans="2:9" ht="15" customHeight="1" x14ac:dyDescent="0.2">
      <c r="B68" t="s">
        <v>135</v>
      </c>
      <c r="C68" s="12">
        <v>10</v>
      </c>
      <c r="D68" s="8">
        <v>1.28</v>
      </c>
      <c r="E68" s="12">
        <v>10</v>
      </c>
      <c r="F68" s="8">
        <v>2.16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140</v>
      </c>
      <c r="C69" s="12">
        <v>10</v>
      </c>
      <c r="D69" s="8">
        <v>1.28</v>
      </c>
      <c r="E69" s="12">
        <v>9</v>
      </c>
      <c r="F69" s="8">
        <v>1.94</v>
      </c>
      <c r="G69" s="12">
        <v>1</v>
      </c>
      <c r="H69" s="8">
        <v>0.33</v>
      </c>
      <c r="I69" s="12">
        <v>0</v>
      </c>
    </row>
    <row r="71" spans="2:9" ht="15" customHeight="1" x14ac:dyDescent="0.2">
      <c r="B71" t="s">
        <v>235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3F339-AF2A-4EF1-8A2D-D5B5E05BDDF4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243</v>
      </c>
    </row>
    <row r="4" spans="2:9" ht="33" customHeight="1" x14ac:dyDescent="0.2">
      <c r="B4" t="s">
        <v>231</v>
      </c>
      <c r="C4" s="10" t="s">
        <v>59</v>
      </c>
      <c r="D4" s="10" t="s">
        <v>60</v>
      </c>
      <c r="E4" s="10" t="s">
        <v>61</v>
      </c>
      <c r="F4" s="10" t="s">
        <v>62</v>
      </c>
      <c r="G4" s="10" t="s">
        <v>63</v>
      </c>
      <c r="H4" s="10" t="s">
        <v>64</v>
      </c>
      <c r="I4" s="10" t="s">
        <v>65</v>
      </c>
    </row>
    <row r="5" spans="2:9" ht="15" customHeight="1" x14ac:dyDescent="0.2">
      <c r="B5" t="s">
        <v>43</v>
      </c>
      <c r="C5" s="12">
        <v>3</v>
      </c>
      <c r="D5" s="8">
        <v>0.28000000000000003</v>
      </c>
      <c r="E5" s="12">
        <v>3</v>
      </c>
      <c r="F5" s="8">
        <v>0.48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44</v>
      </c>
      <c r="C6" s="12">
        <v>158</v>
      </c>
      <c r="D6" s="8">
        <v>14.6</v>
      </c>
      <c r="E6" s="12">
        <v>73</v>
      </c>
      <c r="F6" s="8">
        <v>11.79</v>
      </c>
      <c r="G6" s="12">
        <v>85</v>
      </c>
      <c r="H6" s="8">
        <v>19.27</v>
      </c>
      <c r="I6" s="12">
        <v>0</v>
      </c>
    </row>
    <row r="7" spans="2:9" ht="15" customHeight="1" x14ac:dyDescent="0.2">
      <c r="B7" t="s">
        <v>45</v>
      </c>
      <c r="C7" s="12">
        <v>166</v>
      </c>
      <c r="D7" s="8">
        <v>15.34</v>
      </c>
      <c r="E7" s="12">
        <v>68</v>
      </c>
      <c r="F7" s="8">
        <v>10.99</v>
      </c>
      <c r="G7" s="12">
        <v>98</v>
      </c>
      <c r="H7" s="8">
        <v>22.22</v>
      </c>
      <c r="I7" s="12">
        <v>0</v>
      </c>
    </row>
    <row r="8" spans="2:9" ht="15" customHeight="1" x14ac:dyDescent="0.2">
      <c r="B8" t="s">
        <v>46</v>
      </c>
      <c r="C8" s="12">
        <v>4</v>
      </c>
      <c r="D8" s="8">
        <v>0.37</v>
      </c>
      <c r="E8" s="12">
        <v>0</v>
      </c>
      <c r="F8" s="8">
        <v>0</v>
      </c>
      <c r="G8" s="12">
        <v>4</v>
      </c>
      <c r="H8" s="8">
        <v>0.91</v>
      </c>
      <c r="I8" s="12">
        <v>0</v>
      </c>
    </row>
    <row r="9" spans="2:9" ht="15" customHeight="1" x14ac:dyDescent="0.2">
      <c r="B9" t="s">
        <v>47</v>
      </c>
      <c r="C9" s="12">
        <v>7</v>
      </c>
      <c r="D9" s="8">
        <v>0.65</v>
      </c>
      <c r="E9" s="12">
        <v>4</v>
      </c>
      <c r="F9" s="8">
        <v>0.65</v>
      </c>
      <c r="G9" s="12">
        <v>3</v>
      </c>
      <c r="H9" s="8">
        <v>0.68</v>
      </c>
      <c r="I9" s="12">
        <v>0</v>
      </c>
    </row>
    <row r="10" spans="2:9" ht="15" customHeight="1" x14ac:dyDescent="0.2">
      <c r="B10" t="s">
        <v>48</v>
      </c>
      <c r="C10" s="12">
        <v>9</v>
      </c>
      <c r="D10" s="8">
        <v>0.83</v>
      </c>
      <c r="E10" s="12">
        <v>4</v>
      </c>
      <c r="F10" s="8">
        <v>0.65</v>
      </c>
      <c r="G10" s="12">
        <v>5</v>
      </c>
      <c r="H10" s="8">
        <v>1.1299999999999999</v>
      </c>
      <c r="I10" s="12">
        <v>0</v>
      </c>
    </row>
    <row r="11" spans="2:9" ht="15" customHeight="1" x14ac:dyDescent="0.2">
      <c r="B11" t="s">
        <v>49</v>
      </c>
      <c r="C11" s="12">
        <v>242</v>
      </c>
      <c r="D11" s="8">
        <v>22.37</v>
      </c>
      <c r="E11" s="12">
        <v>138</v>
      </c>
      <c r="F11" s="8">
        <v>22.29</v>
      </c>
      <c r="G11" s="12">
        <v>102</v>
      </c>
      <c r="H11" s="8">
        <v>23.13</v>
      </c>
      <c r="I11" s="12">
        <v>2</v>
      </c>
    </row>
    <row r="12" spans="2:9" ht="15" customHeight="1" x14ac:dyDescent="0.2">
      <c r="B12" t="s">
        <v>50</v>
      </c>
      <c r="C12" s="12">
        <v>3</v>
      </c>
      <c r="D12" s="8">
        <v>0.28000000000000003</v>
      </c>
      <c r="E12" s="12">
        <v>0</v>
      </c>
      <c r="F12" s="8">
        <v>0</v>
      </c>
      <c r="G12" s="12">
        <v>3</v>
      </c>
      <c r="H12" s="8">
        <v>0.68</v>
      </c>
      <c r="I12" s="12">
        <v>0</v>
      </c>
    </row>
    <row r="13" spans="2:9" ht="15" customHeight="1" x14ac:dyDescent="0.2">
      <c r="B13" t="s">
        <v>51</v>
      </c>
      <c r="C13" s="12">
        <v>46</v>
      </c>
      <c r="D13" s="8">
        <v>4.25</v>
      </c>
      <c r="E13" s="12">
        <v>17</v>
      </c>
      <c r="F13" s="8">
        <v>2.75</v>
      </c>
      <c r="G13" s="12">
        <v>27</v>
      </c>
      <c r="H13" s="8">
        <v>6.12</v>
      </c>
      <c r="I13" s="12">
        <v>0</v>
      </c>
    </row>
    <row r="14" spans="2:9" ht="15" customHeight="1" x14ac:dyDescent="0.2">
      <c r="B14" t="s">
        <v>52</v>
      </c>
      <c r="C14" s="12">
        <v>51</v>
      </c>
      <c r="D14" s="8">
        <v>4.71</v>
      </c>
      <c r="E14" s="12">
        <v>35</v>
      </c>
      <c r="F14" s="8">
        <v>5.65</v>
      </c>
      <c r="G14" s="12">
        <v>13</v>
      </c>
      <c r="H14" s="8">
        <v>2.95</v>
      </c>
      <c r="I14" s="12">
        <v>0</v>
      </c>
    </row>
    <row r="15" spans="2:9" ht="15" customHeight="1" x14ac:dyDescent="0.2">
      <c r="B15" t="s">
        <v>53</v>
      </c>
      <c r="C15" s="12">
        <v>149</v>
      </c>
      <c r="D15" s="8">
        <v>13.77</v>
      </c>
      <c r="E15" s="12">
        <v>113</v>
      </c>
      <c r="F15" s="8">
        <v>18.260000000000002</v>
      </c>
      <c r="G15" s="12">
        <v>35</v>
      </c>
      <c r="H15" s="8">
        <v>7.94</v>
      </c>
      <c r="I15" s="12">
        <v>0</v>
      </c>
    </row>
    <row r="16" spans="2:9" ht="15" customHeight="1" x14ac:dyDescent="0.2">
      <c r="B16" t="s">
        <v>54</v>
      </c>
      <c r="C16" s="12">
        <v>116</v>
      </c>
      <c r="D16" s="8">
        <v>10.72</v>
      </c>
      <c r="E16" s="12">
        <v>88</v>
      </c>
      <c r="F16" s="8">
        <v>14.22</v>
      </c>
      <c r="G16" s="12">
        <v>27</v>
      </c>
      <c r="H16" s="8">
        <v>6.12</v>
      </c>
      <c r="I16" s="12">
        <v>0</v>
      </c>
    </row>
    <row r="17" spans="2:9" ht="15" customHeight="1" x14ac:dyDescent="0.2">
      <c r="B17" t="s">
        <v>55</v>
      </c>
      <c r="C17" s="12">
        <v>38</v>
      </c>
      <c r="D17" s="8">
        <v>3.51</v>
      </c>
      <c r="E17" s="12">
        <v>22</v>
      </c>
      <c r="F17" s="8">
        <v>3.55</v>
      </c>
      <c r="G17" s="12">
        <v>10</v>
      </c>
      <c r="H17" s="8">
        <v>2.27</v>
      </c>
      <c r="I17" s="12">
        <v>2</v>
      </c>
    </row>
    <row r="18" spans="2:9" ht="15" customHeight="1" x14ac:dyDescent="0.2">
      <c r="B18" t="s">
        <v>56</v>
      </c>
      <c r="C18" s="12">
        <v>54</v>
      </c>
      <c r="D18" s="8">
        <v>4.99</v>
      </c>
      <c r="E18" s="12">
        <v>35</v>
      </c>
      <c r="F18" s="8">
        <v>5.65</v>
      </c>
      <c r="G18" s="12">
        <v>14</v>
      </c>
      <c r="H18" s="8">
        <v>3.17</v>
      </c>
      <c r="I18" s="12">
        <v>1</v>
      </c>
    </row>
    <row r="19" spans="2:9" ht="15" customHeight="1" x14ac:dyDescent="0.2">
      <c r="B19" t="s">
        <v>57</v>
      </c>
      <c r="C19" s="12">
        <v>36</v>
      </c>
      <c r="D19" s="8">
        <v>3.33</v>
      </c>
      <c r="E19" s="12">
        <v>19</v>
      </c>
      <c r="F19" s="8">
        <v>3.07</v>
      </c>
      <c r="G19" s="12">
        <v>15</v>
      </c>
      <c r="H19" s="8">
        <v>3.4</v>
      </c>
      <c r="I19" s="12">
        <v>0</v>
      </c>
    </row>
    <row r="20" spans="2:9" ht="15" customHeight="1" x14ac:dyDescent="0.2">
      <c r="B20" s="9" t="s">
        <v>232</v>
      </c>
      <c r="C20" s="12">
        <f>SUM(LTBL_21208[総数／事業所数])</f>
        <v>1082</v>
      </c>
      <c r="E20" s="12">
        <f>SUBTOTAL(109,LTBL_21208[個人／事業所数])</f>
        <v>619</v>
      </c>
      <c r="G20" s="12">
        <f>SUBTOTAL(109,LTBL_21208[法人／事業所数])</f>
        <v>441</v>
      </c>
      <c r="I20" s="12">
        <f>SUBTOTAL(109,LTBL_21208[法人以外の団体／事業所数])</f>
        <v>5</v>
      </c>
    </row>
    <row r="21" spans="2:9" ht="15" customHeight="1" x14ac:dyDescent="0.2">
      <c r="E21" s="11">
        <f>LTBL_21208[[#Totals],[個人／事業所数]]/LTBL_21208[[#Totals],[総数／事業所数]]</f>
        <v>0.57208872458410354</v>
      </c>
      <c r="G21" s="11">
        <f>LTBL_21208[[#Totals],[法人／事業所数]]/LTBL_21208[[#Totals],[総数／事業所数]]</f>
        <v>0.40757855822550831</v>
      </c>
      <c r="I21" s="11">
        <f>LTBL_21208[[#Totals],[法人以外の団体／事業所数]]/LTBL_21208[[#Totals],[総数／事業所数]]</f>
        <v>4.6210720887245845E-3</v>
      </c>
    </row>
    <row r="23" spans="2:9" ht="33" customHeight="1" x14ac:dyDescent="0.2">
      <c r="B23" t="s">
        <v>233</v>
      </c>
      <c r="C23" s="10" t="s">
        <v>59</v>
      </c>
      <c r="D23" s="10" t="s">
        <v>60</v>
      </c>
      <c r="E23" s="10" t="s">
        <v>61</v>
      </c>
      <c r="F23" s="10" t="s">
        <v>62</v>
      </c>
      <c r="G23" s="10" t="s">
        <v>63</v>
      </c>
      <c r="H23" s="10" t="s">
        <v>64</v>
      </c>
      <c r="I23" s="10" t="s">
        <v>65</v>
      </c>
    </row>
    <row r="24" spans="2:9" ht="15" customHeight="1" x14ac:dyDescent="0.2">
      <c r="B24" t="s">
        <v>81</v>
      </c>
      <c r="C24" s="12">
        <v>130</v>
      </c>
      <c r="D24" s="8">
        <v>12.01</v>
      </c>
      <c r="E24" s="12">
        <v>108</v>
      </c>
      <c r="F24" s="8">
        <v>17.45</v>
      </c>
      <c r="G24" s="12">
        <v>22</v>
      </c>
      <c r="H24" s="8">
        <v>4.99</v>
      </c>
      <c r="I24" s="12">
        <v>0</v>
      </c>
    </row>
    <row r="25" spans="2:9" ht="15" customHeight="1" x14ac:dyDescent="0.2">
      <c r="B25" t="s">
        <v>82</v>
      </c>
      <c r="C25" s="12">
        <v>99</v>
      </c>
      <c r="D25" s="8">
        <v>9.15</v>
      </c>
      <c r="E25" s="12">
        <v>82</v>
      </c>
      <c r="F25" s="8">
        <v>13.25</v>
      </c>
      <c r="G25" s="12">
        <v>17</v>
      </c>
      <c r="H25" s="8">
        <v>3.85</v>
      </c>
      <c r="I25" s="12">
        <v>0</v>
      </c>
    </row>
    <row r="26" spans="2:9" ht="15" customHeight="1" x14ac:dyDescent="0.2">
      <c r="B26" t="s">
        <v>70</v>
      </c>
      <c r="C26" s="12">
        <v>90</v>
      </c>
      <c r="D26" s="8">
        <v>8.32</v>
      </c>
      <c r="E26" s="12">
        <v>32</v>
      </c>
      <c r="F26" s="8">
        <v>5.17</v>
      </c>
      <c r="G26" s="12">
        <v>58</v>
      </c>
      <c r="H26" s="8">
        <v>13.15</v>
      </c>
      <c r="I26" s="12">
        <v>0</v>
      </c>
    </row>
    <row r="27" spans="2:9" ht="15" customHeight="1" x14ac:dyDescent="0.2">
      <c r="B27" t="s">
        <v>77</v>
      </c>
      <c r="C27" s="12">
        <v>77</v>
      </c>
      <c r="D27" s="8">
        <v>7.12</v>
      </c>
      <c r="E27" s="12">
        <v>43</v>
      </c>
      <c r="F27" s="8">
        <v>6.95</v>
      </c>
      <c r="G27" s="12">
        <v>33</v>
      </c>
      <c r="H27" s="8">
        <v>7.48</v>
      </c>
      <c r="I27" s="12">
        <v>1</v>
      </c>
    </row>
    <row r="28" spans="2:9" ht="15" customHeight="1" x14ac:dyDescent="0.2">
      <c r="B28" t="s">
        <v>66</v>
      </c>
      <c r="C28" s="12">
        <v>74</v>
      </c>
      <c r="D28" s="8">
        <v>6.84</v>
      </c>
      <c r="E28" s="12">
        <v>30</v>
      </c>
      <c r="F28" s="8">
        <v>4.8499999999999996</v>
      </c>
      <c r="G28" s="12">
        <v>44</v>
      </c>
      <c r="H28" s="8">
        <v>9.98</v>
      </c>
      <c r="I28" s="12">
        <v>0</v>
      </c>
    </row>
    <row r="29" spans="2:9" ht="15" customHeight="1" x14ac:dyDescent="0.2">
      <c r="B29" t="s">
        <v>67</v>
      </c>
      <c r="C29" s="12">
        <v>54</v>
      </c>
      <c r="D29" s="8">
        <v>4.99</v>
      </c>
      <c r="E29" s="12">
        <v>29</v>
      </c>
      <c r="F29" s="8">
        <v>4.68</v>
      </c>
      <c r="G29" s="12">
        <v>25</v>
      </c>
      <c r="H29" s="8">
        <v>5.67</v>
      </c>
      <c r="I29" s="12">
        <v>0</v>
      </c>
    </row>
    <row r="30" spans="2:9" ht="15" customHeight="1" x14ac:dyDescent="0.2">
      <c r="B30" t="s">
        <v>75</v>
      </c>
      <c r="C30" s="12">
        <v>51</v>
      </c>
      <c r="D30" s="8">
        <v>4.71</v>
      </c>
      <c r="E30" s="12">
        <v>36</v>
      </c>
      <c r="F30" s="8">
        <v>5.82</v>
      </c>
      <c r="G30" s="12">
        <v>15</v>
      </c>
      <c r="H30" s="8">
        <v>3.4</v>
      </c>
      <c r="I30" s="12">
        <v>0</v>
      </c>
    </row>
    <row r="31" spans="2:9" ht="15" customHeight="1" x14ac:dyDescent="0.2">
      <c r="B31" t="s">
        <v>78</v>
      </c>
      <c r="C31" s="12">
        <v>39</v>
      </c>
      <c r="D31" s="8">
        <v>3.6</v>
      </c>
      <c r="E31" s="12">
        <v>16</v>
      </c>
      <c r="F31" s="8">
        <v>2.58</v>
      </c>
      <c r="G31" s="12">
        <v>21</v>
      </c>
      <c r="H31" s="8">
        <v>4.76</v>
      </c>
      <c r="I31" s="12">
        <v>0</v>
      </c>
    </row>
    <row r="32" spans="2:9" ht="15" customHeight="1" x14ac:dyDescent="0.2">
      <c r="B32" t="s">
        <v>83</v>
      </c>
      <c r="C32" s="12">
        <v>38</v>
      </c>
      <c r="D32" s="8">
        <v>3.51</v>
      </c>
      <c r="E32" s="12">
        <v>22</v>
      </c>
      <c r="F32" s="8">
        <v>3.55</v>
      </c>
      <c r="G32" s="12">
        <v>10</v>
      </c>
      <c r="H32" s="8">
        <v>2.27</v>
      </c>
      <c r="I32" s="12">
        <v>2</v>
      </c>
    </row>
    <row r="33" spans="2:9" ht="15" customHeight="1" x14ac:dyDescent="0.2">
      <c r="B33" t="s">
        <v>84</v>
      </c>
      <c r="C33" s="12">
        <v>36</v>
      </c>
      <c r="D33" s="8">
        <v>3.33</v>
      </c>
      <c r="E33" s="12">
        <v>35</v>
      </c>
      <c r="F33" s="8">
        <v>5.65</v>
      </c>
      <c r="G33" s="12">
        <v>1</v>
      </c>
      <c r="H33" s="8">
        <v>0.23</v>
      </c>
      <c r="I33" s="12">
        <v>0</v>
      </c>
    </row>
    <row r="34" spans="2:9" ht="15" customHeight="1" x14ac:dyDescent="0.2">
      <c r="B34" t="s">
        <v>76</v>
      </c>
      <c r="C34" s="12">
        <v>31</v>
      </c>
      <c r="D34" s="8">
        <v>2.87</v>
      </c>
      <c r="E34" s="12">
        <v>20</v>
      </c>
      <c r="F34" s="8">
        <v>3.23</v>
      </c>
      <c r="G34" s="12">
        <v>11</v>
      </c>
      <c r="H34" s="8">
        <v>2.4900000000000002</v>
      </c>
      <c r="I34" s="12">
        <v>0</v>
      </c>
    </row>
    <row r="35" spans="2:9" ht="15" customHeight="1" x14ac:dyDescent="0.2">
      <c r="B35" t="s">
        <v>68</v>
      </c>
      <c r="C35" s="12">
        <v>30</v>
      </c>
      <c r="D35" s="8">
        <v>2.77</v>
      </c>
      <c r="E35" s="12">
        <v>14</v>
      </c>
      <c r="F35" s="8">
        <v>2.2599999999999998</v>
      </c>
      <c r="G35" s="12">
        <v>16</v>
      </c>
      <c r="H35" s="8">
        <v>3.63</v>
      </c>
      <c r="I35" s="12">
        <v>0</v>
      </c>
    </row>
    <row r="36" spans="2:9" ht="15" customHeight="1" x14ac:dyDescent="0.2">
      <c r="B36" t="s">
        <v>73</v>
      </c>
      <c r="C36" s="12">
        <v>30</v>
      </c>
      <c r="D36" s="8">
        <v>2.77</v>
      </c>
      <c r="E36" s="12">
        <v>13</v>
      </c>
      <c r="F36" s="8">
        <v>2.1</v>
      </c>
      <c r="G36" s="12">
        <v>16</v>
      </c>
      <c r="H36" s="8">
        <v>3.63</v>
      </c>
      <c r="I36" s="12">
        <v>1</v>
      </c>
    </row>
    <row r="37" spans="2:9" ht="15" customHeight="1" x14ac:dyDescent="0.2">
      <c r="B37" t="s">
        <v>79</v>
      </c>
      <c r="C37" s="12">
        <v>29</v>
      </c>
      <c r="D37" s="8">
        <v>2.68</v>
      </c>
      <c r="E37" s="12">
        <v>23</v>
      </c>
      <c r="F37" s="8">
        <v>3.72</v>
      </c>
      <c r="G37" s="12">
        <v>6</v>
      </c>
      <c r="H37" s="8">
        <v>1.36</v>
      </c>
      <c r="I37" s="12">
        <v>0</v>
      </c>
    </row>
    <row r="38" spans="2:9" ht="15" customHeight="1" x14ac:dyDescent="0.2">
      <c r="B38" t="s">
        <v>74</v>
      </c>
      <c r="C38" s="12">
        <v>21</v>
      </c>
      <c r="D38" s="8">
        <v>1.94</v>
      </c>
      <c r="E38" s="12">
        <v>16</v>
      </c>
      <c r="F38" s="8">
        <v>2.58</v>
      </c>
      <c r="G38" s="12">
        <v>5</v>
      </c>
      <c r="H38" s="8">
        <v>1.1299999999999999</v>
      </c>
      <c r="I38" s="12">
        <v>0</v>
      </c>
    </row>
    <row r="39" spans="2:9" ht="15" customHeight="1" x14ac:dyDescent="0.2">
      <c r="B39" t="s">
        <v>80</v>
      </c>
      <c r="C39" s="12">
        <v>19</v>
      </c>
      <c r="D39" s="8">
        <v>1.76</v>
      </c>
      <c r="E39" s="12">
        <v>12</v>
      </c>
      <c r="F39" s="8">
        <v>1.94</v>
      </c>
      <c r="G39" s="12">
        <v>6</v>
      </c>
      <c r="H39" s="8">
        <v>1.36</v>
      </c>
      <c r="I39" s="12">
        <v>0</v>
      </c>
    </row>
    <row r="40" spans="2:9" ht="15" customHeight="1" x14ac:dyDescent="0.2">
      <c r="B40" t="s">
        <v>85</v>
      </c>
      <c r="C40" s="12">
        <v>19</v>
      </c>
      <c r="D40" s="8">
        <v>1.76</v>
      </c>
      <c r="E40" s="12">
        <v>15</v>
      </c>
      <c r="F40" s="8">
        <v>2.42</v>
      </c>
      <c r="G40" s="12">
        <v>4</v>
      </c>
      <c r="H40" s="8">
        <v>0.91</v>
      </c>
      <c r="I40" s="12">
        <v>0</v>
      </c>
    </row>
    <row r="41" spans="2:9" ht="15" customHeight="1" x14ac:dyDescent="0.2">
      <c r="B41" t="s">
        <v>97</v>
      </c>
      <c r="C41" s="12">
        <v>18</v>
      </c>
      <c r="D41" s="8">
        <v>1.66</v>
      </c>
      <c r="E41" s="12">
        <v>0</v>
      </c>
      <c r="F41" s="8">
        <v>0</v>
      </c>
      <c r="G41" s="12">
        <v>13</v>
      </c>
      <c r="H41" s="8">
        <v>2.95</v>
      </c>
      <c r="I41" s="12">
        <v>1</v>
      </c>
    </row>
    <row r="42" spans="2:9" ht="15" customHeight="1" x14ac:dyDescent="0.2">
      <c r="B42" t="s">
        <v>100</v>
      </c>
      <c r="C42" s="12">
        <v>16</v>
      </c>
      <c r="D42" s="8">
        <v>1.48</v>
      </c>
      <c r="E42" s="12">
        <v>3</v>
      </c>
      <c r="F42" s="8">
        <v>0.48</v>
      </c>
      <c r="G42" s="12">
        <v>12</v>
      </c>
      <c r="H42" s="8">
        <v>2.72</v>
      </c>
      <c r="I42" s="12">
        <v>0</v>
      </c>
    </row>
    <row r="43" spans="2:9" ht="15" customHeight="1" x14ac:dyDescent="0.2">
      <c r="B43" t="s">
        <v>72</v>
      </c>
      <c r="C43" s="12">
        <v>13</v>
      </c>
      <c r="D43" s="8">
        <v>1.2</v>
      </c>
      <c r="E43" s="12">
        <v>8</v>
      </c>
      <c r="F43" s="8">
        <v>1.29</v>
      </c>
      <c r="G43" s="12">
        <v>5</v>
      </c>
      <c r="H43" s="8">
        <v>1.1299999999999999</v>
      </c>
      <c r="I43" s="12">
        <v>0</v>
      </c>
    </row>
    <row r="44" spans="2:9" ht="15" customHeight="1" x14ac:dyDescent="0.2">
      <c r="B44" t="s">
        <v>90</v>
      </c>
      <c r="C44" s="12">
        <v>13</v>
      </c>
      <c r="D44" s="8">
        <v>1.2</v>
      </c>
      <c r="E44" s="12">
        <v>4</v>
      </c>
      <c r="F44" s="8">
        <v>0.65</v>
      </c>
      <c r="G44" s="12">
        <v>8</v>
      </c>
      <c r="H44" s="8">
        <v>1.81</v>
      </c>
      <c r="I44" s="12">
        <v>0</v>
      </c>
    </row>
    <row r="47" spans="2:9" ht="33" customHeight="1" x14ac:dyDescent="0.2">
      <c r="B47" t="s">
        <v>234</v>
      </c>
      <c r="C47" s="10" t="s">
        <v>59</v>
      </c>
      <c r="D47" s="10" t="s">
        <v>60</v>
      </c>
      <c r="E47" s="10" t="s">
        <v>61</v>
      </c>
      <c r="F47" s="10" t="s">
        <v>62</v>
      </c>
      <c r="G47" s="10" t="s">
        <v>63</v>
      </c>
      <c r="H47" s="10" t="s">
        <v>64</v>
      </c>
      <c r="I47" s="10" t="s">
        <v>65</v>
      </c>
    </row>
    <row r="48" spans="2:9" ht="15" customHeight="1" x14ac:dyDescent="0.2">
      <c r="B48" t="s">
        <v>126</v>
      </c>
      <c r="C48" s="12">
        <v>47</v>
      </c>
      <c r="D48" s="8">
        <v>4.34</v>
      </c>
      <c r="E48" s="12">
        <v>20</v>
      </c>
      <c r="F48" s="8">
        <v>3.23</v>
      </c>
      <c r="G48" s="12">
        <v>27</v>
      </c>
      <c r="H48" s="8">
        <v>6.12</v>
      </c>
      <c r="I48" s="12">
        <v>0</v>
      </c>
    </row>
    <row r="49" spans="2:9" ht="15" customHeight="1" x14ac:dyDescent="0.2">
      <c r="B49" t="s">
        <v>136</v>
      </c>
      <c r="C49" s="12">
        <v>46</v>
      </c>
      <c r="D49" s="8">
        <v>4.25</v>
      </c>
      <c r="E49" s="12">
        <v>42</v>
      </c>
      <c r="F49" s="8">
        <v>6.79</v>
      </c>
      <c r="G49" s="12">
        <v>4</v>
      </c>
      <c r="H49" s="8">
        <v>0.91</v>
      </c>
      <c r="I49" s="12">
        <v>0</v>
      </c>
    </row>
    <row r="50" spans="2:9" ht="15" customHeight="1" x14ac:dyDescent="0.2">
      <c r="B50" t="s">
        <v>138</v>
      </c>
      <c r="C50" s="12">
        <v>43</v>
      </c>
      <c r="D50" s="8">
        <v>3.97</v>
      </c>
      <c r="E50" s="12">
        <v>38</v>
      </c>
      <c r="F50" s="8">
        <v>6.14</v>
      </c>
      <c r="G50" s="12">
        <v>5</v>
      </c>
      <c r="H50" s="8">
        <v>1.1299999999999999</v>
      </c>
      <c r="I50" s="12">
        <v>0</v>
      </c>
    </row>
    <row r="51" spans="2:9" ht="15" customHeight="1" x14ac:dyDescent="0.2">
      <c r="B51" t="s">
        <v>137</v>
      </c>
      <c r="C51" s="12">
        <v>36</v>
      </c>
      <c r="D51" s="8">
        <v>3.33</v>
      </c>
      <c r="E51" s="12">
        <v>35</v>
      </c>
      <c r="F51" s="8">
        <v>5.65</v>
      </c>
      <c r="G51" s="12">
        <v>1</v>
      </c>
      <c r="H51" s="8">
        <v>0.23</v>
      </c>
      <c r="I51" s="12">
        <v>0</v>
      </c>
    </row>
    <row r="52" spans="2:9" ht="15" customHeight="1" x14ac:dyDescent="0.2">
      <c r="B52" t="s">
        <v>134</v>
      </c>
      <c r="C52" s="12">
        <v>32</v>
      </c>
      <c r="D52" s="8">
        <v>2.96</v>
      </c>
      <c r="E52" s="12">
        <v>25</v>
      </c>
      <c r="F52" s="8">
        <v>4.04</v>
      </c>
      <c r="G52" s="12">
        <v>7</v>
      </c>
      <c r="H52" s="8">
        <v>1.59</v>
      </c>
      <c r="I52" s="12">
        <v>0</v>
      </c>
    </row>
    <row r="53" spans="2:9" ht="15" customHeight="1" x14ac:dyDescent="0.2">
      <c r="B53" t="s">
        <v>122</v>
      </c>
      <c r="C53" s="12">
        <v>27</v>
      </c>
      <c r="D53" s="8">
        <v>2.5</v>
      </c>
      <c r="E53" s="12">
        <v>7</v>
      </c>
      <c r="F53" s="8">
        <v>1.1299999999999999</v>
      </c>
      <c r="G53" s="12">
        <v>20</v>
      </c>
      <c r="H53" s="8">
        <v>4.54</v>
      </c>
      <c r="I53" s="12">
        <v>0</v>
      </c>
    </row>
    <row r="54" spans="2:9" ht="15" customHeight="1" x14ac:dyDescent="0.2">
      <c r="B54" t="s">
        <v>124</v>
      </c>
      <c r="C54" s="12">
        <v>26</v>
      </c>
      <c r="D54" s="8">
        <v>2.4</v>
      </c>
      <c r="E54" s="12">
        <v>17</v>
      </c>
      <c r="F54" s="8">
        <v>2.75</v>
      </c>
      <c r="G54" s="12">
        <v>9</v>
      </c>
      <c r="H54" s="8">
        <v>2.04</v>
      </c>
      <c r="I54" s="12">
        <v>0</v>
      </c>
    </row>
    <row r="55" spans="2:9" ht="15" customHeight="1" x14ac:dyDescent="0.2">
      <c r="B55" t="s">
        <v>128</v>
      </c>
      <c r="C55" s="12">
        <v>26</v>
      </c>
      <c r="D55" s="8">
        <v>2.4</v>
      </c>
      <c r="E55" s="12">
        <v>16</v>
      </c>
      <c r="F55" s="8">
        <v>2.58</v>
      </c>
      <c r="G55" s="12">
        <v>10</v>
      </c>
      <c r="H55" s="8">
        <v>2.27</v>
      </c>
      <c r="I55" s="12">
        <v>0</v>
      </c>
    </row>
    <row r="56" spans="2:9" ht="15" customHeight="1" x14ac:dyDescent="0.2">
      <c r="B56" t="s">
        <v>132</v>
      </c>
      <c r="C56" s="12">
        <v>26</v>
      </c>
      <c r="D56" s="8">
        <v>2.4</v>
      </c>
      <c r="E56" s="12">
        <v>12</v>
      </c>
      <c r="F56" s="8">
        <v>1.94</v>
      </c>
      <c r="G56" s="12">
        <v>13</v>
      </c>
      <c r="H56" s="8">
        <v>2.95</v>
      </c>
      <c r="I56" s="12">
        <v>0</v>
      </c>
    </row>
    <row r="57" spans="2:9" ht="15" customHeight="1" x14ac:dyDescent="0.2">
      <c r="B57" t="s">
        <v>140</v>
      </c>
      <c r="C57" s="12">
        <v>24</v>
      </c>
      <c r="D57" s="8">
        <v>2.2200000000000002</v>
      </c>
      <c r="E57" s="12">
        <v>24</v>
      </c>
      <c r="F57" s="8">
        <v>3.88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130</v>
      </c>
      <c r="C58" s="12">
        <v>22</v>
      </c>
      <c r="D58" s="8">
        <v>2.0299999999999998</v>
      </c>
      <c r="E58" s="12">
        <v>15</v>
      </c>
      <c r="F58" s="8">
        <v>2.42</v>
      </c>
      <c r="G58" s="12">
        <v>6</v>
      </c>
      <c r="H58" s="8">
        <v>1.36</v>
      </c>
      <c r="I58" s="12">
        <v>1</v>
      </c>
    </row>
    <row r="59" spans="2:9" ht="15" customHeight="1" x14ac:dyDescent="0.2">
      <c r="B59" t="s">
        <v>127</v>
      </c>
      <c r="C59" s="12">
        <v>21</v>
      </c>
      <c r="D59" s="8">
        <v>1.94</v>
      </c>
      <c r="E59" s="12">
        <v>13</v>
      </c>
      <c r="F59" s="8">
        <v>2.1</v>
      </c>
      <c r="G59" s="12">
        <v>8</v>
      </c>
      <c r="H59" s="8">
        <v>1.81</v>
      </c>
      <c r="I59" s="12">
        <v>0</v>
      </c>
    </row>
    <row r="60" spans="2:9" ht="15" customHeight="1" x14ac:dyDescent="0.2">
      <c r="B60" t="s">
        <v>139</v>
      </c>
      <c r="C60" s="12">
        <v>20</v>
      </c>
      <c r="D60" s="8">
        <v>1.85</v>
      </c>
      <c r="E60" s="12">
        <v>14</v>
      </c>
      <c r="F60" s="8">
        <v>2.2599999999999998</v>
      </c>
      <c r="G60" s="12">
        <v>5</v>
      </c>
      <c r="H60" s="8">
        <v>1.1299999999999999</v>
      </c>
      <c r="I60" s="12">
        <v>1</v>
      </c>
    </row>
    <row r="61" spans="2:9" ht="15" customHeight="1" x14ac:dyDescent="0.2">
      <c r="B61" t="s">
        <v>141</v>
      </c>
      <c r="C61" s="12">
        <v>19</v>
      </c>
      <c r="D61" s="8">
        <v>1.76</v>
      </c>
      <c r="E61" s="12">
        <v>15</v>
      </c>
      <c r="F61" s="8">
        <v>2.42</v>
      </c>
      <c r="G61" s="12">
        <v>4</v>
      </c>
      <c r="H61" s="8">
        <v>0.91</v>
      </c>
      <c r="I61" s="12">
        <v>0</v>
      </c>
    </row>
    <row r="62" spans="2:9" ht="15" customHeight="1" x14ac:dyDescent="0.2">
      <c r="B62" t="s">
        <v>166</v>
      </c>
      <c r="C62" s="12">
        <v>18</v>
      </c>
      <c r="D62" s="8">
        <v>1.66</v>
      </c>
      <c r="E62" s="12">
        <v>9</v>
      </c>
      <c r="F62" s="8">
        <v>1.45</v>
      </c>
      <c r="G62" s="12">
        <v>9</v>
      </c>
      <c r="H62" s="8">
        <v>2.04</v>
      </c>
      <c r="I62" s="12">
        <v>0</v>
      </c>
    </row>
    <row r="63" spans="2:9" ht="15" customHeight="1" x14ac:dyDescent="0.2">
      <c r="B63" t="s">
        <v>151</v>
      </c>
      <c r="C63" s="12">
        <v>17</v>
      </c>
      <c r="D63" s="8">
        <v>1.57</v>
      </c>
      <c r="E63" s="12">
        <v>8</v>
      </c>
      <c r="F63" s="8">
        <v>1.29</v>
      </c>
      <c r="G63" s="12">
        <v>9</v>
      </c>
      <c r="H63" s="8">
        <v>2.04</v>
      </c>
      <c r="I63" s="12">
        <v>0</v>
      </c>
    </row>
    <row r="64" spans="2:9" ht="15" customHeight="1" x14ac:dyDescent="0.2">
      <c r="B64" t="s">
        <v>135</v>
      </c>
      <c r="C64" s="12">
        <v>17</v>
      </c>
      <c r="D64" s="8">
        <v>1.57</v>
      </c>
      <c r="E64" s="12">
        <v>16</v>
      </c>
      <c r="F64" s="8">
        <v>2.58</v>
      </c>
      <c r="G64" s="12">
        <v>1</v>
      </c>
      <c r="H64" s="8">
        <v>0.23</v>
      </c>
      <c r="I64" s="12">
        <v>0</v>
      </c>
    </row>
    <row r="65" spans="2:9" ht="15" customHeight="1" x14ac:dyDescent="0.2">
      <c r="B65" t="s">
        <v>165</v>
      </c>
      <c r="C65" s="12">
        <v>16</v>
      </c>
      <c r="D65" s="8">
        <v>1.48</v>
      </c>
      <c r="E65" s="12">
        <v>7</v>
      </c>
      <c r="F65" s="8">
        <v>1.1299999999999999</v>
      </c>
      <c r="G65" s="12">
        <v>9</v>
      </c>
      <c r="H65" s="8">
        <v>2.04</v>
      </c>
      <c r="I65" s="12">
        <v>0</v>
      </c>
    </row>
    <row r="66" spans="2:9" ht="15" customHeight="1" x14ac:dyDescent="0.2">
      <c r="B66" t="s">
        <v>129</v>
      </c>
      <c r="C66" s="12">
        <v>16</v>
      </c>
      <c r="D66" s="8">
        <v>1.48</v>
      </c>
      <c r="E66" s="12">
        <v>5</v>
      </c>
      <c r="F66" s="8">
        <v>0.81</v>
      </c>
      <c r="G66" s="12">
        <v>11</v>
      </c>
      <c r="H66" s="8">
        <v>2.4900000000000002</v>
      </c>
      <c r="I66" s="12">
        <v>0</v>
      </c>
    </row>
    <row r="67" spans="2:9" ht="15" customHeight="1" x14ac:dyDescent="0.2">
      <c r="B67" t="s">
        <v>167</v>
      </c>
      <c r="C67" s="12">
        <v>16</v>
      </c>
      <c r="D67" s="8">
        <v>1.48</v>
      </c>
      <c r="E67" s="12">
        <v>13</v>
      </c>
      <c r="F67" s="8">
        <v>2.1</v>
      </c>
      <c r="G67" s="12">
        <v>3</v>
      </c>
      <c r="H67" s="8">
        <v>0.68</v>
      </c>
      <c r="I67" s="12">
        <v>0</v>
      </c>
    </row>
    <row r="69" spans="2:9" ht="15" customHeight="1" x14ac:dyDescent="0.2">
      <c r="B69" t="s">
        <v>235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C6BC6-DAF6-44AA-AE35-6039692D6D8C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244</v>
      </c>
    </row>
    <row r="4" spans="2:9" ht="33" customHeight="1" x14ac:dyDescent="0.2">
      <c r="B4" t="s">
        <v>231</v>
      </c>
      <c r="C4" s="10" t="s">
        <v>59</v>
      </c>
      <c r="D4" s="10" t="s">
        <v>60</v>
      </c>
      <c r="E4" s="10" t="s">
        <v>61</v>
      </c>
      <c r="F4" s="10" t="s">
        <v>62</v>
      </c>
      <c r="G4" s="10" t="s">
        <v>63</v>
      </c>
      <c r="H4" s="10" t="s">
        <v>64</v>
      </c>
      <c r="I4" s="10" t="s">
        <v>65</v>
      </c>
    </row>
    <row r="5" spans="2:9" ht="15" customHeight="1" x14ac:dyDescent="0.2">
      <c r="B5" t="s">
        <v>43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44</v>
      </c>
      <c r="C6" s="12">
        <v>253</v>
      </c>
      <c r="D6" s="8">
        <v>14.66</v>
      </c>
      <c r="E6" s="12">
        <v>83</v>
      </c>
      <c r="F6" s="8">
        <v>8.7200000000000006</v>
      </c>
      <c r="G6" s="12">
        <v>170</v>
      </c>
      <c r="H6" s="8">
        <v>22.49</v>
      </c>
      <c r="I6" s="12">
        <v>0</v>
      </c>
    </row>
    <row r="7" spans="2:9" ht="15" customHeight="1" x14ac:dyDescent="0.2">
      <c r="B7" t="s">
        <v>45</v>
      </c>
      <c r="C7" s="12">
        <v>386</v>
      </c>
      <c r="D7" s="8">
        <v>22.36</v>
      </c>
      <c r="E7" s="12">
        <v>221</v>
      </c>
      <c r="F7" s="8">
        <v>23.21</v>
      </c>
      <c r="G7" s="12">
        <v>165</v>
      </c>
      <c r="H7" s="8">
        <v>21.83</v>
      </c>
      <c r="I7" s="12">
        <v>0</v>
      </c>
    </row>
    <row r="8" spans="2:9" ht="15" customHeight="1" x14ac:dyDescent="0.2">
      <c r="B8" t="s">
        <v>46</v>
      </c>
      <c r="C8" s="12">
        <v>4</v>
      </c>
      <c r="D8" s="8">
        <v>0.23</v>
      </c>
      <c r="E8" s="12">
        <v>0</v>
      </c>
      <c r="F8" s="8">
        <v>0</v>
      </c>
      <c r="G8" s="12">
        <v>3</v>
      </c>
      <c r="H8" s="8">
        <v>0.4</v>
      </c>
      <c r="I8" s="12">
        <v>0</v>
      </c>
    </row>
    <row r="9" spans="2:9" ht="15" customHeight="1" x14ac:dyDescent="0.2">
      <c r="B9" t="s">
        <v>47</v>
      </c>
      <c r="C9" s="12">
        <v>12</v>
      </c>
      <c r="D9" s="8">
        <v>0.7</v>
      </c>
      <c r="E9" s="12">
        <v>0</v>
      </c>
      <c r="F9" s="8">
        <v>0</v>
      </c>
      <c r="G9" s="12">
        <v>12</v>
      </c>
      <c r="H9" s="8">
        <v>1.59</v>
      </c>
      <c r="I9" s="12">
        <v>0</v>
      </c>
    </row>
    <row r="10" spans="2:9" ht="15" customHeight="1" x14ac:dyDescent="0.2">
      <c r="B10" t="s">
        <v>48</v>
      </c>
      <c r="C10" s="12">
        <v>16</v>
      </c>
      <c r="D10" s="8">
        <v>0.93</v>
      </c>
      <c r="E10" s="12">
        <v>0</v>
      </c>
      <c r="F10" s="8">
        <v>0</v>
      </c>
      <c r="G10" s="12">
        <v>16</v>
      </c>
      <c r="H10" s="8">
        <v>2.12</v>
      </c>
      <c r="I10" s="12">
        <v>0</v>
      </c>
    </row>
    <row r="11" spans="2:9" ht="15" customHeight="1" x14ac:dyDescent="0.2">
      <c r="B11" t="s">
        <v>49</v>
      </c>
      <c r="C11" s="12">
        <v>339</v>
      </c>
      <c r="D11" s="8">
        <v>19.64</v>
      </c>
      <c r="E11" s="12">
        <v>167</v>
      </c>
      <c r="F11" s="8">
        <v>17.54</v>
      </c>
      <c r="G11" s="12">
        <v>170</v>
      </c>
      <c r="H11" s="8">
        <v>22.49</v>
      </c>
      <c r="I11" s="12">
        <v>2</v>
      </c>
    </row>
    <row r="12" spans="2:9" ht="15" customHeight="1" x14ac:dyDescent="0.2">
      <c r="B12" t="s">
        <v>50</v>
      </c>
      <c r="C12" s="12">
        <v>14</v>
      </c>
      <c r="D12" s="8">
        <v>0.81</v>
      </c>
      <c r="E12" s="12">
        <v>3</v>
      </c>
      <c r="F12" s="8">
        <v>0.32</v>
      </c>
      <c r="G12" s="12">
        <v>11</v>
      </c>
      <c r="H12" s="8">
        <v>1.46</v>
      </c>
      <c r="I12" s="12">
        <v>0</v>
      </c>
    </row>
    <row r="13" spans="2:9" ht="15" customHeight="1" x14ac:dyDescent="0.2">
      <c r="B13" t="s">
        <v>51</v>
      </c>
      <c r="C13" s="12">
        <v>89</v>
      </c>
      <c r="D13" s="8">
        <v>5.16</v>
      </c>
      <c r="E13" s="12">
        <v>30</v>
      </c>
      <c r="F13" s="8">
        <v>3.15</v>
      </c>
      <c r="G13" s="12">
        <v>59</v>
      </c>
      <c r="H13" s="8">
        <v>7.8</v>
      </c>
      <c r="I13" s="12">
        <v>0</v>
      </c>
    </row>
    <row r="14" spans="2:9" ht="15" customHeight="1" x14ac:dyDescent="0.2">
      <c r="B14" t="s">
        <v>52</v>
      </c>
      <c r="C14" s="12">
        <v>75</v>
      </c>
      <c r="D14" s="8">
        <v>4.3499999999999996</v>
      </c>
      <c r="E14" s="12">
        <v>39</v>
      </c>
      <c r="F14" s="8">
        <v>4.0999999999999996</v>
      </c>
      <c r="G14" s="12">
        <v>35</v>
      </c>
      <c r="H14" s="8">
        <v>4.63</v>
      </c>
      <c r="I14" s="12">
        <v>0</v>
      </c>
    </row>
    <row r="15" spans="2:9" ht="15" customHeight="1" x14ac:dyDescent="0.2">
      <c r="B15" t="s">
        <v>53</v>
      </c>
      <c r="C15" s="12">
        <v>147</v>
      </c>
      <c r="D15" s="8">
        <v>8.52</v>
      </c>
      <c r="E15" s="12">
        <v>131</v>
      </c>
      <c r="F15" s="8">
        <v>13.76</v>
      </c>
      <c r="G15" s="12">
        <v>15</v>
      </c>
      <c r="H15" s="8">
        <v>1.98</v>
      </c>
      <c r="I15" s="12">
        <v>0</v>
      </c>
    </row>
    <row r="16" spans="2:9" ht="15" customHeight="1" x14ac:dyDescent="0.2">
      <c r="B16" t="s">
        <v>54</v>
      </c>
      <c r="C16" s="12">
        <v>175</v>
      </c>
      <c r="D16" s="8">
        <v>10.14</v>
      </c>
      <c r="E16" s="12">
        <v>135</v>
      </c>
      <c r="F16" s="8">
        <v>14.18</v>
      </c>
      <c r="G16" s="12">
        <v>39</v>
      </c>
      <c r="H16" s="8">
        <v>5.16</v>
      </c>
      <c r="I16" s="12">
        <v>0</v>
      </c>
    </row>
    <row r="17" spans="2:9" ht="15" customHeight="1" x14ac:dyDescent="0.2">
      <c r="B17" t="s">
        <v>55</v>
      </c>
      <c r="C17" s="12">
        <v>66</v>
      </c>
      <c r="D17" s="8">
        <v>3.82</v>
      </c>
      <c r="E17" s="12">
        <v>46</v>
      </c>
      <c r="F17" s="8">
        <v>4.83</v>
      </c>
      <c r="G17" s="12">
        <v>19</v>
      </c>
      <c r="H17" s="8">
        <v>2.5099999999999998</v>
      </c>
      <c r="I17" s="12">
        <v>0</v>
      </c>
    </row>
    <row r="18" spans="2:9" ht="15" customHeight="1" x14ac:dyDescent="0.2">
      <c r="B18" t="s">
        <v>56</v>
      </c>
      <c r="C18" s="12">
        <v>72</v>
      </c>
      <c r="D18" s="8">
        <v>4.17</v>
      </c>
      <c r="E18" s="12">
        <v>56</v>
      </c>
      <c r="F18" s="8">
        <v>5.88</v>
      </c>
      <c r="G18" s="12">
        <v>16</v>
      </c>
      <c r="H18" s="8">
        <v>2.12</v>
      </c>
      <c r="I18" s="12">
        <v>0</v>
      </c>
    </row>
    <row r="19" spans="2:9" ht="15" customHeight="1" x14ac:dyDescent="0.2">
      <c r="B19" t="s">
        <v>57</v>
      </c>
      <c r="C19" s="12">
        <v>78</v>
      </c>
      <c r="D19" s="8">
        <v>4.5199999999999996</v>
      </c>
      <c r="E19" s="12">
        <v>41</v>
      </c>
      <c r="F19" s="8">
        <v>4.3099999999999996</v>
      </c>
      <c r="G19" s="12">
        <v>26</v>
      </c>
      <c r="H19" s="8">
        <v>3.44</v>
      </c>
      <c r="I19" s="12">
        <v>9</v>
      </c>
    </row>
    <row r="20" spans="2:9" ht="15" customHeight="1" x14ac:dyDescent="0.2">
      <c r="B20" s="9" t="s">
        <v>232</v>
      </c>
      <c r="C20" s="12">
        <f>SUM(LTBL_21209[総数／事業所数])</f>
        <v>1726</v>
      </c>
      <c r="E20" s="12">
        <f>SUBTOTAL(109,LTBL_21209[個人／事業所数])</f>
        <v>952</v>
      </c>
      <c r="G20" s="12">
        <f>SUBTOTAL(109,LTBL_21209[法人／事業所数])</f>
        <v>756</v>
      </c>
      <c r="I20" s="12">
        <f>SUBTOTAL(109,LTBL_21209[法人以外の団体／事業所数])</f>
        <v>11</v>
      </c>
    </row>
    <row r="21" spans="2:9" ht="15" customHeight="1" x14ac:dyDescent="0.2">
      <c r="E21" s="11">
        <f>LTBL_21209[[#Totals],[個人／事業所数]]/LTBL_21209[[#Totals],[総数／事業所数]]</f>
        <v>0.55156431054461186</v>
      </c>
      <c r="G21" s="11">
        <f>LTBL_21209[[#Totals],[法人／事業所数]]/LTBL_21209[[#Totals],[総数／事業所数]]</f>
        <v>0.43800695249130939</v>
      </c>
      <c r="I21" s="11">
        <f>LTBL_21209[[#Totals],[法人以外の団体／事業所数]]/LTBL_21209[[#Totals],[総数／事業所数]]</f>
        <v>6.3731170336037077E-3</v>
      </c>
    </row>
    <row r="23" spans="2:9" ht="33" customHeight="1" x14ac:dyDescent="0.2">
      <c r="B23" t="s">
        <v>233</v>
      </c>
      <c r="C23" s="10" t="s">
        <v>59</v>
      </c>
      <c r="D23" s="10" t="s">
        <v>60</v>
      </c>
      <c r="E23" s="10" t="s">
        <v>61</v>
      </c>
      <c r="F23" s="10" t="s">
        <v>62</v>
      </c>
      <c r="G23" s="10" t="s">
        <v>63</v>
      </c>
      <c r="H23" s="10" t="s">
        <v>64</v>
      </c>
      <c r="I23" s="10" t="s">
        <v>65</v>
      </c>
    </row>
    <row r="24" spans="2:9" ht="15" customHeight="1" x14ac:dyDescent="0.2">
      <c r="B24" t="s">
        <v>69</v>
      </c>
      <c r="C24" s="12">
        <v>151</v>
      </c>
      <c r="D24" s="8">
        <v>8.75</v>
      </c>
      <c r="E24" s="12">
        <v>105</v>
      </c>
      <c r="F24" s="8">
        <v>11.03</v>
      </c>
      <c r="G24" s="12">
        <v>46</v>
      </c>
      <c r="H24" s="8">
        <v>6.08</v>
      </c>
      <c r="I24" s="12">
        <v>0</v>
      </c>
    </row>
    <row r="25" spans="2:9" ht="15" customHeight="1" x14ac:dyDescent="0.2">
      <c r="B25" t="s">
        <v>82</v>
      </c>
      <c r="C25" s="12">
        <v>151</v>
      </c>
      <c r="D25" s="8">
        <v>8.75</v>
      </c>
      <c r="E25" s="12">
        <v>128</v>
      </c>
      <c r="F25" s="8">
        <v>13.45</v>
      </c>
      <c r="G25" s="12">
        <v>23</v>
      </c>
      <c r="H25" s="8">
        <v>3.04</v>
      </c>
      <c r="I25" s="12">
        <v>0</v>
      </c>
    </row>
    <row r="26" spans="2:9" ht="15" customHeight="1" x14ac:dyDescent="0.2">
      <c r="B26" t="s">
        <v>81</v>
      </c>
      <c r="C26" s="12">
        <v>139</v>
      </c>
      <c r="D26" s="8">
        <v>8.0500000000000007</v>
      </c>
      <c r="E26" s="12">
        <v>129</v>
      </c>
      <c r="F26" s="8">
        <v>13.55</v>
      </c>
      <c r="G26" s="12">
        <v>10</v>
      </c>
      <c r="H26" s="8">
        <v>1.32</v>
      </c>
      <c r="I26" s="12">
        <v>0</v>
      </c>
    </row>
    <row r="27" spans="2:9" ht="15" customHeight="1" x14ac:dyDescent="0.2">
      <c r="B27" t="s">
        <v>67</v>
      </c>
      <c r="C27" s="12">
        <v>105</v>
      </c>
      <c r="D27" s="8">
        <v>6.08</v>
      </c>
      <c r="E27" s="12">
        <v>44</v>
      </c>
      <c r="F27" s="8">
        <v>4.62</v>
      </c>
      <c r="G27" s="12">
        <v>61</v>
      </c>
      <c r="H27" s="8">
        <v>8.07</v>
      </c>
      <c r="I27" s="12">
        <v>0</v>
      </c>
    </row>
    <row r="28" spans="2:9" ht="15" customHeight="1" x14ac:dyDescent="0.2">
      <c r="B28" t="s">
        <v>66</v>
      </c>
      <c r="C28" s="12">
        <v>87</v>
      </c>
      <c r="D28" s="8">
        <v>5.04</v>
      </c>
      <c r="E28" s="12">
        <v>23</v>
      </c>
      <c r="F28" s="8">
        <v>2.42</v>
      </c>
      <c r="G28" s="12">
        <v>64</v>
      </c>
      <c r="H28" s="8">
        <v>8.4700000000000006</v>
      </c>
      <c r="I28" s="12">
        <v>0</v>
      </c>
    </row>
    <row r="29" spans="2:9" ht="15" customHeight="1" x14ac:dyDescent="0.2">
      <c r="B29" t="s">
        <v>77</v>
      </c>
      <c r="C29" s="12">
        <v>73</v>
      </c>
      <c r="D29" s="8">
        <v>4.2300000000000004</v>
      </c>
      <c r="E29" s="12">
        <v>53</v>
      </c>
      <c r="F29" s="8">
        <v>5.57</v>
      </c>
      <c r="G29" s="12">
        <v>20</v>
      </c>
      <c r="H29" s="8">
        <v>2.65</v>
      </c>
      <c r="I29" s="12">
        <v>0</v>
      </c>
    </row>
    <row r="30" spans="2:9" ht="15" customHeight="1" x14ac:dyDescent="0.2">
      <c r="B30" t="s">
        <v>76</v>
      </c>
      <c r="C30" s="12">
        <v>71</v>
      </c>
      <c r="D30" s="8">
        <v>4.1100000000000003</v>
      </c>
      <c r="E30" s="12">
        <v>50</v>
      </c>
      <c r="F30" s="8">
        <v>5.25</v>
      </c>
      <c r="G30" s="12">
        <v>21</v>
      </c>
      <c r="H30" s="8">
        <v>2.78</v>
      </c>
      <c r="I30" s="12">
        <v>0</v>
      </c>
    </row>
    <row r="31" spans="2:9" ht="15" customHeight="1" x14ac:dyDescent="0.2">
      <c r="B31" t="s">
        <v>83</v>
      </c>
      <c r="C31" s="12">
        <v>66</v>
      </c>
      <c r="D31" s="8">
        <v>3.82</v>
      </c>
      <c r="E31" s="12">
        <v>46</v>
      </c>
      <c r="F31" s="8">
        <v>4.83</v>
      </c>
      <c r="G31" s="12">
        <v>19</v>
      </c>
      <c r="H31" s="8">
        <v>2.5099999999999998</v>
      </c>
      <c r="I31" s="12">
        <v>0</v>
      </c>
    </row>
    <row r="32" spans="2:9" ht="15" customHeight="1" x14ac:dyDescent="0.2">
      <c r="B32" t="s">
        <v>68</v>
      </c>
      <c r="C32" s="12">
        <v>61</v>
      </c>
      <c r="D32" s="8">
        <v>3.53</v>
      </c>
      <c r="E32" s="12">
        <v>16</v>
      </c>
      <c r="F32" s="8">
        <v>1.68</v>
      </c>
      <c r="G32" s="12">
        <v>45</v>
      </c>
      <c r="H32" s="8">
        <v>5.95</v>
      </c>
      <c r="I32" s="12">
        <v>0</v>
      </c>
    </row>
    <row r="33" spans="2:9" ht="15" customHeight="1" x14ac:dyDescent="0.2">
      <c r="B33" t="s">
        <v>78</v>
      </c>
      <c r="C33" s="12">
        <v>61</v>
      </c>
      <c r="D33" s="8">
        <v>3.53</v>
      </c>
      <c r="E33" s="12">
        <v>22</v>
      </c>
      <c r="F33" s="8">
        <v>2.31</v>
      </c>
      <c r="G33" s="12">
        <v>39</v>
      </c>
      <c r="H33" s="8">
        <v>5.16</v>
      </c>
      <c r="I33" s="12">
        <v>0</v>
      </c>
    </row>
    <row r="34" spans="2:9" ht="15" customHeight="1" x14ac:dyDescent="0.2">
      <c r="B34" t="s">
        <v>84</v>
      </c>
      <c r="C34" s="12">
        <v>61</v>
      </c>
      <c r="D34" s="8">
        <v>3.53</v>
      </c>
      <c r="E34" s="12">
        <v>56</v>
      </c>
      <c r="F34" s="8">
        <v>5.88</v>
      </c>
      <c r="G34" s="12">
        <v>5</v>
      </c>
      <c r="H34" s="8">
        <v>0.66</v>
      </c>
      <c r="I34" s="12">
        <v>0</v>
      </c>
    </row>
    <row r="35" spans="2:9" ht="15" customHeight="1" x14ac:dyDescent="0.2">
      <c r="B35" t="s">
        <v>75</v>
      </c>
      <c r="C35" s="12">
        <v>45</v>
      </c>
      <c r="D35" s="8">
        <v>2.61</v>
      </c>
      <c r="E35" s="12">
        <v>34</v>
      </c>
      <c r="F35" s="8">
        <v>3.57</v>
      </c>
      <c r="G35" s="12">
        <v>11</v>
      </c>
      <c r="H35" s="8">
        <v>1.46</v>
      </c>
      <c r="I35" s="12">
        <v>0</v>
      </c>
    </row>
    <row r="36" spans="2:9" ht="15" customHeight="1" x14ac:dyDescent="0.2">
      <c r="B36" t="s">
        <v>71</v>
      </c>
      <c r="C36" s="12">
        <v>42</v>
      </c>
      <c r="D36" s="8">
        <v>2.4300000000000002</v>
      </c>
      <c r="E36" s="12">
        <v>21</v>
      </c>
      <c r="F36" s="8">
        <v>2.21</v>
      </c>
      <c r="G36" s="12">
        <v>21</v>
      </c>
      <c r="H36" s="8">
        <v>2.78</v>
      </c>
      <c r="I36" s="12">
        <v>0</v>
      </c>
    </row>
    <row r="37" spans="2:9" ht="15" customHeight="1" x14ac:dyDescent="0.2">
      <c r="B37" t="s">
        <v>80</v>
      </c>
      <c r="C37" s="12">
        <v>38</v>
      </c>
      <c r="D37" s="8">
        <v>2.2000000000000002</v>
      </c>
      <c r="E37" s="12">
        <v>17</v>
      </c>
      <c r="F37" s="8">
        <v>1.79</v>
      </c>
      <c r="G37" s="12">
        <v>20</v>
      </c>
      <c r="H37" s="8">
        <v>2.65</v>
      </c>
      <c r="I37" s="12">
        <v>0</v>
      </c>
    </row>
    <row r="38" spans="2:9" ht="15" customHeight="1" x14ac:dyDescent="0.2">
      <c r="B38" t="s">
        <v>72</v>
      </c>
      <c r="C38" s="12">
        <v>37</v>
      </c>
      <c r="D38" s="8">
        <v>2.14</v>
      </c>
      <c r="E38" s="12">
        <v>11</v>
      </c>
      <c r="F38" s="8">
        <v>1.1599999999999999</v>
      </c>
      <c r="G38" s="12">
        <v>26</v>
      </c>
      <c r="H38" s="8">
        <v>3.44</v>
      </c>
      <c r="I38" s="12">
        <v>0</v>
      </c>
    </row>
    <row r="39" spans="2:9" ht="15" customHeight="1" x14ac:dyDescent="0.2">
      <c r="B39" t="s">
        <v>79</v>
      </c>
      <c r="C39" s="12">
        <v>36</v>
      </c>
      <c r="D39" s="8">
        <v>2.09</v>
      </c>
      <c r="E39" s="12">
        <v>22</v>
      </c>
      <c r="F39" s="8">
        <v>2.31</v>
      </c>
      <c r="G39" s="12">
        <v>14</v>
      </c>
      <c r="H39" s="8">
        <v>1.85</v>
      </c>
      <c r="I39" s="12">
        <v>0</v>
      </c>
    </row>
    <row r="40" spans="2:9" ht="15" customHeight="1" x14ac:dyDescent="0.2">
      <c r="B40" t="s">
        <v>85</v>
      </c>
      <c r="C40" s="12">
        <v>32</v>
      </c>
      <c r="D40" s="8">
        <v>1.85</v>
      </c>
      <c r="E40" s="12">
        <v>27</v>
      </c>
      <c r="F40" s="8">
        <v>2.84</v>
      </c>
      <c r="G40" s="12">
        <v>5</v>
      </c>
      <c r="H40" s="8">
        <v>0.66</v>
      </c>
      <c r="I40" s="12">
        <v>0</v>
      </c>
    </row>
    <row r="41" spans="2:9" ht="15" customHeight="1" x14ac:dyDescent="0.2">
      <c r="B41" t="s">
        <v>101</v>
      </c>
      <c r="C41" s="12">
        <v>30</v>
      </c>
      <c r="D41" s="8">
        <v>1.74</v>
      </c>
      <c r="E41" s="12">
        <v>15</v>
      </c>
      <c r="F41" s="8">
        <v>1.58</v>
      </c>
      <c r="G41" s="12">
        <v>15</v>
      </c>
      <c r="H41" s="8">
        <v>1.98</v>
      </c>
      <c r="I41" s="12">
        <v>0</v>
      </c>
    </row>
    <row r="42" spans="2:9" ht="15" customHeight="1" x14ac:dyDescent="0.2">
      <c r="B42" t="s">
        <v>87</v>
      </c>
      <c r="C42" s="12">
        <v>28</v>
      </c>
      <c r="D42" s="8">
        <v>1.62</v>
      </c>
      <c r="E42" s="12">
        <v>5</v>
      </c>
      <c r="F42" s="8">
        <v>0.53</v>
      </c>
      <c r="G42" s="12">
        <v>23</v>
      </c>
      <c r="H42" s="8">
        <v>3.04</v>
      </c>
      <c r="I42" s="12">
        <v>0</v>
      </c>
    </row>
    <row r="43" spans="2:9" ht="15" customHeight="1" x14ac:dyDescent="0.2">
      <c r="B43" t="s">
        <v>74</v>
      </c>
      <c r="C43" s="12">
        <v>25</v>
      </c>
      <c r="D43" s="8">
        <v>1.45</v>
      </c>
      <c r="E43" s="12">
        <v>11</v>
      </c>
      <c r="F43" s="8">
        <v>1.1599999999999999</v>
      </c>
      <c r="G43" s="12">
        <v>14</v>
      </c>
      <c r="H43" s="8">
        <v>1.85</v>
      </c>
      <c r="I43" s="12">
        <v>0</v>
      </c>
    </row>
    <row r="46" spans="2:9" ht="33" customHeight="1" x14ac:dyDescent="0.2">
      <c r="B46" t="s">
        <v>234</v>
      </c>
      <c r="C46" s="10" t="s">
        <v>59</v>
      </c>
      <c r="D46" s="10" t="s">
        <v>60</v>
      </c>
      <c r="E46" s="10" t="s">
        <v>61</v>
      </c>
      <c r="F46" s="10" t="s">
        <v>62</v>
      </c>
      <c r="G46" s="10" t="s">
        <v>63</v>
      </c>
      <c r="H46" s="10" t="s">
        <v>64</v>
      </c>
      <c r="I46" s="10" t="s">
        <v>65</v>
      </c>
    </row>
    <row r="47" spans="2:9" ht="15" customHeight="1" x14ac:dyDescent="0.2">
      <c r="B47" t="s">
        <v>138</v>
      </c>
      <c r="C47" s="12">
        <v>74</v>
      </c>
      <c r="D47" s="8">
        <v>4.29</v>
      </c>
      <c r="E47" s="12">
        <v>65</v>
      </c>
      <c r="F47" s="8">
        <v>6.83</v>
      </c>
      <c r="G47" s="12">
        <v>9</v>
      </c>
      <c r="H47" s="8">
        <v>1.19</v>
      </c>
      <c r="I47" s="12">
        <v>0</v>
      </c>
    </row>
    <row r="48" spans="2:9" ht="15" customHeight="1" x14ac:dyDescent="0.2">
      <c r="B48" t="s">
        <v>136</v>
      </c>
      <c r="C48" s="12">
        <v>62</v>
      </c>
      <c r="D48" s="8">
        <v>3.59</v>
      </c>
      <c r="E48" s="12">
        <v>60</v>
      </c>
      <c r="F48" s="8">
        <v>6.3</v>
      </c>
      <c r="G48" s="12">
        <v>2</v>
      </c>
      <c r="H48" s="8">
        <v>0.26</v>
      </c>
      <c r="I48" s="12">
        <v>0</v>
      </c>
    </row>
    <row r="49" spans="2:9" ht="15" customHeight="1" x14ac:dyDescent="0.2">
      <c r="B49" t="s">
        <v>128</v>
      </c>
      <c r="C49" s="12">
        <v>54</v>
      </c>
      <c r="D49" s="8">
        <v>3.13</v>
      </c>
      <c r="E49" s="12">
        <v>37</v>
      </c>
      <c r="F49" s="8">
        <v>3.89</v>
      </c>
      <c r="G49" s="12">
        <v>17</v>
      </c>
      <c r="H49" s="8">
        <v>2.25</v>
      </c>
      <c r="I49" s="12">
        <v>0</v>
      </c>
    </row>
    <row r="50" spans="2:9" ht="15" customHeight="1" x14ac:dyDescent="0.2">
      <c r="B50" t="s">
        <v>137</v>
      </c>
      <c r="C50" s="12">
        <v>52</v>
      </c>
      <c r="D50" s="8">
        <v>3.01</v>
      </c>
      <c r="E50" s="12">
        <v>51</v>
      </c>
      <c r="F50" s="8">
        <v>5.36</v>
      </c>
      <c r="G50" s="12">
        <v>1</v>
      </c>
      <c r="H50" s="8">
        <v>0.13</v>
      </c>
      <c r="I50" s="12">
        <v>0</v>
      </c>
    </row>
    <row r="51" spans="2:9" ht="15" customHeight="1" x14ac:dyDescent="0.2">
      <c r="B51" t="s">
        <v>168</v>
      </c>
      <c r="C51" s="12">
        <v>47</v>
      </c>
      <c r="D51" s="8">
        <v>2.72</v>
      </c>
      <c r="E51" s="12">
        <v>39</v>
      </c>
      <c r="F51" s="8">
        <v>4.0999999999999996</v>
      </c>
      <c r="G51" s="12">
        <v>8</v>
      </c>
      <c r="H51" s="8">
        <v>1.06</v>
      </c>
      <c r="I51" s="12">
        <v>0</v>
      </c>
    </row>
    <row r="52" spans="2:9" ht="15" customHeight="1" x14ac:dyDescent="0.2">
      <c r="B52" t="s">
        <v>140</v>
      </c>
      <c r="C52" s="12">
        <v>43</v>
      </c>
      <c r="D52" s="8">
        <v>2.4900000000000002</v>
      </c>
      <c r="E52" s="12">
        <v>41</v>
      </c>
      <c r="F52" s="8">
        <v>4.3099999999999996</v>
      </c>
      <c r="G52" s="12">
        <v>2</v>
      </c>
      <c r="H52" s="8">
        <v>0.26</v>
      </c>
      <c r="I52" s="12">
        <v>0</v>
      </c>
    </row>
    <row r="53" spans="2:9" ht="15" customHeight="1" x14ac:dyDescent="0.2">
      <c r="B53" t="s">
        <v>142</v>
      </c>
      <c r="C53" s="12">
        <v>38</v>
      </c>
      <c r="D53" s="8">
        <v>2.2000000000000002</v>
      </c>
      <c r="E53" s="12">
        <v>25</v>
      </c>
      <c r="F53" s="8">
        <v>2.63</v>
      </c>
      <c r="G53" s="12">
        <v>13</v>
      </c>
      <c r="H53" s="8">
        <v>1.72</v>
      </c>
      <c r="I53" s="12">
        <v>0</v>
      </c>
    </row>
    <row r="54" spans="2:9" ht="15" customHeight="1" x14ac:dyDescent="0.2">
      <c r="B54" t="s">
        <v>139</v>
      </c>
      <c r="C54" s="12">
        <v>35</v>
      </c>
      <c r="D54" s="8">
        <v>2.0299999999999998</v>
      </c>
      <c r="E54" s="12">
        <v>27</v>
      </c>
      <c r="F54" s="8">
        <v>2.84</v>
      </c>
      <c r="G54" s="12">
        <v>8</v>
      </c>
      <c r="H54" s="8">
        <v>1.06</v>
      </c>
      <c r="I54" s="12">
        <v>0</v>
      </c>
    </row>
    <row r="55" spans="2:9" ht="15" customHeight="1" x14ac:dyDescent="0.2">
      <c r="B55" t="s">
        <v>132</v>
      </c>
      <c r="C55" s="12">
        <v>33</v>
      </c>
      <c r="D55" s="8">
        <v>1.91</v>
      </c>
      <c r="E55" s="12">
        <v>13</v>
      </c>
      <c r="F55" s="8">
        <v>1.37</v>
      </c>
      <c r="G55" s="12">
        <v>20</v>
      </c>
      <c r="H55" s="8">
        <v>2.65</v>
      </c>
      <c r="I55" s="12">
        <v>0</v>
      </c>
    </row>
    <row r="56" spans="2:9" ht="15" customHeight="1" x14ac:dyDescent="0.2">
      <c r="B56" t="s">
        <v>141</v>
      </c>
      <c r="C56" s="12">
        <v>32</v>
      </c>
      <c r="D56" s="8">
        <v>1.85</v>
      </c>
      <c r="E56" s="12">
        <v>27</v>
      </c>
      <c r="F56" s="8">
        <v>2.84</v>
      </c>
      <c r="G56" s="12">
        <v>5</v>
      </c>
      <c r="H56" s="8">
        <v>0.66</v>
      </c>
      <c r="I56" s="12">
        <v>0</v>
      </c>
    </row>
    <row r="57" spans="2:9" ht="15" customHeight="1" x14ac:dyDescent="0.2">
      <c r="B57" t="s">
        <v>122</v>
      </c>
      <c r="C57" s="12">
        <v>29</v>
      </c>
      <c r="D57" s="8">
        <v>1.68</v>
      </c>
      <c r="E57" s="12">
        <v>7</v>
      </c>
      <c r="F57" s="8">
        <v>0.74</v>
      </c>
      <c r="G57" s="12">
        <v>22</v>
      </c>
      <c r="H57" s="8">
        <v>2.91</v>
      </c>
      <c r="I57" s="12">
        <v>0</v>
      </c>
    </row>
    <row r="58" spans="2:9" ht="15" customHeight="1" x14ac:dyDescent="0.2">
      <c r="B58" t="s">
        <v>134</v>
      </c>
      <c r="C58" s="12">
        <v>29</v>
      </c>
      <c r="D58" s="8">
        <v>1.68</v>
      </c>
      <c r="E58" s="12">
        <v>23</v>
      </c>
      <c r="F58" s="8">
        <v>2.42</v>
      </c>
      <c r="G58" s="12">
        <v>6</v>
      </c>
      <c r="H58" s="8">
        <v>0.79</v>
      </c>
      <c r="I58" s="12">
        <v>0</v>
      </c>
    </row>
    <row r="59" spans="2:9" ht="15" customHeight="1" x14ac:dyDescent="0.2">
      <c r="B59" t="s">
        <v>145</v>
      </c>
      <c r="C59" s="12">
        <v>29</v>
      </c>
      <c r="D59" s="8">
        <v>1.68</v>
      </c>
      <c r="E59" s="12">
        <v>19</v>
      </c>
      <c r="F59" s="8">
        <v>2</v>
      </c>
      <c r="G59" s="12">
        <v>10</v>
      </c>
      <c r="H59" s="8">
        <v>1.32</v>
      </c>
      <c r="I59" s="12">
        <v>0</v>
      </c>
    </row>
    <row r="60" spans="2:9" ht="15" customHeight="1" x14ac:dyDescent="0.2">
      <c r="B60" t="s">
        <v>169</v>
      </c>
      <c r="C60" s="12">
        <v>28</v>
      </c>
      <c r="D60" s="8">
        <v>1.62</v>
      </c>
      <c r="E60" s="12">
        <v>15</v>
      </c>
      <c r="F60" s="8">
        <v>1.58</v>
      </c>
      <c r="G60" s="12">
        <v>13</v>
      </c>
      <c r="H60" s="8">
        <v>1.72</v>
      </c>
      <c r="I60" s="12">
        <v>0</v>
      </c>
    </row>
    <row r="61" spans="2:9" ht="15" customHeight="1" x14ac:dyDescent="0.2">
      <c r="B61" t="s">
        <v>125</v>
      </c>
      <c r="C61" s="12">
        <v>26</v>
      </c>
      <c r="D61" s="8">
        <v>1.51</v>
      </c>
      <c r="E61" s="12">
        <v>8</v>
      </c>
      <c r="F61" s="8">
        <v>0.84</v>
      </c>
      <c r="G61" s="12">
        <v>18</v>
      </c>
      <c r="H61" s="8">
        <v>2.38</v>
      </c>
      <c r="I61" s="12">
        <v>0</v>
      </c>
    </row>
    <row r="62" spans="2:9" ht="15" customHeight="1" x14ac:dyDescent="0.2">
      <c r="B62" t="s">
        <v>123</v>
      </c>
      <c r="C62" s="12">
        <v>25</v>
      </c>
      <c r="D62" s="8">
        <v>1.45</v>
      </c>
      <c r="E62" s="12">
        <v>7</v>
      </c>
      <c r="F62" s="8">
        <v>0.74</v>
      </c>
      <c r="G62" s="12">
        <v>18</v>
      </c>
      <c r="H62" s="8">
        <v>2.38</v>
      </c>
      <c r="I62" s="12">
        <v>0</v>
      </c>
    </row>
    <row r="63" spans="2:9" ht="15" customHeight="1" x14ac:dyDescent="0.2">
      <c r="B63" t="s">
        <v>130</v>
      </c>
      <c r="C63" s="12">
        <v>25</v>
      </c>
      <c r="D63" s="8">
        <v>1.45</v>
      </c>
      <c r="E63" s="12">
        <v>21</v>
      </c>
      <c r="F63" s="8">
        <v>2.21</v>
      </c>
      <c r="G63" s="12">
        <v>4</v>
      </c>
      <c r="H63" s="8">
        <v>0.53</v>
      </c>
      <c r="I63" s="12">
        <v>0</v>
      </c>
    </row>
    <row r="64" spans="2:9" ht="15" customHeight="1" x14ac:dyDescent="0.2">
      <c r="B64" t="s">
        <v>135</v>
      </c>
      <c r="C64" s="12">
        <v>22</v>
      </c>
      <c r="D64" s="8">
        <v>1.27</v>
      </c>
      <c r="E64" s="12">
        <v>21</v>
      </c>
      <c r="F64" s="8">
        <v>2.21</v>
      </c>
      <c r="G64" s="12">
        <v>1</v>
      </c>
      <c r="H64" s="8">
        <v>0.13</v>
      </c>
      <c r="I64" s="12">
        <v>0</v>
      </c>
    </row>
    <row r="65" spans="2:9" ht="15" customHeight="1" x14ac:dyDescent="0.2">
      <c r="B65" t="s">
        <v>165</v>
      </c>
      <c r="C65" s="12">
        <v>21</v>
      </c>
      <c r="D65" s="8">
        <v>1.22</v>
      </c>
      <c r="E65" s="12">
        <v>8</v>
      </c>
      <c r="F65" s="8">
        <v>0.84</v>
      </c>
      <c r="G65" s="12">
        <v>13</v>
      </c>
      <c r="H65" s="8">
        <v>1.72</v>
      </c>
      <c r="I65" s="12">
        <v>0</v>
      </c>
    </row>
    <row r="66" spans="2:9" ht="15" customHeight="1" x14ac:dyDescent="0.2">
      <c r="B66" t="s">
        <v>158</v>
      </c>
      <c r="C66" s="12">
        <v>21</v>
      </c>
      <c r="D66" s="8">
        <v>1.22</v>
      </c>
      <c r="E66" s="12">
        <v>4</v>
      </c>
      <c r="F66" s="8">
        <v>0.42</v>
      </c>
      <c r="G66" s="12">
        <v>17</v>
      </c>
      <c r="H66" s="8">
        <v>2.25</v>
      </c>
      <c r="I66" s="12">
        <v>0</v>
      </c>
    </row>
    <row r="67" spans="2:9" ht="15" customHeight="1" x14ac:dyDescent="0.2">
      <c r="B67" t="s">
        <v>133</v>
      </c>
      <c r="C67" s="12">
        <v>21</v>
      </c>
      <c r="D67" s="8">
        <v>1.22</v>
      </c>
      <c r="E67" s="12">
        <v>7</v>
      </c>
      <c r="F67" s="8">
        <v>0.74</v>
      </c>
      <c r="G67" s="12">
        <v>13</v>
      </c>
      <c r="H67" s="8">
        <v>1.72</v>
      </c>
      <c r="I67" s="12">
        <v>0</v>
      </c>
    </row>
    <row r="69" spans="2:9" ht="15" customHeight="1" x14ac:dyDescent="0.2">
      <c r="B69" t="s">
        <v>235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B3A2C8-7F6C-4F70-8F8B-CD29C14237B2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245</v>
      </c>
    </row>
    <row r="4" spans="2:9" ht="33" customHeight="1" x14ac:dyDescent="0.2">
      <c r="B4" t="s">
        <v>231</v>
      </c>
      <c r="C4" s="10" t="s">
        <v>59</v>
      </c>
      <c r="D4" s="10" t="s">
        <v>60</v>
      </c>
      <c r="E4" s="10" t="s">
        <v>61</v>
      </c>
      <c r="F4" s="10" t="s">
        <v>62</v>
      </c>
      <c r="G4" s="10" t="s">
        <v>63</v>
      </c>
      <c r="H4" s="10" t="s">
        <v>64</v>
      </c>
      <c r="I4" s="10" t="s">
        <v>65</v>
      </c>
    </row>
    <row r="5" spans="2:9" ht="15" customHeight="1" x14ac:dyDescent="0.2">
      <c r="B5" t="s">
        <v>43</v>
      </c>
      <c r="C5" s="12">
        <v>1</v>
      </c>
      <c r="D5" s="8">
        <v>7.0000000000000007E-2</v>
      </c>
      <c r="E5" s="12">
        <v>0</v>
      </c>
      <c r="F5" s="8">
        <v>0</v>
      </c>
      <c r="G5" s="12">
        <v>1</v>
      </c>
      <c r="H5" s="8">
        <v>0.18</v>
      </c>
      <c r="I5" s="12">
        <v>0</v>
      </c>
    </row>
    <row r="6" spans="2:9" ht="15" customHeight="1" x14ac:dyDescent="0.2">
      <c r="B6" t="s">
        <v>44</v>
      </c>
      <c r="C6" s="12">
        <v>217</v>
      </c>
      <c r="D6" s="8">
        <v>14.79</v>
      </c>
      <c r="E6" s="12">
        <v>116</v>
      </c>
      <c r="F6" s="8">
        <v>13.32</v>
      </c>
      <c r="G6" s="12">
        <v>101</v>
      </c>
      <c r="H6" s="8">
        <v>17.940000000000001</v>
      </c>
      <c r="I6" s="12">
        <v>0</v>
      </c>
    </row>
    <row r="7" spans="2:9" ht="15" customHeight="1" x14ac:dyDescent="0.2">
      <c r="B7" t="s">
        <v>45</v>
      </c>
      <c r="C7" s="12">
        <v>163</v>
      </c>
      <c r="D7" s="8">
        <v>11.11</v>
      </c>
      <c r="E7" s="12">
        <v>62</v>
      </c>
      <c r="F7" s="8">
        <v>7.12</v>
      </c>
      <c r="G7" s="12">
        <v>100</v>
      </c>
      <c r="H7" s="8">
        <v>17.760000000000002</v>
      </c>
      <c r="I7" s="12">
        <v>1</v>
      </c>
    </row>
    <row r="8" spans="2:9" ht="15" customHeight="1" x14ac:dyDescent="0.2">
      <c r="B8" t="s">
        <v>46</v>
      </c>
      <c r="C8" s="12">
        <v>2</v>
      </c>
      <c r="D8" s="8">
        <v>0.14000000000000001</v>
      </c>
      <c r="E8" s="12">
        <v>0</v>
      </c>
      <c r="F8" s="8">
        <v>0</v>
      </c>
      <c r="G8" s="12">
        <v>2</v>
      </c>
      <c r="H8" s="8">
        <v>0.36</v>
      </c>
      <c r="I8" s="12">
        <v>0</v>
      </c>
    </row>
    <row r="9" spans="2:9" ht="15" customHeight="1" x14ac:dyDescent="0.2">
      <c r="B9" t="s">
        <v>47</v>
      </c>
      <c r="C9" s="12">
        <v>4</v>
      </c>
      <c r="D9" s="8">
        <v>0.27</v>
      </c>
      <c r="E9" s="12">
        <v>1</v>
      </c>
      <c r="F9" s="8">
        <v>0.11</v>
      </c>
      <c r="G9" s="12">
        <v>3</v>
      </c>
      <c r="H9" s="8">
        <v>0.53</v>
      </c>
      <c r="I9" s="12">
        <v>0</v>
      </c>
    </row>
    <row r="10" spans="2:9" ht="15" customHeight="1" x14ac:dyDescent="0.2">
      <c r="B10" t="s">
        <v>48</v>
      </c>
      <c r="C10" s="12">
        <v>19</v>
      </c>
      <c r="D10" s="8">
        <v>1.3</v>
      </c>
      <c r="E10" s="12">
        <v>5</v>
      </c>
      <c r="F10" s="8">
        <v>0.56999999999999995</v>
      </c>
      <c r="G10" s="12">
        <v>14</v>
      </c>
      <c r="H10" s="8">
        <v>2.4900000000000002</v>
      </c>
      <c r="I10" s="12">
        <v>0</v>
      </c>
    </row>
    <row r="11" spans="2:9" ht="15" customHeight="1" x14ac:dyDescent="0.2">
      <c r="B11" t="s">
        <v>49</v>
      </c>
      <c r="C11" s="12">
        <v>336</v>
      </c>
      <c r="D11" s="8">
        <v>22.9</v>
      </c>
      <c r="E11" s="12">
        <v>186</v>
      </c>
      <c r="F11" s="8">
        <v>21.35</v>
      </c>
      <c r="G11" s="12">
        <v>149</v>
      </c>
      <c r="H11" s="8">
        <v>26.47</v>
      </c>
      <c r="I11" s="12">
        <v>1</v>
      </c>
    </row>
    <row r="12" spans="2:9" ht="15" customHeight="1" x14ac:dyDescent="0.2">
      <c r="B12" t="s">
        <v>50</v>
      </c>
      <c r="C12" s="12">
        <v>13</v>
      </c>
      <c r="D12" s="8">
        <v>0.89</v>
      </c>
      <c r="E12" s="12">
        <v>1</v>
      </c>
      <c r="F12" s="8">
        <v>0.11</v>
      </c>
      <c r="G12" s="12">
        <v>11</v>
      </c>
      <c r="H12" s="8">
        <v>1.95</v>
      </c>
      <c r="I12" s="12">
        <v>0</v>
      </c>
    </row>
    <row r="13" spans="2:9" ht="15" customHeight="1" x14ac:dyDescent="0.2">
      <c r="B13" t="s">
        <v>51</v>
      </c>
      <c r="C13" s="12">
        <v>90</v>
      </c>
      <c r="D13" s="8">
        <v>6.13</v>
      </c>
      <c r="E13" s="12">
        <v>47</v>
      </c>
      <c r="F13" s="8">
        <v>5.4</v>
      </c>
      <c r="G13" s="12">
        <v>43</v>
      </c>
      <c r="H13" s="8">
        <v>7.64</v>
      </c>
      <c r="I13" s="12">
        <v>0</v>
      </c>
    </row>
    <row r="14" spans="2:9" ht="15" customHeight="1" x14ac:dyDescent="0.2">
      <c r="B14" t="s">
        <v>52</v>
      </c>
      <c r="C14" s="12">
        <v>75</v>
      </c>
      <c r="D14" s="8">
        <v>5.1100000000000003</v>
      </c>
      <c r="E14" s="12">
        <v>42</v>
      </c>
      <c r="F14" s="8">
        <v>4.82</v>
      </c>
      <c r="G14" s="12">
        <v>30</v>
      </c>
      <c r="H14" s="8">
        <v>5.33</v>
      </c>
      <c r="I14" s="12">
        <v>0</v>
      </c>
    </row>
    <row r="15" spans="2:9" ht="15" customHeight="1" x14ac:dyDescent="0.2">
      <c r="B15" t="s">
        <v>53</v>
      </c>
      <c r="C15" s="12">
        <v>212</v>
      </c>
      <c r="D15" s="8">
        <v>14.45</v>
      </c>
      <c r="E15" s="12">
        <v>170</v>
      </c>
      <c r="F15" s="8">
        <v>19.52</v>
      </c>
      <c r="G15" s="12">
        <v>37</v>
      </c>
      <c r="H15" s="8">
        <v>6.57</v>
      </c>
      <c r="I15" s="12">
        <v>1</v>
      </c>
    </row>
    <row r="16" spans="2:9" ht="15" customHeight="1" x14ac:dyDescent="0.2">
      <c r="B16" t="s">
        <v>54</v>
      </c>
      <c r="C16" s="12">
        <v>166</v>
      </c>
      <c r="D16" s="8">
        <v>11.32</v>
      </c>
      <c r="E16" s="12">
        <v>139</v>
      </c>
      <c r="F16" s="8">
        <v>15.96</v>
      </c>
      <c r="G16" s="12">
        <v>26</v>
      </c>
      <c r="H16" s="8">
        <v>4.62</v>
      </c>
      <c r="I16" s="12">
        <v>1</v>
      </c>
    </row>
    <row r="17" spans="2:9" ht="15" customHeight="1" x14ac:dyDescent="0.2">
      <c r="B17" t="s">
        <v>55</v>
      </c>
      <c r="C17" s="12">
        <v>56</v>
      </c>
      <c r="D17" s="8">
        <v>3.82</v>
      </c>
      <c r="E17" s="12">
        <v>40</v>
      </c>
      <c r="F17" s="8">
        <v>4.59</v>
      </c>
      <c r="G17" s="12">
        <v>6</v>
      </c>
      <c r="H17" s="8">
        <v>1.07</v>
      </c>
      <c r="I17" s="12">
        <v>0</v>
      </c>
    </row>
    <row r="18" spans="2:9" ht="15" customHeight="1" x14ac:dyDescent="0.2">
      <c r="B18" t="s">
        <v>56</v>
      </c>
      <c r="C18" s="12">
        <v>65</v>
      </c>
      <c r="D18" s="8">
        <v>4.43</v>
      </c>
      <c r="E18" s="12">
        <v>43</v>
      </c>
      <c r="F18" s="8">
        <v>4.9400000000000004</v>
      </c>
      <c r="G18" s="12">
        <v>19</v>
      </c>
      <c r="H18" s="8">
        <v>3.37</v>
      </c>
      <c r="I18" s="12">
        <v>1</v>
      </c>
    </row>
    <row r="19" spans="2:9" ht="15" customHeight="1" x14ac:dyDescent="0.2">
      <c r="B19" t="s">
        <v>57</v>
      </c>
      <c r="C19" s="12">
        <v>48</v>
      </c>
      <c r="D19" s="8">
        <v>3.27</v>
      </c>
      <c r="E19" s="12">
        <v>19</v>
      </c>
      <c r="F19" s="8">
        <v>2.1800000000000002</v>
      </c>
      <c r="G19" s="12">
        <v>21</v>
      </c>
      <c r="H19" s="8">
        <v>3.73</v>
      </c>
      <c r="I19" s="12">
        <v>1</v>
      </c>
    </row>
    <row r="20" spans="2:9" ht="15" customHeight="1" x14ac:dyDescent="0.2">
      <c r="B20" s="9" t="s">
        <v>232</v>
      </c>
      <c r="C20" s="12">
        <f>SUM(LTBL_21210[総数／事業所数])</f>
        <v>1467</v>
      </c>
      <c r="E20" s="12">
        <f>SUBTOTAL(109,LTBL_21210[個人／事業所数])</f>
        <v>871</v>
      </c>
      <c r="G20" s="12">
        <f>SUBTOTAL(109,LTBL_21210[法人／事業所数])</f>
        <v>563</v>
      </c>
      <c r="I20" s="12">
        <f>SUBTOTAL(109,LTBL_21210[法人以外の団体／事業所数])</f>
        <v>6</v>
      </c>
    </row>
    <row r="21" spans="2:9" ht="15" customHeight="1" x14ac:dyDescent="0.2">
      <c r="E21" s="11">
        <f>LTBL_21210[[#Totals],[個人／事業所数]]/LTBL_21210[[#Totals],[総数／事業所数]]</f>
        <v>0.59372869802317652</v>
      </c>
      <c r="G21" s="11">
        <f>LTBL_21210[[#Totals],[法人／事業所数]]/LTBL_21210[[#Totals],[総数／事業所数]]</f>
        <v>0.38377641445126109</v>
      </c>
      <c r="I21" s="11">
        <f>LTBL_21210[[#Totals],[法人以外の団体／事業所数]]/LTBL_21210[[#Totals],[総数／事業所数]]</f>
        <v>4.0899795501022499E-3</v>
      </c>
    </row>
    <row r="23" spans="2:9" ht="33" customHeight="1" x14ac:dyDescent="0.2">
      <c r="B23" t="s">
        <v>233</v>
      </c>
      <c r="C23" s="10" t="s">
        <v>59</v>
      </c>
      <c r="D23" s="10" t="s">
        <v>60</v>
      </c>
      <c r="E23" s="10" t="s">
        <v>61</v>
      </c>
      <c r="F23" s="10" t="s">
        <v>62</v>
      </c>
      <c r="G23" s="10" t="s">
        <v>63</v>
      </c>
      <c r="H23" s="10" t="s">
        <v>64</v>
      </c>
      <c r="I23" s="10" t="s">
        <v>65</v>
      </c>
    </row>
    <row r="24" spans="2:9" ht="15" customHeight="1" x14ac:dyDescent="0.2">
      <c r="B24" t="s">
        <v>81</v>
      </c>
      <c r="C24" s="12">
        <v>175</v>
      </c>
      <c r="D24" s="8">
        <v>11.93</v>
      </c>
      <c r="E24" s="12">
        <v>157</v>
      </c>
      <c r="F24" s="8">
        <v>18.03</v>
      </c>
      <c r="G24" s="12">
        <v>17</v>
      </c>
      <c r="H24" s="8">
        <v>3.02</v>
      </c>
      <c r="I24" s="12">
        <v>1</v>
      </c>
    </row>
    <row r="25" spans="2:9" ht="15" customHeight="1" x14ac:dyDescent="0.2">
      <c r="B25" t="s">
        <v>82</v>
      </c>
      <c r="C25" s="12">
        <v>147</v>
      </c>
      <c r="D25" s="8">
        <v>10.02</v>
      </c>
      <c r="E25" s="12">
        <v>127</v>
      </c>
      <c r="F25" s="8">
        <v>14.58</v>
      </c>
      <c r="G25" s="12">
        <v>20</v>
      </c>
      <c r="H25" s="8">
        <v>3.55</v>
      </c>
      <c r="I25" s="12">
        <v>0</v>
      </c>
    </row>
    <row r="26" spans="2:9" ht="15" customHeight="1" x14ac:dyDescent="0.2">
      <c r="B26" t="s">
        <v>77</v>
      </c>
      <c r="C26" s="12">
        <v>135</v>
      </c>
      <c r="D26" s="8">
        <v>9.1999999999999993</v>
      </c>
      <c r="E26" s="12">
        <v>68</v>
      </c>
      <c r="F26" s="8">
        <v>7.81</v>
      </c>
      <c r="G26" s="12">
        <v>67</v>
      </c>
      <c r="H26" s="8">
        <v>11.9</v>
      </c>
      <c r="I26" s="12">
        <v>0</v>
      </c>
    </row>
    <row r="27" spans="2:9" ht="15" customHeight="1" x14ac:dyDescent="0.2">
      <c r="B27" t="s">
        <v>66</v>
      </c>
      <c r="C27" s="12">
        <v>112</v>
      </c>
      <c r="D27" s="8">
        <v>7.63</v>
      </c>
      <c r="E27" s="12">
        <v>46</v>
      </c>
      <c r="F27" s="8">
        <v>5.28</v>
      </c>
      <c r="G27" s="12">
        <v>66</v>
      </c>
      <c r="H27" s="8">
        <v>11.72</v>
      </c>
      <c r="I27" s="12">
        <v>0</v>
      </c>
    </row>
    <row r="28" spans="2:9" ht="15" customHeight="1" x14ac:dyDescent="0.2">
      <c r="B28" t="s">
        <v>78</v>
      </c>
      <c r="C28" s="12">
        <v>78</v>
      </c>
      <c r="D28" s="8">
        <v>5.32</v>
      </c>
      <c r="E28" s="12">
        <v>47</v>
      </c>
      <c r="F28" s="8">
        <v>5.4</v>
      </c>
      <c r="G28" s="12">
        <v>31</v>
      </c>
      <c r="H28" s="8">
        <v>5.51</v>
      </c>
      <c r="I28" s="12">
        <v>0</v>
      </c>
    </row>
    <row r="29" spans="2:9" ht="15" customHeight="1" x14ac:dyDescent="0.2">
      <c r="B29" t="s">
        <v>75</v>
      </c>
      <c r="C29" s="12">
        <v>72</v>
      </c>
      <c r="D29" s="8">
        <v>4.91</v>
      </c>
      <c r="E29" s="12">
        <v>57</v>
      </c>
      <c r="F29" s="8">
        <v>6.54</v>
      </c>
      <c r="G29" s="12">
        <v>15</v>
      </c>
      <c r="H29" s="8">
        <v>2.66</v>
      </c>
      <c r="I29" s="12">
        <v>0</v>
      </c>
    </row>
    <row r="30" spans="2:9" ht="15" customHeight="1" x14ac:dyDescent="0.2">
      <c r="B30" t="s">
        <v>67</v>
      </c>
      <c r="C30" s="12">
        <v>70</v>
      </c>
      <c r="D30" s="8">
        <v>4.7699999999999996</v>
      </c>
      <c r="E30" s="12">
        <v>51</v>
      </c>
      <c r="F30" s="8">
        <v>5.86</v>
      </c>
      <c r="G30" s="12">
        <v>19</v>
      </c>
      <c r="H30" s="8">
        <v>3.37</v>
      </c>
      <c r="I30" s="12">
        <v>0</v>
      </c>
    </row>
    <row r="31" spans="2:9" ht="15" customHeight="1" x14ac:dyDescent="0.2">
      <c r="B31" t="s">
        <v>83</v>
      </c>
      <c r="C31" s="12">
        <v>56</v>
      </c>
      <c r="D31" s="8">
        <v>3.82</v>
      </c>
      <c r="E31" s="12">
        <v>40</v>
      </c>
      <c r="F31" s="8">
        <v>4.59</v>
      </c>
      <c r="G31" s="12">
        <v>6</v>
      </c>
      <c r="H31" s="8">
        <v>1.07</v>
      </c>
      <c r="I31" s="12">
        <v>0</v>
      </c>
    </row>
    <row r="32" spans="2:9" ht="15" customHeight="1" x14ac:dyDescent="0.2">
      <c r="B32" t="s">
        <v>84</v>
      </c>
      <c r="C32" s="12">
        <v>50</v>
      </c>
      <c r="D32" s="8">
        <v>3.41</v>
      </c>
      <c r="E32" s="12">
        <v>43</v>
      </c>
      <c r="F32" s="8">
        <v>4.9400000000000004</v>
      </c>
      <c r="G32" s="12">
        <v>5</v>
      </c>
      <c r="H32" s="8">
        <v>0.89</v>
      </c>
      <c r="I32" s="12">
        <v>0</v>
      </c>
    </row>
    <row r="33" spans="2:9" ht="15" customHeight="1" x14ac:dyDescent="0.2">
      <c r="B33" t="s">
        <v>76</v>
      </c>
      <c r="C33" s="12">
        <v>47</v>
      </c>
      <c r="D33" s="8">
        <v>3.2</v>
      </c>
      <c r="E33" s="12">
        <v>25</v>
      </c>
      <c r="F33" s="8">
        <v>2.87</v>
      </c>
      <c r="G33" s="12">
        <v>22</v>
      </c>
      <c r="H33" s="8">
        <v>3.91</v>
      </c>
      <c r="I33" s="12">
        <v>0</v>
      </c>
    </row>
    <row r="34" spans="2:9" ht="15" customHeight="1" x14ac:dyDescent="0.2">
      <c r="B34" t="s">
        <v>79</v>
      </c>
      <c r="C34" s="12">
        <v>37</v>
      </c>
      <c r="D34" s="8">
        <v>2.52</v>
      </c>
      <c r="E34" s="12">
        <v>28</v>
      </c>
      <c r="F34" s="8">
        <v>3.21</v>
      </c>
      <c r="G34" s="12">
        <v>9</v>
      </c>
      <c r="H34" s="8">
        <v>1.6</v>
      </c>
      <c r="I34" s="12">
        <v>0</v>
      </c>
    </row>
    <row r="35" spans="2:9" ht="15" customHeight="1" x14ac:dyDescent="0.2">
      <c r="B35" t="s">
        <v>70</v>
      </c>
      <c r="C35" s="12">
        <v>36</v>
      </c>
      <c r="D35" s="8">
        <v>2.4500000000000002</v>
      </c>
      <c r="E35" s="12">
        <v>10</v>
      </c>
      <c r="F35" s="8">
        <v>1.1499999999999999</v>
      </c>
      <c r="G35" s="12">
        <v>26</v>
      </c>
      <c r="H35" s="8">
        <v>4.62</v>
      </c>
      <c r="I35" s="12">
        <v>0</v>
      </c>
    </row>
    <row r="36" spans="2:9" ht="15" customHeight="1" x14ac:dyDescent="0.2">
      <c r="B36" t="s">
        <v>80</v>
      </c>
      <c r="C36" s="12">
        <v>36</v>
      </c>
      <c r="D36" s="8">
        <v>2.4500000000000002</v>
      </c>
      <c r="E36" s="12">
        <v>14</v>
      </c>
      <c r="F36" s="8">
        <v>1.61</v>
      </c>
      <c r="G36" s="12">
        <v>20</v>
      </c>
      <c r="H36" s="8">
        <v>3.55</v>
      </c>
      <c r="I36" s="12">
        <v>0</v>
      </c>
    </row>
    <row r="37" spans="2:9" ht="15" customHeight="1" x14ac:dyDescent="0.2">
      <c r="B37" t="s">
        <v>68</v>
      </c>
      <c r="C37" s="12">
        <v>35</v>
      </c>
      <c r="D37" s="8">
        <v>2.39</v>
      </c>
      <c r="E37" s="12">
        <v>19</v>
      </c>
      <c r="F37" s="8">
        <v>2.1800000000000002</v>
      </c>
      <c r="G37" s="12">
        <v>16</v>
      </c>
      <c r="H37" s="8">
        <v>2.84</v>
      </c>
      <c r="I37" s="12">
        <v>0</v>
      </c>
    </row>
    <row r="38" spans="2:9" ht="15" customHeight="1" x14ac:dyDescent="0.2">
      <c r="B38" t="s">
        <v>74</v>
      </c>
      <c r="C38" s="12">
        <v>32</v>
      </c>
      <c r="D38" s="8">
        <v>2.1800000000000002</v>
      </c>
      <c r="E38" s="12">
        <v>25</v>
      </c>
      <c r="F38" s="8">
        <v>2.87</v>
      </c>
      <c r="G38" s="12">
        <v>7</v>
      </c>
      <c r="H38" s="8">
        <v>1.24</v>
      </c>
      <c r="I38" s="12">
        <v>0</v>
      </c>
    </row>
    <row r="39" spans="2:9" ht="15" customHeight="1" x14ac:dyDescent="0.2">
      <c r="B39" t="s">
        <v>91</v>
      </c>
      <c r="C39" s="12">
        <v>25</v>
      </c>
      <c r="D39" s="8">
        <v>1.7</v>
      </c>
      <c r="E39" s="12">
        <v>12</v>
      </c>
      <c r="F39" s="8">
        <v>1.38</v>
      </c>
      <c r="G39" s="12">
        <v>13</v>
      </c>
      <c r="H39" s="8">
        <v>2.31</v>
      </c>
      <c r="I39" s="12">
        <v>0</v>
      </c>
    </row>
    <row r="40" spans="2:9" ht="15" customHeight="1" x14ac:dyDescent="0.2">
      <c r="B40" t="s">
        <v>100</v>
      </c>
      <c r="C40" s="12">
        <v>22</v>
      </c>
      <c r="D40" s="8">
        <v>1.5</v>
      </c>
      <c r="E40" s="12">
        <v>7</v>
      </c>
      <c r="F40" s="8">
        <v>0.8</v>
      </c>
      <c r="G40" s="12">
        <v>11</v>
      </c>
      <c r="H40" s="8">
        <v>1.95</v>
      </c>
      <c r="I40" s="12">
        <v>0</v>
      </c>
    </row>
    <row r="41" spans="2:9" ht="15" customHeight="1" x14ac:dyDescent="0.2">
      <c r="B41" t="s">
        <v>85</v>
      </c>
      <c r="C41" s="12">
        <v>17</v>
      </c>
      <c r="D41" s="8">
        <v>1.1599999999999999</v>
      </c>
      <c r="E41" s="12">
        <v>12</v>
      </c>
      <c r="F41" s="8">
        <v>1.38</v>
      </c>
      <c r="G41" s="12">
        <v>5</v>
      </c>
      <c r="H41" s="8">
        <v>0.89</v>
      </c>
      <c r="I41" s="12">
        <v>0</v>
      </c>
    </row>
    <row r="42" spans="2:9" ht="15" customHeight="1" x14ac:dyDescent="0.2">
      <c r="B42" t="s">
        <v>89</v>
      </c>
      <c r="C42" s="12">
        <v>15</v>
      </c>
      <c r="D42" s="8">
        <v>1.02</v>
      </c>
      <c r="E42" s="12">
        <v>3</v>
      </c>
      <c r="F42" s="8">
        <v>0.34</v>
      </c>
      <c r="G42" s="12">
        <v>12</v>
      </c>
      <c r="H42" s="8">
        <v>2.13</v>
      </c>
      <c r="I42" s="12">
        <v>0</v>
      </c>
    </row>
    <row r="43" spans="2:9" ht="15" customHeight="1" x14ac:dyDescent="0.2">
      <c r="B43" t="s">
        <v>95</v>
      </c>
      <c r="C43" s="12">
        <v>15</v>
      </c>
      <c r="D43" s="8">
        <v>1.02</v>
      </c>
      <c r="E43" s="12">
        <v>6</v>
      </c>
      <c r="F43" s="8">
        <v>0.69</v>
      </c>
      <c r="G43" s="12">
        <v>9</v>
      </c>
      <c r="H43" s="8">
        <v>1.6</v>
      </c>
      <c r="I43" s="12">
        <v>0</v>
      </c>
    </row>
    <row r="44" spans="2:9" ht="15" customHeight="1" x14ac:dyDescent="0.2">
      <c r="B44" t="s">
        <v>97</v>
      </c>
      <c r="C44" s="12">
        <v>15</v>
      </c>
      <c r="D44" s="8">
        <v>1.02</v>
      </c>
      <c r="E44" s="12">
        <v>0</v>
      </c>
      <c r="F44" s="8">
        <v>0</v>
      </c>
      <c r="G44" s="12">
        <v>14</v>
      </c>
      <c r="H44" s="8">
        <v>2.4900000000000002</v>
      </c>
      <c r="I44" s="12">
        <v>1</v>
      </c>
    </row>
    <row r="47" spans="2:9" ht="33" customHeight="1" x14ac:dyDescent="0.2">
      <c r="B47" t="s">
        <v>234</v>
      </c>
      <c r="C47" s="10" t="s">
        <v>59</v>
      </c>
      <c r="D47" s="10" t="s">
        <v>60</v>
      </c>
      <c r="E47" s="10" t="s">
        <v>61</v>
      </c>
      <c r="F47" s="10" t="s">
        <v>62</v>
      </c>
      <c r="G47" s="10" t="s">
        <v>63</v>
      </c>
      <c r="H47" s="10" t="s">
        <v>64</v>
      </c>
      <c r="I47" s="10" t="s">
        <v>65</v>
      </c>
    </row>
    <row r="48" spans="2:9" ht="15" customHeight="1" x14ac:dyDescent="0.2">
      <c r="B48" t="s">
        <v>138</v>
      </c>
      <c r="C48" s="12">
        <v>74</v>
      </c>
      <c r="D48" s="8">
        <v>5.04</v>
      </c>
      <c r="E48" s="12">
        <v>67</v>
      </c>
      <c r="F48" s="8">
        <v>7.69</v>
      </c>
      <c r="G48" s="12">
        <v>7</v>
      </c>
      <c r="H48" s="8">
        <v>1.24</v>
      </c>
      <c r="I48" s="12">
        <v>0</v>
      </c>
    </row>
    <row r="49" spans="2:9" ht="15" customHeight="1" x14ac:dyDescent="0.2">
      <c r="B49" t="s">
        <v>136</v>
      </c>
      <c r="C49" s="12">
        <v>60</v>
      </c>
      <c r="D49" s="8">
        <v>4.09</v>
      </c>
      <c r="E49" s="12">
        <v>54</v>
      </c>
      <c r="F49" s="8">
        <v>6.2</v>
      </c>
      <c r="G49" s="12">
        <v>5</v>
      </c>
      <c r="H49" s="8">
        <v>0.89</v>
      </c>
      <c r="I49" s="12">
        <v>1</v>
      </c>
    </row>
    <row r="50" spans="2:9" ht="15" customHeight="1" x14ac:dyDescent="0.2">
      <c r="B50" t="s">
        <v>137</v>
      </c>
      <c r="C50" s="12">
        <v>41</v>
      </c>
      <c r="D50" s="8">
        <v>2.79</v>
      </c>
      <c r="E50" s="12">
        <v>39</v>
      </c>
      <c r="F50" s="8">
        <v>4.4800000000000004</v>
      </c>
      <c r="G50" s="12">
        <v>2</v>
      </c>
      <c r="H50" s="8">
        <v>0.36</v>
      </c>
      <c r="I50" s="12">
        <v>0</v>
      </c>
    </row>
    <row r="51" spans="2:9" ht="15" customHeight="1" x14ac:dyDescent="0.2">
      <c r="B51" t="s">
        <v>140</v>
      </c>
      <c r="C51" s="12">
        <v>41</v>
      </c>
      <c r="D51" s="8">
        <v>2.79</v>
      </c>
      <c r="E51" s="12">
        <v>38</v>
      </c>
      <c r="F51" s="8">
        <v>4.3600000000000003</v>
      </c>
      <c r="G51" s="12">
        <v>3</v>
      </c>
      <c r="H51" s="8">
        <v>0.53</v>
      </c>
      <c r="I51" s="12">
        <v>0</v>
      </c>
    </row>
    <row r="52" spans="2:9" ht="15" customHeight="1" x14ac:dyDescent="0.2">
      <c r="B52" t="s">
        <v>124</v>
      </c>
      <c r="C52" s="12">
        <v>40</v>
      </c>
      <c r="D52" s="8">
        <v>2.73</v>
      </c>
      <c r="E52" s="12">
        <v>28</v>
      </c>
      <c r="F52" s="8">
        <v>3.21</v>
      </c>
      <c r="G52" s="12">
        <v>12</v>
      </c>
      <c r="H52" s="8">
        <v>2.13</v>
      </c>
      <c r="I52" s="12">
        <v>0</v>
      </c>
    </row>
    <row r="53" spans="2:9" ht="15" customHeight="1" x14ac:dyDescent="0.2">
      <c r="B53" t="s">
        <v>132</v>
      </c>
      <c r="C53" s="12">
        <v>40</v>
      </c>
      <c r="D53" s="8">
        <v>2.73</v>
      </c>
      <c r="E53" s="12">
        <v>27</v>
      </c>
      <c r="F53" s="8">
        <v>3.1</v>
      </c>
      <c r="G53" s="12">
        <v>13</v>
      </c>
      <c r="H53" s="8">
        <v>2.31</v>
      </c>
      <c r="I53" s="12">
        <v>0</v>
      </c>
    </row>
    <row r="54" spans="2:9" ht="15" customHeight="1" x14ac:dyDescent="0.2">
      <c r="B54" t="s">
        <v>128</v>
      </c>
      <c r="C54" s="12">
        <v>35</v>
      </c>
      <c r="D54" s="8">
        <v>2.39</v>
      </c>
      <c r="E54" s="12">
        <v>20</v>
      </c>
      <c r="F54" s="8">
        <v>2.2999999999999998</v>
      </c>
      <c r="G54" s="12">
        <v>15</v>
      </c>
      <c r="H54" s="8">
        <v>2.66</v>
      </c>
      <c r="I54" s="12">
        <v>0</v>
      </c>
    </row>
    <row r="55" spans="2:9" ht="15" customHeight="1" x14ac:dyDescent="0.2">
      <c r="B55" t="s">
        <v>122</v>
      </c>
      <c r="C55" s="12">
        <v>33</v>
      </c>
      <c r="D55" s="8">
        <v>2.25</v>
      </c>
      <c r="E55" s="12">
        <v>8</v>
      </c>
      <c r="F55" s="8">
        <v>0.92</v>
      </c>
      <c r="G55" s="12">
        <v>25</v>
      </c>
      <c r="H55" s="8">
        <v>4.4400000000000004</v>
      </c>
      <c r="I55" s="12">
        <v>0</v>
      </c>
    </row>
    <row r="56" spans="2:9" ht="15" customHeight="1" x14ac:dyDescent="0.2">
      <c r="B56" t="s">
        <v>130</v>
      </c>
      <c r="C56" s="12">
        <v>33</v>
      </c>
      <c r="D56" s="8">
        <v>2.25</v>
      </c>
      <c r="E56" s="12">
        <v>21</v>
      </c>
      <c r="F56" s="8">
        <v>2.41</v>
      </c>
      <c r="G56" s="12">
        <v>12</v>
      </c>
      <c r="H56" s="8">
        <v>2.13</v>
      </c>
      <c r="I56" s="12">
        <v>0</v>
      </c>
    </row>
    <row r="57" spans="2:9" ht="15" customHeight="1" x14ac:dyDescent="0.2">
      <c r="B57" t="s">
        <v>134</v>
      </c>
      <c r="C57" s="12">
        <v>31</v>
      </c>
      <c r="D57" s="8">
        <v>2.11</v>
      </c>
      <c r="E57" s="12">
        <v>27</v>
      </c>
      <c r="F57" s="8">
        <v>3.1</v>
      </c>
      <c r="G57" s="12">
        <v>4</v>
      </c>
      <c r="H57" s="8">
        <v>0.71</v>
      </c>
      <c r="I57" s="12">
        <v>0</v>
      </c>
    </row>
    <row r="58" spans="2:9" ht="15" customHeight="1" x14ac:dyDescent="0.2">
      <c r="B58" t="s">
        <v>129</v>
      </c>
      <c r="C58" s="12">
        <v>29</v>
      </c>
      <c r="D58" s="8">
        <v>1.98</v>
      </c>
      <c r="E58" s="12">
        <v>13</v>
      </c>
      <c r="F58" s="8">
        <v>1.49</v>
      </c>
      <c r="G58" s="12">
        <v>16</v>
      </c>
      <c r="H58" s="8">
        <v>2.84</v>
      </c>
      <c r="I58" s="12">
        <v>0</v>
      </c>
    </row>
    <row r="59" spans="2:9" ht="15" customHeight="1" x14ac:dyDescent="0.2">
      <c r="B59" t="s">
        <v>135</v>
      </c>
      <c r="C59" s="12">
        <v>28</v>
      </c>
      <c r="D59" s="8">
        <v>1.91</v>
      </c>
      <c r="E59" s="12">
        <v>28</v>
      </c>
      <c r="F59" s="8">
        <v>3.21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133</v>
      </c>
      <c r="C60" s="12">
        <v>25</v>
      </c>
      <c r="D60" s="8">
        <v>1.7</v>
      </c>
      <c r="E60" s="12">
        <v>8</v>
      </c>
      <c r="F60" s="8">
        <v>0.92</v>
      </c>
      <c r="G60" s="12">
        <v>16</v>
      </c>
      <c r="H60" s="8">
        <v>2.84</v>
      </c>
      <c r="I60" s="12">
        <v>0</v>
      </c>
    </row>
    <row r="61" spans="2:9" ht="15" customHeight="1" x14ac:dyDescent="0.2">
      <c r="B61" t="s">
        <v>139</v>
      </c>
      <c r="C61" s="12">
        <v>25</v>
      </c>
      <c r="D61" s="8">
        <v>1.7</v>
      </c>
      <c r="E61" s="12">
        <v>23</v>
      </c>
      <c r="F61" s="8">
        <v>2.64</v>
      </c>
      <c r="G61" s="12">
        <v>2</v>
      </c>
      <c r="H61" s="8">
        <v>0.36</v>
      </c>
      <c r="I61" s="12">
        <v>0</v>
      </c>
    </row>
    <row r="62" spans="2:9" ht="15" customHeight="1" x14ac:dyDescent="0.2">
      <c r="B62" t="s">
        <v>125</v>
      </c>
      <c r="C62" s="12">
        <v>24</v>
      </c>
      <c r="D62" s="8">
        <v>1.64</v>
      </c>
      <c r="E62" s="12">
        <v>13</v>
      </c>
      <c r="F62" s="8">
        <v>1.49</v>
      </c>
      <c r="G62" s="12">
        <v>11</v>
      </c>
      <c r="H62" s="8">
        <v>1.95</v>
      </c>
      <c r="I62" s="12">
        <v>0</v>
      </c>
    </row>
    <row r="63" spans="2:9" ht="15" customHeight="1" x14ac:dyDescent="0.2">
      <c r="B63" t="s">
        <v>127</v>
      </c>
      <c r="C63" s="12">
        <v>23</v>
      </c>
      <c r="D63" s="8">
        <v>1.57</v>
      </c>
      <c r="E63" s="12">
        <v>19</v>
      </c>
      <c r="F63" s="8">
        <v>2.1800000000000002</v>
      </c>
      <c r="G63" s="12">
        <v>4</v>
      </c>
      <c r="H63" s="8">
        <v>0.71</v>
      </c>
      <c r="I63" s="12">
        <v>0</v>
      </c>
    </row>
    <row r="64" spans="2:9" ht="15" customHeight="1" x14ac:dyDescent="0.2">
      <c r="B64" t="s">
        <v>123</v>
      </c>
      <c r="C64" s="12">
        <v>22</v>
      </c>
      <c r="D64" s="8">
        <v>1.5</v>
      </c>
      <c r="E64" s="12">
        <v>3</v>
      </c>
      <c r="F64" s="8">
        <v>0.34</v>
      </c>
      <c r="G64" s="12">
        <v>19</v>
      </c>
      <c r="H64" s="8">
        <v>3.37</v>
      </c>
      <c r="I64" s="12">
        <v>0</v>
      </c>
    </row>
    <row r="65" spans="2:9" ht="15" customHeight="1" x14ac:dyDescent="0.2">
      <c r="B65" t="s">
        <v>148</v>
      </c>
      <c r="C65" s="12">
        <v>22</v>
      </c>
      <c r="D65" s="8">
        <v>1.5</v>
      </c>
      <c r="E65" s="12">
        <v>17</v>
      </c>
      <c r="F65" s="8">
        <v>1.95</v>
      </c>
      <c r="G65" s="12">
        <v>5</v>
      </c>
      <c r="H65" s="8">
        <v>0.89</v>
      </c>
      <c r="I65" s="12">
        <v>0</v>
      </c>
    </row>
    <row r="66" spans="2:9" ht="15" customHeight="1" x14ac:dyDescent="0.2">
      <c r="B66" t="s">
        <v>170</v>
      </c>
      <c r="C66" s="12">
        <v>20</v>
      </c>
      <c r="D66" s="8">
        <v>1.36</v>
      </c>
      <c r="E66" s="12">
        <v>6</v>
      </c>
      <c r="F66" s="8">
        <v>0.69</v>
      </c>
      <c r="G66" s="12">
        <v>14</v>
      </c>
      <c r="H66" s="8">
        <v>2.4900000000000002</v>
      </c>
      <c r="I66" s="12">
        <v>0</v>
      </c>
    </row>
    <row r="67" spans="2:9" ht="15" customHeight="1" x14ac:dyDescent="0.2">
      <c r="B67" t="s">
        <v>131</v>
      </c>
      <c r="C67" s="12">
        <v>20</v>
      </c>
      <c r="D67" s="8">
        <v>1.36</v>
      </c>
      <c r="E67" s="12">
        <v>7</v>
      </c>
      <c r="F67" s="8">
        <v>0.8</v>
      </c>
      <c r="G67" s="12">
        <v>13</v>
      </c>
      <c r="H67" s="8">
        <v>2.31</v>
      </c>
      <c r="I67" s="12">
        <v>0</v>
      </c>
    </row>
    <row r="69" spans="2:9" ht="15" customHeight="1" x14ac:dyDescent="0.2">
      <c r="B69" t="s">
        <v>235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BC690-9189-4B17-88D5-B78D99C19AB7}">
  <sheetPr>
    <pageSetUpPr fitToPage="1"/>
  </sheetPr>
  <dimension ref="B2:I71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246</v>
      </c>
    </row>
    <row r="4" spans="2:9" ht="33" customHeight="1" x14ac:dyDescent="0.2">
      <c r="B4" t="s">
        <v>231</v>
      </c>
      <c r="C4" s="10" t="s">
        <v>59</v>
      </c>
      <c r="D4" s="10" t="s">
        <v>60</v>
      </c>
      <c r="E4" s="10" t="s">
        <v>61</v>
      </c>
      <c r="F4" s="10" t="s">
        <v>62</v>
      </c>
      <c r="G4" s="10" t="s">
        <v>63</v>
      </c>
      <c r="H4" s="10" t="s">
        <v>64</v>
      </c>
      <c r="I4" s="10" t="s">
        <v>65</v>
      </c>
    </row>
    <row r="5" spans="2:9" ht="15" customHeight="1" x14ac:dyDescent="0.2">
      <c r="B5" t="s">
        <v>43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44</v>
      </c>
      <c r="C6" s="12">
        <v>201</v>
      </c>
      <c r="D6" s="8">
        <v>14.47</v>
      </c>
      <c r="E6" s="12">
        <v>66</v>
      </c>
      <c r="F6" s="8">
        <v>8.44</v>
      </c>
      <c r="G6" s="12">
        <v>135</v>
      </c>
      <c r="H6" s="8">
        <v>22.61</v>
      </c>
      <c r="I6" s="12">
        <v>0</v>
      </c>
    </row>
    <row r="7" spans="2:9" ht="15" customHeight="1" x14ac:dyDescent="0.2">
      <c r="B7" t="s">
        <v>45</v>
      </c>
      <c r="C7" s="12">
        <v>157</v>
      </c>
      <c r="D7" s="8">
        <v>11.3</v>
      </c>
      <c r="E7" s="12">
        <v>64</v>
      </c>
      <c r="F7" s="8">
        <v>8.18</v>
      </c>
      <c r="G7" s="12">
        <v>93</v>
      </c>
      <c r="H7" s="8">
        <v>15.58</v>
      </c>
      <c r="I7" s="12">
        <v>0</v>
      </c>
    </row>
    <row r="8" spans="2:9" ht="15" customHeight="1" x14ac:dyDescent="0.2">
      <c r="B8" t="s">
        <v>46</v>
      </c>
      <c r="C8" s="12">
        <v>3</v>
      </c>
      <c r="D8" s="8">
        <v>0.22</v>
      </c>
      <c r="E8" s="12">
        <v>0</v>
      </c>
      <c r="F8" s="8">
        <v>0</v>
      </c>
      <c r="G8" s="12">
        <v>3</v>
      </c>
      <c r="H8" s="8">
        <v>0.5</v>
      </c>
      <c r="I8" s="12">
        <v>0</v>
      </c>
    </row>
    <row r="9" spans="2:9" ht="15" customHeight="1" x14ac:dyDescent="0.2">
      <c r="B9" t="s">
        <v>47</v>
      </c>
      <c r="C9" s="12">
        <v>11</v>
      </c>
      <c r="D9" s="8">
        <v>0.79</v>
      </c>
      <c r="E9" s="12">
        <v>1</v>
      </c>
      <c r="F9" s="8">
        <v>0.13</v>
      </c>
      <c r="G9" s="12">
        <v>10</v>
      </c>
      <c r="H9" s="8">
        <v>1.68</v>
      </c>
      <c r="I9" s="12">
        <v>0</v>
      </c>
    </row>
    <row r="10" spans="2:9" ht="15" customHeight="1" x14ac:dyDescent="0.2">
      <c r="B10" t="s">
        <v>48</v>
      </c>
      <c r="C10" s="12">
        <v>19</v>
      </c>
      <c r="D10" s="8">
        <v>1.37</v>
      </c>
      <c r="E10" s="12">
        <v>8</v>
      </c>
      <c r="F10" s="8">
        <v>1.02</v>
      </c>
      <c r="G10" s="12">
        <v>11</v>
      </c>
      <c r="H10" s="8">
        <v>1.84</v>
      </c>
      <c r="I10" s="12">
        <v>0</v>
      </c>
    </row>
    <row r="11" spans="2:9" ht="15" customHeight="1" x14ac:dyDescent="0.2">
      <c r="B11" t="s">
        <v>49</v>
      </c>
      <c r="C11" s="12">
        <v>297</v>
      </c>
      <c r="D11" s="8">
        <v>21.38</v>
      </c>
      <c r="E11" s="12">
        <v>156</v>
      </c>
      <c r="F11" s="8">
        <v>19.95</v>
      </c>
      <c r="G11" s="12">
        <v>141</v>
      </c>
      <c r="H11" s="8">
        <v>23.62</v>
      </c>
      <c r="I11" s="12">
        <v>0</v>
      </c>
    </row>
    <row r="12" spans="2:9" ht="15" customHeight="1" x14ac:dyDescent="0.2">
      <c r="B12" t="s">
        <v>50</v>
      </c>
      <c r="C12" s="12">
        <v>12</v>
      </c>
      <c r="D12" s="8">
        <v>0.86</v>
      </c>
      <c r="E12" s="12">
        <v>1</v>
      </c>
      <c r="F12" s="8">
        <v>0.13</v>
      </c>
      <c r="G12" s="12">
        <v>11</v>
      </c>
      <c r="H12" s="8">
        <v>1.84</v>
      </c>
      <c r="I12" s="12">
        <v>0</v>
      </c>
    </row>
    <row r="13" spans="2:9" ht="15" customHeight="1" x14ac:dyDescent="0.2">
      <c r="B13" t="s">
        <v>51</v>
      </c>
      <c r="C13" s="12">
        <v>109</v>
      </c>
      <c r="D13" s="8">
        <v>7.85</v>
      </c>
      <c r="E13" s="12">
        <v>59</v>
      </c>
      <c r="F13" s="8">
        <v>7.54</v>
      </c>
      <c r="G13" s="12">
        <v>50</v>
      </c>
      <c r="H13" s="8">
        <v>8.3800000000000008</v>
      </c>
      <c r="I13" s="12">
        <v>0</v>
      </c>
    </row>
    <row r="14" spans="2:9" ht="15" customHeight="1" x14ac:dyDescent="0.2">
      <c r="B14" t="s">
        <v>52</v>
      </c>
      <c r="C14" s="12">
        <v>61</v>
      </c>
      <c r="D14" s="8">
        <v>4.3899999999999997</v>
      </c>
      <c r="E14" s="12">
        <v>31</v>
      </c>
      <c r="F14" s="8">
        <v>3.96</v>
      </c>
      <c r="G14" s="12">
        <v>29</v>
      </c>
      <c r="H14" s="8">
        <v>4.8600000000000003</v>
      </c>
      <c r="I14" s="12">
        <v>0</v>
      </c>
    </row>
    <row r="15" spans="2:9" ht="15" customHeight="1" x14ac:dyDescent="0.2">
      <c r="B15" t="s">
        <v>53</v>
      </c>
      <c r="C15" s="12">
        <v>174</v>
      </c>
      <c r="D15" s="8">
        <v>12.53</v>
      </c>
      <c r="E15" s="12">
        <v>141</v>
      </c>
      <c r="F15" s="8">
        <v>18.03</v>
      </c>
      <c r="G15" s="12">
        <v>32</v>
      </c>
      <c r="H15" s="8">
        <v>5.36</v>
      </c>
      <c r="I15" s="12">
        <v>0</v>
      </c>
    </row>
    <row r="16" spans="2:9" ht="15" customHeight="1" x14ac:dyDescent="0.2">
      <c r="B16" t="s">
        <v>54</v>
      </c>
      <c r="C16" s="12">
        <v>159</v>
      </c>
      <c r="D16" s="8">
        <v>11.45</v>
      </c>
      <c r="E16" s="12">
        <v>129</v>
      </c>
      <c r="F16" s="8">
        <v>16.5</v>
      </c>
      <c r="G16" s="12">
        <v>29</v>
      </c>
      <c r="H16" s="8">
        <v>4.8600000000000003</v>
      </c>
      <c r="I16" s="12">
        <v>0</v>
      </c>
    </row>
    <row r="17" spans="2:9" ht="15" customHeight="1" x14ac:dyDescent="0.2">
      <c r="B17" t="s">
        <v>55</v>
      </c>
      <c r="C17" s="12">
        <v>65</v>
      </c>
      <c r="D17" s="8">
        <v>4.68</v>
      </c>
      <c r="E17" s="12">
        <v>44</v>
      </c>
      <c r="F17" s="8">
        <v>5.63</v>
      </c>
      <c r="G17" s="12">
        <v>20</v>
      </c>
      <c r="H17" s="8">
        <v>3.35</v>
      </c>
      <c r="I17" s="12">
        <v>0</v>
      </c>
    </row>
    <row r="18" spans="2:9" ht="15" customHeight="1" x14ac:dyDescent="0.2">
      <c r="B18" t="s">
        <v>56</v>
      </c>
      <c r="C18" s="12">
        <v>74</v>
      </c>
      <c r="D18" s="8">
        <v>5.33</v>
      </c>
      <c r="E18" s="12">
        <v>53</v>
      </c>
      <c r="F18" s="8">
        <v>6.78</v>
      </c>
      <c r="G18" s="12">
        <v>18</v>
      </c>
      <c r="H18" s="8">
        <v>3.02</v>
      </c>
      <c r="I18" s="12">
        <v>0</v>
      </c>
    </row>
    <row r="19" spans="2:9" ht="15" customHeight="1" x14ac:dyDescent="0.2">
      <c r="B19" t="s">
        <v>57</v>
      </c>
      <c r="C19" s="12">
        <v>47</v>
      </c>
      <c r="D19" s="8">
        <v>3.38</v>
      </c>
      <c r="E19" s="12">
        <v>29</v>
      </c>
      <c r="F19" s="8">
        <v>3.71</v>
      </c>
      <c r="G19" s="12">
        <v>15</v>
      </c>
      <c r="H19" s="8">
        <v>2.5099999999999998</v>
      </c>
      <c r="I19" s="12">
        <v>1</v>
      </c>
    </row>
    <row r="20" spans="2:9" ht="15" customHeight="1" x14ac:dyDescent="0.2">
      <c r="B20" s="9" t="s">
        <v>232</v>
      </c>
      <c r="C20" s="12">
        <f>SUM(LTBL_21211[総数／事業所数])</f>
        <v>1389</v>
      </c>
      <c r="E20" s="12">
        <f>SUBTOTAL(109,LTBL_21211[個人／事業所数])</f>
        <v>782</v>
      </c>
      <c r="G20" s="12">
        <f>SUBTOTAL(109,LTBL_21211[法人／事業所数])</f>
        <v>597</v>
      </c>
      <c r="I20" s="12">
        <f>SUBTOTAL(109,LTBL_21211[法人以外の団体／事業所数])</f>
        <v>1</v>
      </c>
    </row>
    <row r="21" spans="2:9" ht="15" customHeight="1" x14ac:dyDescent="0.2">
      <c r="E21" s="11">
        <f>LTBL_21211[[#Totals],[個人／事業所数]]/LTBL_21211[[#Totals],[総数／事業所数]]</f>
        <v>0.56299496040316777</v>
      </c>
      <c r="G21" s="11">
        <f>LTBL_21211[[#Totals],[法人／事業所数]]/LTBL_21211[[#Totals],[総数／事業所数]]</f>
        <v>0.42980561555075592</v>
      </c>
      <c r="I21" s="11">
        <f>LTBL_21211[[#Totals],[法人以外の団体／事業所数]]/LTBL_21211[[#Totals],[総数／事業所数]]</f>
        <v>7.1994240460763136E-4</v>
      </c>
    </row>
    <row r="23" spans="2:9" ht="33" customHeight="1" x14ac:dyDescent="0.2">
      <c r="B23" t="s">
        <v>233</v>
      </c>
      <c r="C23" s="10" t="s">
        <v>59</v>
      </c>
      <c r="D23" s="10" t="s">
        <v>60</v>
      </c>
      <c r="E23" s="10" t="s">
        <v>61</v>
      </c>
      <c r="F23" s="10" t="s">
        <v>62</v>
      </c>
      <c r="G23" s="10" t="s">
        <v>63</v>
      </c>
      <c r="H23" s="10" t="s">
        <v>64</v>
      </c>
      <c r="I23" s="10" t="s">
        <v>65</v>
      </c>
    </row>
    <row r="24" spans="2:9" ht="15" customHeight="1" x14ac:dyDescent="0.2">
      <c r="B24" t="s">
        <v>81</v>
      </c>
      <c r="C24" s="12">
        <v>158</v>
      </c>
      <c r="D24" s="8">
        <v>11.38</v>
      </c>
      <c r="E24" s="12">
        <v>136</v>
      </c>
      <c r="F24" s="8">
        <v>17.39</v>
      </c>
      <c r="G24" s="12">
        <v>22</v>
      </c>
      <c r="H24" s="8">
        <v>3.69</v>
      </c>
      <c r="I24" s="12">
        <v>0</v>
      </c>
    </row>
    <row r="25" spans="2:9" ht="15" customHeight="1" x14ac:dyDescent="0.2">
      <c r="B25" t="s">
        <v>82</v>
      </c>
      <c r="C25" s="12">
        <v>127</v>
      </c>
      <c r="D25" s="8">
        <v>9.14</v>
      </c>
      <c r="E25" s="12">
        <v>113</v>
      </c>
      <c r="F25" s="8">
        <v>14.45</v>
      </c>
      <c r="G25" s="12">
        <v>14</v>
      </c>
      <c r="H25" s="8">
        <v>2.35</v>
      </c>
      <c r="I25" s="12">
        <v>0</v>
      </c>
    </row>
    <row r="26" spans="2:9" ht="15" customHeight="1" x14ac:dyDescent="0.2">
      <c r="B26" t="s">
        <v>77</v>
      </c>
      <c r="C26" s="12">
        <v>89</v>
      </c>
      <c r="D26" s="8">
        <v>6.41</v>
      </c>
      <c r="E26" s="12">
        <v>47</v>
      </c>
      <c r="F26" s="8">
        <v>6.01</v>
      </c>
      <c r="G26" s="12">
        <v>42</v>
      </c>
      <c r="H26" s="8">
        <v>7.04</v>
      </c>
      <c r="I26" s="12">
        <v>0</v>
      </c>
    </row>
    <row r="27" spans="2:9" ht="15" customHeight="1" x14ac:dyDescent="0.2">
      <c r="B27" t="s">
        <v>66</v>
      </c>
      <c r="C27" s="12">
        <v>85</v>
      </c>
      <c r="D27" s="8">
        <v>6.12</v>
      </c>
      <c r="E27" s="12">
        <v>17</v>
      </c>
      <c r="F27" s="8">
        <v>2.17</v>
      </c>
      <c r="G27" s="12">
        <v>68</v>
      </c>
      <c r="H27" s="8">
        <v>11.39</v>
      </c>
      <c r="I27" s="12">
        <v>0</v>
      </c>
    </row>
    <row r="28" spans="2:9" ht="15" customHeight="1" x14ac:dyDescent="0.2">
      <c r="B28" t="s">
        <v>78</v>
      </c>
      <c r="C28" s="12">
        <v>84</v>
      </c>
      <c r="D28" s="8">
        <v>6.05</v>
      </c>
      <c r="E28" s="12">
        <v>50</v>
      </c>
      <c r="F28" s="8">
        <v>6.39</v>
      </c>
      <c r="G28" s="12">
        <v>34</v>
      </c>
      <c r="H28" s="8">
        <v>5.7</v>
      </c>
      <c r="I28" s="12">
        <v>0</v>
      </c>
    </row>
    <row r="29" spans="2:9" ht="15" customHeight="1" x14ac:dyDescent="0.2">
      <c r="B29" t="s">
        <v>67</v>
      </c>
      <c r="C29" s="12">
        <v>65</v>
      </c>
      <c r="D29" s="8">
        <v>4.68</v>
      </c>
      <c r="E29" s="12">
        <v>29</v>
      </c>
      <c r="F29" s="8">
        <v>3.71</v>
      </c>
      <c r="G29" s="12">
        <v>36</v>
      </c>
      <c r="H29" s="8">
        <v>6.03</v>
      </c>
      <c r="I29" s="12">
        <v>0</v>
      </c>
    </row>
    <row r="30" spans="2:9" ht="15" customHeight="1" x14ac:dyDescent="0.2">
      <c r="B30" t="s">
        <v>83</v>
      </c>
      <c r="C30" s="12">
        <v>65</v>
      </c>
      <c r="D30" s="8">
        <v>4.68</v>
      </c>
      <c r="E30" s="12">
        <v>44</v>
      </c>
      <c r="F30" s="8">
        <v>5.63</v>
      </c>
      <c r="G30" s="12">
        <v>20</v>
      </c>
      <c r="H30" s="8">
        <v>3.35</v>
      </c>
      <c r="I30" s="12">
        <v>0</v>
      </c>
    </row>
    <row r="31" spans="2:9" ht="15" customHeight="1" x14ac:dyDescent="0.2">
      <c r="B31" t="s">
        <v>84</v>
      </c>
      <c r="C31" s="12">
        <v>60</v>
      </c>
      <c r="D31" s="8">
        <v>4.32</v>
      </c>
      <c r="E31" s="12">
        <v>53</v>
      </c>
      <c r="F31" s="8">
        <v>6.78</v>
      </c>
      <c r="G31" s="12">
        <v>7</v>
      </c>
      <c r="H31" s="8">
        <v>1.17</v>
      </c>
      <c r="I31" s="12">
        <v>0</v>
      </c>
    </row>
    <row r="32" spans="2:9" ht="15" customHeight="1" x14ac:dyDescent="0.2">
      <c r="B32" t="s">
        <v>76</v>
      </c>
      <c r="C32" s="12">
        <v>59</v>
      </c>
      <c r="D32" s="8">
        <v>4.25</v>
      </c>
      <c r="E32" s="12">
        <v>35</v>
      </c>
      <c r="F32" s="8">
        <v>4.4800000000000004</v>
      </c>
      <c r="G32" s="12">
        <v>24</v>
      </c>
      <c r="H32" s="8">
        <v>4.0199999999999996</v>
      </c>
      <c r="I32" s="12">
        <v>0</v>
      </c>
    </row>
    <row r="33" spans="2:9" ht="15" customHeight="1" x14ac:dyDescent="0.2">
      <c r="B33" t="s">
        <v>68</v>
      </c>
      <c r="C33" s="12">
        <v>51</v>
      </c>
      <c r="D33" s="8">
        <v>3.67</v>
      </c>
      <c r="E33" s="12">
        <v>20</v>
      </c>
      <c r="F33" s="8">
        <v>2.56</v>
      </c>
      <c r="G33" s="12">
        <v>31</v>
      </c>
      <c r="H33" s="8">
        <v>5.19</v>
      </c>
      <c r="I33" s="12">
        <v>0</v>
      </c>
    </row>
    <row r="34" spans="2:9" ht="15" customHeight="1" x14ac:dyDescent="0.2">
      <c r="B34" t="s">
        <v>75</v>
      </c>
      <c r="C34" s="12">
        <v>46</v>
      </c>
      <c r="D34" s="8">
        <v>3.31</v>
      </c>
      <c r="E34" s="12">
        <v>33</v>
      </c>
      <c r="F34" s="8">
        <v>4.22</v>
      </c>
      <c r="G34" s="12">
        <v>13</v>
      </c>
      <c r="H34" s="8">
        <v>2.1800000000000002</v>
      </c>
      <c r="I34" s="12">
        <v>0</v>
      </c>
    </row>
    <row r="35" spans="2:9" ht="15" customHeight="1" x14ac:dyDescent="0.2">
      <c r="B35" t="s">
        <v>74</v>
      </c>
      <c r="C35" s="12">
        <v>34</v>
      </c>
      <c r="D35" s="8">
        <v>2.4500000000000002</v>
      </c>
      <c r="E35" s="12">
        <v>22</v>
      </c>
      <c r="F35" s="8">
        <v>2.81</v>
      </c>
      <c r="G35" s="12">
        <v>12</v>
      </c>
      <c r="H35" s="8">
        <v>2.0099999999999998</v>
      </c>
      <c r="I35" s="12">
        <v>0</v>
      </c>
    </row>
    <row r="36" spans="2:9" ht="15" customHeight="1" x14ac:dyDescent="0.2">
      <c r="B36" t="s">
        <v>80</v>
      </c>
      <c r="C36" s="12">
        <v>32</v>
      </c>
      <c r="D36" s="8">
        <v>2.2999999999999998</v>
      </c>
      <c r="E36" s="12">
        <v>13</v>
      </c>
      <c r="F36" s="8">
        <v>1.66</v>
      </c>
      <c r="G36" s="12">
        <v>18</v>
      </c>
      <c r="H36" s="8">
        <v>3.02</v>
      </c>
      <c r="I36" s="12">
        <v>0</v>
      </c>
    </row>
    <row r="37" spans="2:9" ht="15" customHeight="1" x14ac:dyDescent="0.2">
      <c r="B37" t="s">
        <v>79</v>
      </c>
      <c r="C37" s="12">
        <v>26</v>
      </c>
      <c r="D37" s="8">
        <v>1.87</v>
      </c>
      <c r="E37" s="12">
        <v>18</v>
      </c>
      <c r="F37" s="8">
        <v>2.2999999999999998</v>
      </c>
      <c r="G37" s="12">
        <v>8</v>
      </c>
      <c r="H37" s="8">
        <v>1.34</v>
      </c>
      <c r="I37" s="12">
        <v>0</v>
      </c>
    </row>
    <row r="38" spans="2:9" ht="15" customHeight="1" x14ac:dyDescent="0.2">
      <c r="B38" t="s">
        <v>85</v>
      </c>
      <c r="C38" s="12">
        <v>24</v>
      </c>
      <c r="D38" s="8">
        <v>1.73</v>
      </c>
      <c r="E38" s="12">
        <v>22</v>
      </c>
      <c r="F38" s="8">
        <v>2.81</v>
      </c>
      <c r="G38" s="12">
        <v>2</v>
      </c>
      <c r="H38" s="8">
        <v>0.34</v>
      </c>
      <c r="I38" s="12">
        <v>0</v>
      </c>
    </row>
    <row r="39" spans="2:9" ht="15" customHeight="1" x14ac:dyDescent="0.2">
      <c r="B39" t="s">
        <v>71</v>
      </c>
      <c r="C39" s="12">
        <v>21</v>
      </c>
      <c r="D39" s="8">
        <v>1.51</v>
      </c>
      <c r="E39" s="12">
        <v>9</v>
      </c>
      <c r="F39" s="8">
        <v>1.1499999999999999</v>
      </c>
      <c r="G39" s="12">
        <v>12</v>
      </c>
      <c r="H39" s="8">
        <v>2.0099999999999998</v>
      </c>
      <c r="I39" s="12">
        <v>0</v>
      </c>
    </row>
    <row r="40" spans="2:9" ht="15" customHeight="1" x14ac:dyDescent="0.2">
      <c r="B40" t="s">
        <v>72</v>
      </c>
      <c r="C40" s="12">
        <v>20</v>
      </c>
      <c r="D40" s="8">
        <v>1.44</v>
      </c>
      <c r="E40" s="12">
        <v>7</v>
      </c>
      <c r="F40" s="8">
        <v>0.9</v>
      </c>
      <c r="G40" s="12">
        <v>13</v>
      </c>
      <c r="H40" s="8">
        <v>2.1800000000000002</v>
      </c>
      <c r="I40" s="12">
        <v>0</v>
      </c>
    </row>
    <row r="41" spans="2:9" ht="15" customHeight="1" x14ac:dyDescent="0.2">
      <c r="B41" t="s">
        <v>90</v>
      </c>
      <c r="C41" s="12">
        <v>19</v>
      </c>
      <c r="D41" s="8">
        <v>1.37</v>
      </c>
      <c r="E41" s="12">
        <v>10</v>
      </c>
      <c r="F41" s="8">
        <v>1.28</v>
      </c>
      <c r="G41" s="12">
        <v>9</v>
      </c>
      <c r="H41" s="8">
        <v>1.51</v>
      </c>
      <c r="I41" s="12">
        <v>0</v>
      </c>
    </row>
    <row r="42" spans="2:9" ht="15" customHeight="1" x14ac:dyDescent="0.2">
      <c r="B42" t="s">
        <v>69</v>
      </c>
      <c r="C42" s="12">
        <v>18</v>
      </c>
      <c r="D42" s="8">
        <v>1.3</v>
      </c>
      <c r="E42" s="12">
        <v>13</v>
      </c>
      <c r="F42" s="8">
        <v>1.66</v>
      </c>
      <c r="G42" s="12">
        <v>5</v>
      </c>
      <c r="H42" s="8">
        <v>0.84</v>
      </c>
      <c r="I42" s="12">
        <v>0</v>
      </c>
    </row>
    <row r="43" spans="2:9" ht="15" customHeight="1" x14ac:dyDescent="0.2">
      <c r="B43" t="s">
        <v>87</v>
      </c>
      <c r="C43" s="12">
        <v>18</v>
      </c>
      <c r="D43" s="8">
        <v>1.3</v>
      </c>
      <c r="E43" s="12">
        <v>3</v>
      </c>
      <c r="F43" s="8">
        <v>0.38</v>
      </c>
      <c r="G43" s="12">
        <v>15</v>
      </c>
      <c r="H43" s="8">
        <v>2.5099999999999998</v>
      </c>
      <c r="I43" s="12">
        <v>0</v>
      </c>
    </row>
    <row r="44" spans="2:9" ht="15" customHeight="1" x14ac:dyDescent="0.2">
      <c r="B44" t="s">
        <v>102</v>
      </c>
      <c r="C44" s="12">
        <v>18</v>
      </c>
      <c r="D44" s="8">
        <v>1.3</v>
      </c>
      <c r="E44" s="12">
        <v>9</v>
      </c>
      <c r="F44" s="8">
        <v>1.1499999999999999</v>
      </c>
      <c r="G44" s="12">
        <v>9</v>
      </c>
      <c r="H44" s="8">
        <v>1.51</v>
      </c>
      <c r="I44" s="12">
        <v>0</v>
      </c>
    </row>
    <row r="47" spans="2:9" ht="33" customHeight="1" x14ac:dyDescent="0.2">
      <c r="B47" t="s">
        <v>234</v>
      </c>
      <c r="C47" s="10" t="s">
        <v>59</v>
      </c>
      <c r="D47" s="10" t="s">
        <v>60</v>
      </c>
      <c r="E47" s="10" t="s">
        <v>61</v>
      </c>
      <c r="F47" s="10" t="s">
        <v>62</v>
      </c>
      <c r="G47" s="10" t="s">
        <v>63</v>
      </c>
      <c r="H47" s="10" t="s">
        <v>64</v>
      </c>
      <c r="I47" s="10" t="s">
        <v>65</v>
      </c>
    </row>
    <row r="48" spans="2:9" ht="15" customHeight="1" x14ac:dyDescent="0.2">
      <c r="B48" t="s">
        <v>138</v>
      </c>
      <c r="C48" s="12">
        <v>65</v>
      </c>
      <c r="D48" s="8">
        <v>4.68</v>
      </c>
      <c r="E48" s="12">
        <v>59</v>
      </c>
      <c r="F48" s="8">
        <v>7.54</v>
      </c>
      <c r="G48" s="12">
        <v>6</v>
      </c>
      <c r="H48" s="8">
        <v>1.01</v>
      </c>
      <c r="I48" s="12">
        <v>0</v>
      </c>
    </row>
    <row r="49" spans="2:9" ht="15" customHeight="1" x14ac:dyDescent="0.2">
      <c r="B49" t="s">
        <v>132</v>
      </c>
      <c r="C49" s="12">
        <v>61</v>
      </c>
      <c r="D49" s="8">
        <v>4.3899999999999997</v>
      </c>
      <c r="E49" s="12">
        <v>43</v>
      </c>
      <c r="F49" s="8">
        <v>5.5</v>
      </c>
      <c r="G49" s="12">
        <v>18</v>
      </c>
      <c r="H49" s="8">
        <v>3.02</v>
      </c>
      <c r="I49" s="12">
        <v>0</v>
      </c>
    </row>
    <row r="50" spans="2:9" ht="15" customHeight="1" x14ac:dyDescent="0.2">
      <c r="B50" t="s">
        <v>136</v>
      </c>
      <c r="C50" s="12">
        <v>50</v>
      </c>
      <c r="D50" s="8">
        <v>3.6</v>
      </c>
      <c r="E50" s="12">
        <v>46</v>
      </c>
      <c r="F50" s="8">
        <v>5.88</v>
      </c>
      <c r="G50" s="12">
        <v>4</v>
      </c>
      <c r="H50" s="8">
        <v>0.67</v>
      </c>
      <c r="I50" s="12">
        <v>0</v>
      </c>
    </row>
    <row r="51" spans="2:9" ht="15" customHeight="1" x14ac:dyDescent="0.2">
      <c r="B51" t="s">
        <v>128</v>
      </c>
      <c r="C51" s="12">
        <v>45</v>
      </c>
      <c r="D51" s="8">
        <v>3.24</v>
      </c>
      <c r="E51" s="12">
        <v>27</v>
      </c>
      <c r="F51" s="8">
        <v>3.45</v>
      </c>
      <c r="G51" s="12">
        <v>18</v>
      </c>
      <c r="H51" s="8">
        <v>3.02</v>
      </c>
      <c r="I51" s="12">
        <v>0</v>
      </c>
    </row>
    <row r="52" spans="2:9" ht="15" customHeight="1" x14ac:dyDescent="0.2">
      <c r="B52" t="s">
        <v>140</v>
      </c>
      <c r="C52" s="12">
        <v>43</v>
      </c>
      <c r="D52" s="8">
        <v>3.1</v>
      </c>
      <c r="E52" s="12">
        <v>40</v>
      </c>
      <c r="F52" s="8">
        <v>5.12</v>
      </c>
      <c r="G52" s="12">
        <v>3</v>
      </c>
      <c r="H52" s="8">
        <v>0.5</v>
      </c>
      <c r="I52" s="12">
        <v>0</v>
      </c>
    </row>
    <row r="53" spans="2:9" ht="15" customHeight="1" x14ac:dyDescent="0.2">
      <c r="B53" t="s">
        <v>137</v>
      </c>
      <c r="C53" s="12">
        <v>41</v>
      </c>
      <c r="D53" s="8">
        <v>2.95</v>
      </c>
      <c r="E53" s="12">
        <v>39</v>
      </c>
      <c r="F53" s="8">
        <v>4.99</v>
      </c>
      <c r="G53" s="12">
        <v>2</v>
      </c>
      <c r="H53" s="8">
        <v>0.34</v>
      </c>
      <c r="I53" s="12">
        <v>0</v>
      </c>
    </row>
    <row r="54" spans="2:9" ht="15" customHeight="1" x14ac:dyDescent="0.2">
      <c r="B54" t="s">
        <v>139</v>
      </c>
      <c r="C54" s="12">
        <v>41</v>
      </c>
      <c r="D54" s="8">
        <v>2.95</v>
      </c>
      <c r="E54" s="12">
        <v>33</v>
      </c>
      <c r="F54" s="8">
        <v>4.22</v>
      </c>
      <c r="G54" s="12">
        <v>8</v>
      </c>
      <c r="H54" s="8">
        <v>1.34</v>
      </c>
      <c r="I54" s="12">
        <v>0</v>
      </c>
    </row>
    <row r="55" spans="2:9" ht="15" customHeight="1" x14ac:dyDescent="0.2">
      <c r="B55" t="s">
        <v>122</v>
      </c>
      <c r="C55" s="12">
        <v>40</v>
      </c>
      <c r="D55" s="8">
        <v>2.88</v>
      </c>
      <c r="E55" s="12">
        <v>8</v>
      </c>
      <c r="F55" s="8">
        <v>1.02</v>
      </c>
      <c r="G55" s="12">
        <v>32</v>
      </c>
      <c r="H55" s="8">
        <v>5.36</v>
      </c>
      <c r="I55" s="12">
        <v>0</v>
      </c>
    </row>
    <row r="56" spans="2:9" ht="15" customHeight="1" x14ac:dyDescent="0.2">
      <c r="B56" t="s">
        <v>129</v>
      </c>
      <c r="C56" s="12">
        <v>40</v>
      </c>
      <c r="D56" s="8">
        <v>2.88</v>
      </c>
      <c r="E56" s="12">
        <v>21</v>
      </c>
      <c r="F56" s="8">
        <v>2.69</v>
      </c>
      <c r="G56" s="12">
        <v>19</v>
      </c>
      <c r="H56" s="8">
        <v>3.18</v>
      </c>
      <c r="I56" s="12">
        <v>0</v>
      </c>
    </row>
    <row r="57" spans="2:9" ht="15" customHeight="1" x14ac:dyDescent="0.2">
      <c r="B57" t="s">
        <v>135</v>
      </c>
      <c r="C57" s="12">
        <v>36</v>
      </c>
      <c r="D57" s="8">
        <v>2.59</v>
      </c>
      <c r="E57" s="12">
        <v>33</v>
      </c>
      <c r="F57" s="8">
        <v>4.22</v>
      </c>
      <c r="G57" s="12">
        <v>3</v>
      </c>
      <c r="H57" s="8">
        <v>0.5</v>
      </c>
      <c r="I57" s="12">
        <v>0</v>
      </c>
    </row>
    <row r="58" spans="2:9" ht="15" customHeight="1" x14ac:dyDescent="0.2">
      <c r="B58" t="s">
        <v>134</v>
      </c>
      <c r="C58" s="12">
        <v>34</v>
      </c>
      <c r="D58" s="8">
        <v>2.4500000000000002</v>
      </c>
      <c r="E58" s="12">
        <v>29</v>
      </c>
      <c r="F58" s="8">
        <v>3.71</v>
      </c>
      <c r="G58" s="12">
        <v>5</v>
      </c>
      <c r="H58" s="8">
        <v>0.84</v>
      </c>
      <c r="I58" s="12">
        <v>0</v>
      </c>
    </row>
    <row r="59" spans="2:9" ht="15" customHeight="1" x14ac:dyDescent="0.2">
      <c r="B59" t="s">
        <v>125</v>
      </c>
      <c r="C59" s="12">
        <v>26</v>
      </c>
      <c r="D59" s="8">
        <v>1.87</v>
      </c>
      <c r="E59" s="12">
        <v>12</v>
      </c>
      <c r="F59" s="8">
        <v>1.53</v>
      </c>
      <c r="G59" s="12">
        <v>14</v>
      </c>
      <c r="H59" s="8">
        <v>2.35</v>
      </c>
      <c r="I59" s="12">
        <v>0</v>
      </c>
    </row>
    <row r="60" spans="2:9" ht="15" customHeight="1" x14ac:dyDescent="0.2">
      <c r="B60" t="s">
        <v>141</v>
      </c>
      <c r="C60" s="12">
        <v>24</v>
      </c>
      <c r="D60" s="8">
        <v>1.73</v>
      </c>
      <c r="E60" s="12">
        <v>22</v>
      </c>
      <c r="F60" s="8">
        <v>2.81</v>
      </c>
      <c r="G60" s="12">
        <v>2</v>
      </c>
      <c r="H60" s="8">
        <v>0.34</v>
      </c>
      <c r="I60" s="12">
        <v>0</v>
      </c>
    </row>
    <row r="61" spans="2:9" ht="15" customHeight="1" x14ac:dyDescent="0.2">
      <c r="B61" t="s">
        <v>130</v>
      </c>
      <c r="C61" s="12">
        <v>22</v>
      </c>
      <c r="D61" s="8">
        <v>1.58</v>
      </c>
      <c r="E61" s="12">
        <v>12</v>
      </c>
      <c r="F61" s="8">
        <v>1.53</v>
      </c>
      <c r="G61" s="12">
        <v>10</v>
      </c>
      <c r="H61" s="8">
        <v>1.68</v>
      </c>
      <c r="I61" s="12">
        <v>0</v>
      </c>
    </row>
    <row r="62" spans="2:9" ht="15" customHeight="1" x14ac:dyDescent="0.2">
      <c r="B62" t="s">
        <v>143</v>
      </c>
      <c r="C62" s="12">
        <v>21</v>
      </c>
      <c r="D62" s="8">
        <v>1.51</v>
      </c>
      <c r="E62" s="12">
        <v>17</v>
      </c>
      <c r="F62" s="8">
        <v>2.17</v>
      </c>
      <c r="G62" s="12">
        <v>4</v>
      </c>
      <c r="H62" s="8">
        <v>0.67</v>
      </c>
      <c r="I62" s="12">
        <v>0</v>
      </c>
    </row>
    <row r="63" spans="2:9" ht="15" customHeight="1" x14ac:dyDescent="0.2">
      <c r="B63" t="s">
        <v>145</v>
      </c>
      <c r="C63" s="12">
        <v>21</v>
      </c>
      <c r="D63" s="8">
        <v>1.51</v>
      </c>
      <c r="E63" s="12">
        <v>11</v>
      </c>
      <c r="F63" s="8">
        <v>1.41</v>
      </c>
      <c r="G63" s="12">
        <v>10</v>
      </c>
      <c r="H63" s="8">
        <v>1.68</v>
      </c>
      <c r="I63" s="12">
        <v>0</v>
      </c>
    </row>
    <row r="64" spans="2:9" ht="15" customHeight="1" x14ac:dyDescent="0.2">
      <c r="B64" t="s">
        <v>124</v>
      </c>
      <c r="C64" s="12">
        <v>20</v>
      </c>
      <c r="D64" s="8">
        <v>1.44</v>
      </c>
      <c r="E64" s="12">
        <v>4</v>
      </c>
      <c r="F64" s="8">
        <v>0.51</v>
      </c>
      <c r="G64" s="12">
        <v>16</v>
      </c>
      <c r="H64" s="8">
        <v>2.68</v>
      </c>
      <c r="I64" s="12">
        <v>0</v>
      </c>
    </row>
    <row r="65" spans="2:9" ht="15" customHeight="1" x14ac:dyDescent="0.2">
      <c r="B65" t="s">
        <v>157</v>
      </c>
      <c r="C65" s="12">
        <v>19</v>
      </c>
      <c r="D65" s="8">
        <v>1.37</v>
      </c>
      <c r="E65" s="12">
        <v>12</v>
      </c>
      <c r="F65" s="8">
        <v>1.53</v>
      </c>
      <c r="G65" s="12">
        <v>7</v>
      </c>
      <c r="H65" s="8">
        <v>1.17</v>
      </c>
      <c r="I65" s="12">
        <v>0</v>
      </c>
    </row>
    <row r="66" spans="2:9" ht="15" customHeight="1" x14ac:dyDescent="0.2">
      <c r="B66" t="s">
        <v>133</v>
      </c>
      <c r="C66" s="12">
        <v>19</v>
      </c>
      <c r="D66" s="8">
        <v>1.37</v>
      </c>
      <c r="E66" s="12">
        <v>6</v>
      </c>
      <c r="F66" s="8">
        <v>0.77</v>
      </c>
      <c r="G66" s="12">
        <v>12</v>
      </c>
      <c r="H66" s="8">
        <v>2.0099999999999998</v>
      </c>
      <c r="I66" s="12">
        <v>0</v>
      </c>
    </row>
    <row r="67" spans="2:9" ht="15" customHeight="1" x14ac:dyDescent="0.2">
      <c r="B67" t="s">
        <v>123</v>
      </c>
      <c r="C67" s="12">
        <v>18</v>
      </c>
      <c r="D67" s="8">
        <v>1.3</v>
      </c>
      <c r="E67" s="12">
        <v>3</v>
      </c>
      <c r="F67" s="8">
        <v>0.38</v>
      </c>
      <c r="G67" s="12">
        <v>15</v>
      </c>
      <c r="H67" s="8">
        <v>2.5099999999999998</v>
      </c>
      <c r="I67" s="12">
        <v>0</v>
      </c>
    </row>
    <row r="68" spans="2:9" ht="15" customHeight="1" x14ac:dyDescent="0.2">
      <c r="B68" t="s">
        <v>158</v>
      </c>
      <c r="C68" s="12">
        <v>18</v>
      </c>
      <c r="D68" s="8">
        <v>1.3</v>
      </c>
      <c r="E68" s="12">
        <v>8</v>
      </c>
      <c r="F68" s="8">
        <v>1.02</v>
      </c>
      <c r="G68" s="12">
        <v>10</v>
      </c>
      <c r="H68" s="8">
        <v>1.68</v>
      </c>
      <c r="I68" s="12">
        <v>0</v>
      </c>
    </row>
    <row r="69" spans="2:9" ht="15" customHeight="1" x14ac:dyDescent="0.2">
      <c r="B69" t="s">
        <v>131</v>
      </c>
      <c r="C69" s="12">
        <v>18</v>
      </c>
      <c r="D69" s="8">
        <v>1.3</v>
      </c>
      <c r="E69" s="12">
        <v>5</v>
      </c>
      <c r="F69" s="8">
        <v>0.64</v>
      </c>
      <c r="G69" s="12">
        <v>13</v>
      </c>
      <c r="H69" s="8">
        <v>2.1800000000000002</v>
      </c>
      <c r="I69" s="12">
        <v>0</v>
      </c>
    </row>
    <row r="71" spans="2:9" ht="15" customHeight="1" x14ac:dyDescent="0.2">
      <c r="B71" t="s">
        <v>235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F5207-CD0A-4A75-B414-44DBCC542F71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247</v>
      </c>
    </row>
    <row r="4" spans="2:9" ht="33" customHeight="1" x14ac:dyDescent="0.2">
      <c r="B4" t="s">
        <v>231</v>
      </c>
      <c r="C4" s="10" t="s">
        <v>59</v>
      </c>
      <c r="D4" s="10" t="s">
        <v>60</v>
      </c>
      <c r="E4" s="10" t="s">
        <v>61</v>
      </c>
      <c r="F4" s="10" t="s">
        <v>62</v>
      </c>
      <c r="G4" s="10" t="s">
        <v>63</v>
      </c>
      <c r="H4" s="10" t="s">
        <v>64</v>
      </c>
      <c r="I4" s="10" t="s">
        <v>65</v>
      </c>
    </row>
    <row r="5" spans="2:9" ht="15" customHeight="1" x14ac:dyDescent="0.2">
      <c r="B5" t="s">
        <v>43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44</v>
      </c>
      <c r="C6" s="12">
        <v>242</v>
      </c>
      <c r="D6" s="8">
        <v>12.03</v>
      </c>
      <c r="E6" s="12">
        <v>114</v>
      </c>
      <c r="F6" s="8">
        <v>9.84</v>
      </c>
      <c r="G6" s="12">
        <v>128</v>
      </c>
      <c r="H6" s="8">
        <v>15.37</v>
      </c>
      <c r="I6" s="12">
        <v>0</v>
      </c>
    </row>
    <row r="7" spans="2:9" ht="15" customHeight="1" x14ac:dyDescent="0.2">
      <c r="B7" t="s">
        <v>45</v>
      </c>
      <c r="C7" s="12">
        <v>630</v>
      </c>
      <c r="D7" s="8">
        <v>31.31</v>
      </c>
      <c r="E7" s="12">
        <v>355</v>
      </c>
      <c r="F7" s="8">
        <v>30.63</v>
      </c>
      <c r="G7" s="12">
        <v>275</v>
      </c>
      <c r="H7" s="8">
        <v>33.01</v>
      </c>
      <c r="I7" s="12">
        <v>0</v>
      </c>
    </row>
    <row r="8" spans="2:9" ht="15" customHeight="1" x14ac:dyDescent="0.2">
      <c r="B8" t="s">
        <v>46</v>
      </c>
      <c r="C8" s="12">
        <v>2</v>
      </c>
      <c r="D8" s="8">
        <v>0.1</v>
      </c>
      <c r="E8" s="12">
        <v>0</v>
      </c>
      <c r="F8" s="8">
        <v>0</v>
      </c>
      <c r="G8" s="12">
        <v>1</v>
      </c>
      <c r="H8" s="8">
        <v>0.12</v>
      </c>
      <c r="I8" s="12">
        <v>0</v>
      </c>
    </row>
    <row r="9" spans="2:9" ht="15" customHeight="1" x14ac:dyDescent="0.2">
      <c r="B9" t="s">
        <v>47</v>
      </c>
      <c r="C9" s="12">
        <v>5</v>
      </c>
      <c r="D9" s="8">
        <v>0.25</v>
      </c>
      <c r="E9" s="12">
        <v>0</v>
      </c>
      <c r="F9" s="8">
        <v>0</v>
      </c>
      <c r="G9" s="12">
        <v>5</v>
      </c>
      <c r="H9" s="8">
        <v>0.6</v>
      </c>
      <c r="I9" s="12">
        <v>0</v>
      </c>
    </row>
    <row r="10" spans="2:9" ht="15" customHeight="1" x14ac:dyDescent="0.2">
      <c r="B10" t="s">
        <v>48</v>
      </c>
      <c r="C10" s="12">
        <v>22</v>
      </c>
      <c r="D10" s="8">
        <v>1.0900000000000001</v>
      </c>
      <c r="E10" s="12">
        <v>6</v>
      </c>
      <c r="F10" s="8">
        <v>0.52</v>
      </c>
      <c r="G10" s="12">
        <v>15</v>
      </c>
      <c r="H10" s="8">
        <v>1.8</v>
      </c>
      <c r="I10" s="12">
        <v>1</v>
      </c>
    </row>
    <row r="11" spans="2:9" ht="15" customHeight="1" x14ac:dyDescent="0.2">
      <c r="B11" t="s">
        <v>49</v>
      </c>
      <c r="C11" s="12">
        <v>441</v>
      </c>
      <c r="D11" s="8">
        <v>21.92</v>
      </c>
      <c r="E11" s="12">
        <v>217</v>
      </c>
      <c r="F11" s="8">
        <v>18.72</v>
      </c>
      <c r="G11" s="12">
        <v>223</v>
      </c>
      <c r="H11" s="8">
        <v>26.77</v>
      </c>
      <c r="I11" s="12">
        <v>1</v>
      </c>
    </row>
    <row r="12" spans="2:9" ht="15" customHeight="1" x14ac:dyDescent="0.2">
      <c r="B12" t="s">
        <v>50</v>
      </c>
      <c r="C12" s="12">
        <v>5</v>
      </c>
      <c r="D12" s="8">
        <v>0.25</v>
      </c>
      <c r="E12" s="12">
        <v>0</v>
      </c>
      <c r="F12" s="8">
        <v>0</v>
      </c>
      <c r="G12" s="12">
        <v>5</v>
      </c>
      <c r="H12" s="8">
        <v>0.6</v>
      </c>
      <c r="I12" s="12">
        <v>0</v>
      </c>
    </row>
    <row r="13" spans="2:9" ht="15" customHeight="1" x14ac:dyDescent="0.2">
      <c r="B13" t="s">
        <v>51</v>
      </c>
      <c r="C13" s="12">
        <v>72</v>
      </c>
      <c r="D13" s="8">
        <v>3.58</v>
      </c>
      <c r="E13" s="12">
        <v>16</v>
      </c>
      <c r="F13" s="8">
        <v>1.38</v>
      </c>
      <c r="G13" s="12">
        <v>55</v>
      </c>
      <c r="H13" s="8">
        <v>6.6</v>
      </c>
      <c r="I13" s="12">
        <v>0</v>
      </c>
    </row>
    <row r="14" spans="2:9" ht="15" customHeight="1" x14ac:dyDescent="0.2">
      <c r="B14" t="s">
        <v>52</v>
      </c>
      <c r="C14" s="12">
        <v>62</v>
      </c>
      <c r="D14" s="8">
        <v>3.08</v>
      </c>
      <c r="E14" s="12">
        <v>39</v>
      </c>
      <c r="F14" s="8">
        <v>3.36</v>
      </c>
      <c r="G14" s="12">
        <v>21</v>
      </c>
      <c r="H14" s="8">
        <v>2.52</v>
      </c>
      <c r="I14" s="12">
        <v>0</v>
      </c>
    </row>
    <row r="15" spans="2:9" ht="15" customHeight="1" x14ac:dyDescent="0.2">
      <c r="B15" t="s">
        <v>53</v>
      </c>
      <c r="C15" s="12">
        <v>187</v>
      </c>
      <c r="D15" s="8">
        <v>9.2899999999999991</v>
      </c>
      <c r="E15" s="12">
        <v>161</v>
      </c>
      <c r="F15" s="8">
        <v>13.89</v>
      </c>
      <c r="G15" s="12">
        <v>25</v>
      </c>
      <c r="H15" s="8">
        <v>3</v>
      </c>
      <c r="I15" s="12">
        <v>0</v>
      </c>
    </row>
    <row r="16" spans="2:9" ht="15" customHeight="1" x14ac:dyDescent="0.2">
      <c r="B16" t="s">
        <v>54</v>
      </c>
      <c r="C16" s="12">
        <v>176</v>
      </c>
      <c r="D16" s="8">
        <v>8.75</v>
      </c>
      <c r="E16" s="12">
        <v>147</v>
      </c>
      <c r="F16" s="8">
        <v>12.68</v>
      </c>
      <c r="G16" s="12">
        <v>28</v>
      </c>
      <c r="H16" s="8">
        <v>3.36</v>
      </c>
      <c r="I16" s="12">
        <v>0</v>
      </c>
    </row>
    <row r="17" spans="2:9" ht="15" customHeight="1" x14ac:dyDescent="0.2">
      <c r="B17" t="s">
        <v>55</v>
      </c>
      <c r="C17" s="12">
        <v>51</v>
      </c>
      <c r="D17" s="8">
        <v>2.5299999999999998</v>
      </c>
      <c r="E17" s="12">
        <v>32</v>
      </c>
      <c r="F17" s="8">
        <v>2.76</v>
      </c>
      <c r="G17" s="12">
        <v>9</v>
      </c>
      <c r="H17" s="8">
        <v>1.08</v>
      </c>
      <c r="I17" s="12">
        <v>0</v>
      </c>
    </row>
    <row r="18" spans="2:9" ht="15" customHeight="1" x14ac:dyDescent="0.2">
      <c r="B18" t="s">
        <v>56</v>
      </c>
      <c r="C18" s="12">
        <v>79</v>
      </c>
      <c r="D18" s="8">
        <v>3.93</v>
      </c>
      <c r="E18" s="12">
        <v>52</v>
      </c>
      <c r="F18" s="8">
        <v>4.49</v>
      </c>
      <c r="G18" s="12">
        <v>25</v>
      </c>
      <c r="H18" s="8">
        <v>3</v>
      </c>
      <c r="I18" s="12">
        <v>0</v>
      </c>
    </row>
    <row r="19" spans="2:9" ht="15" customHeight="1" x14ac:dyDescent="0.2">
      <c r="B19" t="s">
        <v>57</v>
      </c>
      <c r="C19" s="12">
        <v>38</v>
      </c>
      <c r="D19" s="8">
        <v>1.89</v>
      </c>
      <c r="E19" s="12">
        <v>20</v>
      </c>
      <c r="F19" s="8">
        <v>1.73</v>
      </c>
      <c r="G19" s="12">
        <v>18</v>
      </c>
      <c r="H19" s="8">
        <v>2.16</v>
      </c>
      <c r="I19" s="12">
        <v>0</v>
      </c>
    </row>
    <row r="20" spans="2:9" ht="15" customHeight="1" x14ac:dyDescent="0.2">
      <c r="B20" s="9" t="s">
        <v>232</v>
      </c>
      <c r="C20" s="12">
        <f>SUM(LTBL_21212[総数／事業所数])</f>
        <v>2012</v>
      </c>
      <c r="E20" s="12">
        <f>SUBTOTAL(109,LTBL_21212[個人／事業所数])</f>
        <v>1159</v>
      </c>
      <c r="G20" s="12">
        <f>SUBTOTAL(109,LTBL_21212[法人／事業所数])</f>
        <v>833</v>
      </c>
      <c r="I20" s="12">
        <f>SUBTOTAL(109,LTBL_21212[法人以外の団体／事業所数])</f>
        <v>2</v>
      </c>
    </row>
    <row r="21" spans="2:9" ht="15" customHeight="1" x14ac:dyDescent="0.2">
      <c r="E21" s="11">
        <f>LTBL_21212[[#Totals],[個人／事業所数]]/LTBL_21212[[#Totals],[総数／事業所数]]</f>
        <v>0.57604373757455274</v>
      </c>
      <c r="G21" s="11">
        <f>LTBL_21212[[#Totals],[法人／事業所数]]/LTBL_21212[[#Totals],[総数／事業所数]]</f>
        <v>0.4140159045725646</v>
      </c>
      <c r="I21" s="11">
        <f>LTBL_21212[[#Totals],[法人以外の団体／事業所数]]/LTBL_21212[[#Totals],[総数／事業所数]]</f>
        <v>9.9403578528827028E-4</v>
      </c>
    </row>
    <row r="23" spans="2:9" ht="33" customHeight="1" x14ac:dyDescent="0.2">
      <c r="B23" t="s">
        <v>233</v>
      </c>
      <c r="C23" s="10" t="s">
        <v>59</v>
      </c>
      <c r="D23" s="10" t="s">
        <v>60</v>
      </c>
      <c r="E23" s="10" t="s">
        <v>61</v>
      </c>
      <c r="F23" s="10" t="s">
        <v>62</v>
      </c>
      <c r="G23" s="10" t="s">
        <v>63</v>
      </c>
      <c r="H23" s="10" t="s">
        <v>64</v>
      </c>
      <c r="I23" s="10" t="s">
        <v>65</v>
      </c>
    </row>
    <row r="24" spans="2:9" ht="15" customHeight="1" x14ac:dyDescent="0.2">
      <c r="B24" t="s">
        <v>70</v>
      </c>
      <c r="C24" s="12">
        <v>508</v>
      </c>
      <c r="D24" s="8">
        <v>25.25</v>
      </c>
      <c r="E24" s="12">
        <v>298</v>
      </c>
      <c r="F24" s="8">
        <v>25.71</v>
      </c>
      <c r="G24" s="12">
        <v>210</v>
      </c>
      <c r="H24" s="8">
        <v>25.21</v>
      </c>
      <c r="I24" s="12">
        <v>0</v>
      </c>
    </row>
    <row r="25" spans="2:9" ht="15" customHeight="1" x14ac:dyDescent="0.2">
      <c r="B25" t="s">
        <v>81</v>
      </c>
      <c r="C25" s="12">
        <v>168</v>
      </c>
      <c r="D25" s="8">
        <v>8.35</v>
      </c>
      <c r="E25" s="12">
        <v>151</v>
      </c>
      <c r="F25" s="8">
        <v>13.03</v>
      </c>
      <c r="G25" s="12">
        <v>17</v>
      </c>
      <c r="H25" s="8">
        <v>2.04</v>
      </c>
      <c r="I25" s="12">
        <v>0</v>
      </c>
    </row>
    <row r="26" spans="2:9" ht="15" customHeight="1" x14ac:dyDescent="0.2">
      <c r="B26" t="s">
        <v>82</v>
      </c>
      <c r="C26" s="12">
        <v>148</v>
      </c>
      <c r="D26" s="8">
        <v>7.36</v>
      </c>
      <c r="E26" s="12">
        <v>135</v>
      </c>
      <c r="F26" s="8">
        <v>11.65</v>
      </c>
      <c r="G26" s="12">
        <v>13</v>
      </c>
      <c r="H26" s="8">
        <v>1.56</v>
      </c>
      <c r="I26" s="12">
        <v>0</v>
      </c>
    </row>
    <row r="27" spans="2:9" ht="15" customHeight="1" x14ac:dyDescent="0.2">
      <c r="B27" t="s">
        <v>73</v>
      </c>
      <c r="C27" s="12">
        <v>116</v>
      </c>
      <c r="D27" s="8">
        <v>5.77</v>
      </c>
      <c r="E27" s="12">
        <v>47</v>
      </c>
      <c r="F27" s="8">
        <v>4.0599999999999996</v>
      </c>
      <c r="G27" s="12">
        <v>69</v>
      </c>
      <c r="H27" s="8">
        <v>8.2799999999999994</v>
      </c>
      <c r="I27" s="12">
        <v>0</v>
      </c>
    </row>
    <row r="28" spans="2:9" ht="15" customHeight="1" x14ac:dyDescent="0.2">
      <c r="B28" t="s">
        <v>66</v>
      </c>
      <c r="C28" s="12">
        <v>115</v>
      </c>
      <c r="D28" s="8">
        <v>5.72</v>
      </c>
      <c r="E28" s="12">
        <v>47</v>
      </c>
      <c r="F28" s="8">
        <v>4.0599999999999996</v>
      </c>
      <c r="G28" s="12">
        <v>68</v>
      </c>
      <c r="H28" s="8">
        <v>8.16</v>
      </c>
      <c r="I28" s="12">
        <v>0</v>
      </c>
    </row>
    <row r="29" spans="2:9" ht="15" customHeight="1" x14ac:dyDescent="0.2">
      <c r="B29" t="s">
        <v>77</v>
      </c>
      <c r="C29" s="12">
        <v>99</v>
      </c>
      <c r="D29" s="8">
        <v>4.92</v>
      </c>
      <c r="E29" s="12">
        <v>53</v>
      </c>
      <c r="F29" s="8">
        <v>4.57</v>
      </c>
      <c r="G29" s="12">
        <v>46</v>
      </c>
      <c r="H29" s="8">
        <v>5.52</v>
      </c>
      <c r="I29" s="12">
        <v>0</v>
      </c>
    </row>
    <row r="30" spans="2:9" ht="15" customHeight="1" x14ac:dyDescent="0.2">
      <c r="B30" t="s">
        <v>75</v>
      </c>
      <c r="C30" s="12">
        <v>77</v>
      </c>
      <c r="D30" s="8">
        <v>3.83</v>
      </c>
      <c r="E30" s="12">
        <v>58</v>
      </c>
      <c r="F30" s="8">
        <v>5</v>
      </c>
      <c r="G30" s="12">
        <v>18</v>
      </c>
      <c r="H30" s="8">
        <v>2.16</v>
      </c>
      <c r="I30" s="12">
        <v>1</v>
      </c>
    </row>
    <row r="31" spans="2:9" ht="15" customHeight="1" x14ac:dyDescent="0.2">
      <c r="B31" t="s">
        <v>67</v>
      </c>
      <c r="C31" s="12">
        <v>67</v>
      </c>
      <c r="D31" s="8">
        <v>3.33</v>
      </c>
      <c r="E31" s="12">
        <v>39</v>
      </c>
      <c r="F31" s="8">
        <v>3.36</v>
      </c>
      <c r="G31" s="12">
        <v>28</v>
      </c>
      <c r="H31" s="8">
        <v>3.36</v>
      </c>
      <c r="I31" s="12">
        <v>0</v>
      </c>
    </row>
    <row r="32" spans="2:9" ht="15" customHeight="1" x14ac:dyDescent="0.2">
      <c r="B32" t="s">
        <v>68</v>
      </c>
      <c r="C32" s="12">
        <v>60</v>
      </c>
      <c r="D32" s="8">
        <v>2.98</v>
      </c>
      <c r="E32" s="12">
        <v>28</v>
      </c>
      <c r="F32" s="8">
        <v>2.42</v>
      </c>
      <c r="G32" s="12">
        <v>32</v>
      </c>
      <c r="H32" s="8">
        <v>3.84</v>
      </c>
      <c r="I32" s="12">
        <v>0</v>
      </c>
    </row>
    <row r="33" spans="2:9" ht="15" customHeight="1" x14ac:dyDescent="0.2">
      <c r="B33" t="s">
        <v>74</v>
      </c>
      <c r="C33" s="12">
        <v>57</v>
      </c>
      <c r="D33" s="8">
        <v>2.83</v>
      </c>
      <c r="E33" s="12">
        <v>23</v>
      </c>
      <c r="F33" s="8">
        <v>1.98</v>
      </c>
      <c r="G33" s="12">
        <v>34</v>
      </c>
      <c r="H33" s="8">
        <v>4.08</v>
      </c>
      <c r="I33" s="12">
        <v>0</v>
      </c>
    </row>
    <row r="34" spans="2:9" ht="15" customHeight="1" x14ac:dyDescent="0.2">
      <c r="B34" t="s">
        <v>84</v>
      </c>
      <c r="C34" s="12">
        <v>54</v>
      </c>
      <c r="D34" s="8">
        <v>2.68</v>
      </c>
      <c r="E34" s="12">
        <v>52</v>
      </c>
      <c r="F34" s="8">
        <v>4.49</v>
      </c>
      <c r="G34" s="12">
        <v>2</v>
      </c>
      <c r="H34" s="8">
        <v>0.24</v>
      </c>
      <c r="I34" s="12">
        <v>0</v>
      </c>
    </row>
    <row r="35" spans="2:9" ht="15" customHeight="1" x14ac:dyDescent="0.2">
      <c r="B35" t="s">
        <v>83</v>
      </c>
      <c r="C35" s="12">
        <v>51</v>
      </c>
      <c r="D35" s="8">
        <v>2.5299999999999998</v>
      </c>
      <c r="E35" s="12">
        <v>32</v>
      </c>
      <c r="F35" s="8">
        <v>2.76</v>
      </c>
      <c r="G35" s="12">
        <v>9</v>
      </c>
      <c r="H35" s="8">
        <v>1.08</v>
      </c>
      <c r="I35" s="12">
        <v>0</v>
      </c>
    </row>
    <row r="36" spans="2:9" ht="15" customHeight="1" x14ac:dyDescent="0.2">
      <c r="B36" t="s">
        <v>78</v>
      </c>
      <c r="C36" s="12">
        <v>50</v>
      </c>
      <c r="D36" s="8">
        <v>2.4900000000000002</v>
      </c>
      <c r="E36" s="12">
        <v>13</v>
      </c>
      <c r="F36" s="8">
        <v>1.1200000000000001</v>
      </c>
      <c r="G36" s="12">
        <v>36</v>
      </c>
      <c r="H36" s="8">
        <v>4.32</v>
      </c>
      <c r="I36" s="12">
        <v>0</v>
      </c>
    </row>
    <row r="37" spans="2:9" ht="15" customHeight="1" x14ac:dyDescent="0.2">
      <c r="B37" t="s">
        <v>76</v>
      </c>
      <c r="C37" s="12">
        <v>37</v>
      </c>
      <c r="D37" s="8">
        <v>1.84</v>
      </c>
      <c r="E37" s="12">
        <v>26</v>
      </c>
      <c r="F37" s="8">
        <v>2.2400000000000002</v>
      </c>
      <c r="G37" s="12">
        <v>11</v>
      </c>
      <c r="H37" s="8">
        <v>1.32</v>
      </c>
      <c r="I37" s="12">
        <v>0</v>
      </c>
    </row>
    <row r="38" spans="2:9" ht="15" customHeight="1" x14ac:dyDescent="0.2">
      <c r="B38" t="s">
        <v>79</v>
      </c>
      <c r="C38" s="12">
        <v>36</v>
      </c>
      <c r="D38" s="8">
        <v>1.79</v>
      </c>
      <c r="E38" s="12">
        <v>31</v>
      </c>
      <c r="F38" s="8">
        <v>2.67</v>
      </c>
      <c r="G38" s="12">
        <v>5</v>
      </c>
      <c r="H38" s="8">
        <v>0.6</v>
      </c>
      <c r="I38" s="12">
        <v>0</v>
      </c>
    </row>
    <row r="39" spans="2:9" ht="15" customHeight="1" x14ac:dyDescent="0.2">
      <c r="B39" t="s">
        <v>99</v>
      </c>
      <c r="C39" s="12">
        <v>28</v>
      </c>
      <c r="D39" s="8">
        <v>1.39</v>
      </c>
      <c r="E39" s="12">
        <v>17</v>
      </c>
      <c r="F39" s="8">
        <v>1.47</v>
      </c>
      <c r="G39" s="12">
        <v>11</v>
      </c>
      <c r="H39" s="8">
        <v>1.32</v>
      </c>
      <c r="I39" s="12">
        <v>0</v>
      </c>
    </row>
    <row r="40" spans="2:9" ht="15" customHeight="1" x14ac:dyDescent="0.2">
      <c r="B40" t="s">
        <v>97</v>
      </c>
      <c r="C40" s="12">
        <v>25</v>
      </c>
      <c r="D40" s="8">
        <v>1.24</v>
      </c>
      <c r="E40" s="12">
        <v>0</v>
      </c>
      <c r="F40" s="8">
        <v>0</v>
      </c>
      <c r="G40" s="12">
        <v>23</v>
      </c>
      <c r="H40" s="8">
        <v>2.76</v>
      </c>
      <c r="I40" s="12">
        <v>0</v>
      </c>
    </row>
    <row r="41" spans="2:9" ht="15" customHeight="1" x14ac:dyDescent="0.2">
      <c r="B41" t="s">
        <v>80</v>
      </c>
      <c r="C41" s="12">
        <v>22</v>
      </c>
      <c r="D41" s="8">
        <v>1.0900000000000001</v>
      </c>
      <c r="E41" s="12">
        <v>8</v>
      </c>
      <c r="F41" s="8">
        <v>0.69</v>
      </c>
      <c r="G41" s="12">
        <v>12</v>
      </c>
      <c r="H41" s="8">
        <v>1.44</v>
      </c>
      <c r="I41" s="12">
        <v>0</v>
      </c>
    </row>
    <row r="42" spans="2:9" ht="15" customHeight="1" x14ac:dyDescent="0.2">
      <c r="B42" t="s">
        <v>90</v>
      </c>
      <c r="C42" s="12">
        <v>20</v>
      </c>
      <c r="D42" s="8">
        <v>0.99</v>
      </c>
      <c r="E42" s="12">
        <v>7</v>
      </c>
      <c r="F42" s="8">
        <v>0.6</v>
      </c>
      <c r="G42" s="12">
        <v>12</v>
      </c>
      <c r="H42" s="8">
        <v>1.44</v>
      </c>
      <c r="I42" s="12">
        <v>0</v>
      </c>
    </row>
    <row r="43" spans="2:9" ht="15" customHeight="1" x14ac:dyDescent="0.2">
      <c r="B43" t="s">
        <v>89</v>
      </c>
      <c r="C43" s="12">
        <v>19</v>
      </c>
      <c r="D43" s="8">
        <v>0.94</v>
      </c>
      <c r="E43" s="12">
        <v>1</v>
      </c>
      <c r="F43" s="8">
        <v>0.09</v>
      </c>
      <c r="G43" s="12">
        <v>18</v>
      </c>
      <c r="H43" s="8">
        <v>2.16</v>
      </c>
      <c r="I43" s="12">
        <v>0</v>
      </c>
    </row>
    <row r="46" spans="2:9" ht="33" customHeight="1" x14ac:dyDescent="0.2">
      <c r="B46" t="s">
        <v>234</v>
      </c>
      <c r="C46" s="10" t="s">
        <v>59</v>
      </c>
      <c r="D46" s="10" t="s">
        <v>60</v>
      </c>
      <c r="E46" s="10" t="s">
        <v>61</v>
      </c>
      <c r="F46" s="10" t="s">
        <v>62</v>
      </c>
      <c r="G46" s="10" t="s">
        <v>63</v>
      </c>
      <c r="H46" s="10" t="s">
        <v>64</v>
      </c>
      <c r="I46" s="10" t="s">
        <v>65</v>
      </c>
    </row>
    <row r="47" spans="2:9" ht="15" customHeight="1" x14ac:dyDescent="0.2">
      <c r="B47" t="s">
        <v>126</v>
      </c>
      <c r="C47" s="12">
        <v>431</v>
      </c>
      <c r="D47" s="8">
        <v>21.42</v>
      </c>
      <c r="E47" s="12">
        <v>279</v>
      </c>
      <c r="F47" s="8">
        <v>24.07</v>
      </c>
      <c r="G47" s="12">
        <v>152</v>
      </c>
      <c r="H47" s="8">
        <v>18.25</v>
      </c>
      <c r="I47" s="12">
        <v>0</v>
      </c>
    </row>
    <row r="48" spans="2:9" ht="15" customHeight="1" x14ac:dyDescent="0.2">
      <c r="B48" t="s">
        <v>151</v>
      </c>
      <c r="C48" s="12">
        <v>95</v>
      </c>
      <c r="D48" s="8">
        <v>4.72</v>
      </c>
      <c r="E48" s="12">
        <v>45</v>
      </c>
      <c r="F48" s="8">
        <v>3.88</v>
      </c>
      <c r="G48" s="12">
        <v>50</v>
      </c>
      <c r="H48" s="8">
        <v>6</v>
      </c>
      <c r="I48" s="12">
        <v>0</v>
      </c>
    </row>
    <row r="49" spans="2:9" ht="15" customHeight="1" x14ac:dyDescent="0.2">
      <c r="B49" t="s">
        <v>138</v>
      </c>
      <c r="C49" s="12">
        <v>82</v>
      </c>
      <c r="D49" s="8">
        <v>4.08</v>
      </c>
      <c r="E49" s="12">
        <v>79</v>
      </c>
      <c r="F49" s="8">
        <v>6.82</v>
      </c>
      <c r="G49" s="12">
        <v>3</v>
      </c>
      <c r="H49" s="8">
        <v>0.36</v>
      </c>
      <c r="I49" s="12">
        <v>0</v>
      </c>
    </row>
    <row r="50" spans="2:9" ht="15" customHeight="1" x14ac:dyDescent="0.2">
      <c r="B50" t="s">
        <v>136</v>
      </c>
      <c r="C50" s="12">
        <v>54</v>
      </c>
      <c r="D50" s="8">
        <v>2.68</v>
      </c>
      <c r="E50" s="12">
        <v>51</v>
      </c>
      <c r="F50" s="8">
        <v>4.4000000000000004</v>
      </c>
      <c r="G50" s="12">
        <v>3</v>
      </c>
      <c r="H50" s="8">
        <v>0.36</v>
      </c>
      <c r="I50" s="12">
        <v>0</v>
      </c>
    </row>
    <row r="51" spans="2:9" ht="15" customHeight="1" x14ac:dyDescent="0.2">
      <c r="B51" t="s">
        <v>172</v>
      </c>
      <c r="C51" s="12">
        <v>50</v>
      </c>
      <c r="D51" s="8">
        <v>2.4900000000000002</v>
      </c>
      <c r="E51" s="12">
        <v>16</v>
      </c>
      <c r="F51" s="8">
        <v>1.38</v>
      </c>
      <c r="G51" s="12">
        <v>34</v>
      </c>
      <c r="H51" s="8">
        <v>4.08</v>
      </c>
      <c r="I51" s="12">
        <v>0</v>
      </c>
    </row>
    <row r="52" spans="2:9" ht="15" customHeight="1" x14ac:dyDescent="0.2">
      <c r="B52" t="s">
        <v>137</v>
      </c>
      <c r="C52" s="12">
        <v>47</v>
      </c>
      <c r="D52" s="8">
        <v>2.34</v>
      </c>
      <c r="E52" s="12">
        <v>45</v>
      </c>
      <c r="F52" s="8">
        <v>3.88</v>
      </c>
      <c r="G52" s="12">
        <v>2</v>
      </c>
      <c r="H52" s="8">
        <v>0.24</v>
      </c>
      <c r="I52" s="12">
        <v>0</v>
      </c>
    </row>
    <row r="53" spans="2:9" ht="15" customHeight="1" x14ac:dyDescent="0.2">
      <c r="B53" t="s">
        <v>140</v>
      </c>
      <c r="C53" s="12">
        <v>45</v>
      </c>
      <c r="D53" s="8">
        <v>2.2400000000000002</v>
      </c>
      <c r="E53" s="12">
        <v>43</v>
      </c>
      <c r="F53" s="8">
        <v>3.71</v>
      </c>
      <c r="G53" s="12">
        <v>2</v>
      </c>
      <c r="H53" s="8">
        <v>0.24</v>
      </c>
      <c r="I53" s="12">
        <v>0</v>
      </c>
    </row>
    <row r="54" spans="2:9" ht="15" customHeight="1" x14ac:dyDescent="0.2">
      <c r="B54" t="s">
        <v>122</v>
      </c>
      <c r="C54" s="12">
        <v>41</v>
      </c>
      <c r="D54" s="8">
        <v>2.04</v>
      </c>
      <c r="E54" s="12">
        <v>14</v>
      </c>
      <c r="F54" s="8">
        <v>1.21</v>
      </c>
      <c r="G54" s="12">
        <v>27</v>
      </c>
      <c r="H54" s="8">
        <v>3.24</v>
      </c>
      <c r="I54" s="12">
        <v>0</v>
      </c>
    </row>
    <row r="55" spans="2:9" ht="15" customHeight="1" x14ac:dyDescent="0.2">
      <c r="B55" t="s">
        <v>134</v>
      </c>
      <c r="C55" s="12">
        <v>40</v>
      </c>
      <c r="D55" s="8">
        <v>1.99</v>
      </c>
      <c r="E55" s="12">
        <v>34</v>
      </c>
      <c r="F55" s="8">
        <v>2.93</v>
      </c>
      <c r="G55" s="12">
        <v>6</v>
      </c>
      <c r="H55" s="8">
        <v>0.72</v>
      </c>
      <c r="I55" s="12">
        <v>0</v>
      </c>
    </row>
    <row r="56" spans="2:9" ht="15" customHeight="1" x14ac:dyDescent="0.2">
      <c r="B56" t="s">
        <v>124</v>
      </c>
      <c r="C56" s="12">
        <v>35</v>
      </c>
      <c r="D56" s="8">
        <v>1.74</v>
      </c>
      <c r="E56" s="12">
        <v>17</v>
      </c>
      <c r="F56" s="8">
        <v>1.47</v>
      </c>
      <c r="G56" s="12">
        <v>18</v>
      </c>
      <c r="H56" s="8">
        <v>2.16</v>
      </c>
      <c r="I56" s="12">
        <v>0</v>
      </c>
    </row>
    <row r="57" spans="2:9" ht="15" customHeight="1" x14ac:dyDescent="0.2">
      <c r="B57" t="s">
        <v>125</v>
      </c>
      <c r="C57" s="12">
        <v>27</v>
      </c>
      <c r="D57" s="8">
        <v>1.34</v>
      </c>
      <c r="E57" s="12">
        <v>14</v>
      </c>
      <c r="F57" s="8">
        <v>1.21</v>
      </c>
      <c r="G57" s="12">
        <v>13</v>
      </c>
      <c r="H57" s="8">
        <v>1.56</v>
      </c>
      <c r="I57" s="12">
        <v>0</v>
      </c>
    </row>
    <row r="58" spans="2:9" ht="15" customHeight="1" x14ac:dyDescent="0.2">
      <c r="B58" t="s">
        <v>127</v>
      </c>
      <c r="C58" s="12">
        <v>27</v>
      </c>
      <c r="D58" s="8">
        <v>1.34</v>
      </c>
      <c r="E58" s="12">
        <v>17</v>
      </c>
      <c r="F58" s="8">
        <v>1.47</v>
      </c>
      <c r="G58" s="12">
        <v>10</v>
      </c>
      <c r="H58" s="8">
        <v>1.2</v>
      </c>
      <c r="I58" s="12">
        <v>0</v>
      </c>
    </row>
    <row r="59" spans="2:9" ht="15" customHeight="1" x14ac:dyDescent="0.2">
      <c r="B59" t="s">
        <v>128</v>
      </c>
      <c r="C59" s="12">
        <v>27</v>
      </c>
      <c r="D59" s="8">
        <v>1.34</v>
      </c>
      <c r="E59" s="12">
        <v>18</v>
      </c>
      <c r="F59" s="8">
        <v>1.55</v>
      </c>
      <c r="G59" s="12">
        <v>9</v>
      </c>
      <c r="H59" s="8">
        <v>1.08</v>
      </c>
      <c r="I59" s="12">
        <v>0</v>
      </c>
    </row>
    <row r="60" spans="2:9" ht="15" customHeight="1" x14ac:dyDescent="0.2">
      <c r="B60" t="s">
        <v>132</v>
      </c>
      <c r="C60" s="12">
        <v>25</v>
      </c>
      <c r="D60" s="8">
        <v>1.24</v>
      </c>
      <c r="E60" s="12">
        <v>11</v>
      </c>
      <c r="F60" s="8">
        <v>0.95</v>
      </c>
      <c r="G60" s="12">
        <v>14</v>
      </c>
      <c r="H60" s="8">
        <v>1.68</v>
      </c>
      <c r="I60" s="12">
        <v>0</v>
      </c>
    </row>
    <row r="61" spans="2:9" ht="15" customHeight="1" x14ac:dyDescent="0.2">
      <c r="B61" t="s">
        <v>130</v>
      </c>
      <c r="C61" s="12">
        <v>24</v>
      </c>
      <c r="D61" s="8">
        <v>1.19</v>
      </c>
      <c r="E61" s="12">
        <v>18</v>
      </c>
      <c r="F61" s="8">
        <v>1.55</v>
      </c>
      <c r="G61" s="12">
        <v>6</v>
      </c>
      <c r="H61" s="8">
        <v>0.72</v>
      </c>
      <c r="I61" s="12">
        <v>0</v>
      </c>
    </row>
    <row r="62" spans="2:9" ht="15" customHeight="1" x14ac:dyDescent="0.2">
      <c r="B62" t="s">
        <v>158</v>
      </c>
      <c r="C62" s="12">
        <v>23</v>
      </c>
      <c r="D62" s="8">
        <v>1.1399999999999999</v>
      </c>
      <c r="E62" s="12">
        <v>13</v>
      </c>
      <c r="F62" s="8">
        <v>1.1200000000000001</v>
      </c>
      <c r="G62" s="12">
        <v>10</v>
      </c>
      <c r="H62" s="8">
        <v>1.2</v>
      </c>
      <c r="I62" s="12">
        <v>0</v>
      </c>
    </row>
    <row r="63" spans="2:9" ht="15" customHeight="1" x14ac:dyDescent="0.2">
      <c r="B63" t="s">
        <v>171</v>
      </c>
      <c r="C63" s="12">
        <v>23</v>
      </c>
      <c r="D63" s="8">
        <v>1.1399999999999999</v>
      </c>
      <c r="E63" s="12">
        <v>13</v>
      </c>
      <c r="F63" s="8">
        <v>1.1200000000000001</v>
      </c>
      <c r="G63" s="12">
        <v>10</v>
      </c>
      <c r="H63" s="8">
        <v>1.2</v>
      </c>
      <c r="I63" s="12">
        <v>0</v>
      </c>
    </row>
    <row r="64" spans="2:9" ht="15" customHeight="1" x14ac:dyDescent="0.2">
      <c r="B64" t="s">
        <v>139</v>
      </c>
      <c r="C64" s="12">
        <v>23</v>
      </c>
      <c r="D64" s="8">
        <v>1.1399999999999999</v>
      </c>
      <c r="E64" s="12">
        <v>19</v>
      </c>
      <c r="F64" s="8">
        <v>1.64</v>
      </c>
      <c r="G64" s="12">
        <v>4</v>
      </c>
      <c r="H64" s="8">
        <v>0.48</v>
      </c>
      <c r="I64" s="12">
        <v>0</v>
      </c>
    </row>
    <row r="65" spans="2:9" ht="15" customHeight="1" x14ac:dyDescent="0.2">
      <c r="B65" t="s">
        <v>123</v>
      </c>
      <c r="C65" s="12">
        <v>21</v>
      </c>
      <c r="D65" s="8">
        <v>1.04</v>
      </c>
      <c r="E65" s="12">
        <v>9</v>
      </c>
      <c r="F65" s="8">
        <v>0.78</v>
      </c>
      <c r="G65" s="12">
        <v>12</v>
      </c>
      <c r="H65" s="8">
        <v>1.44</v>
      </c>
      <c r="I65" s="12">
        <v>0</v>
      </c>
    </row>
    <row r="66" spans="2:9" ht="15" customHeight="1" x14ac:dyDescent="0.2">
      <c r="B66" t="s">
        <v>157</v>
      </c>
      <c r="C66" s="12">
        <v>21</v>
      </c>
      <c r="D66" s="8">
        <v>1.04</v>
      </c>
      <c r="E66" s="12">
        <v>9</v>
      </c>
      <c r="F66" s="8">
        <v>0.78</v>
      </c>
      <c r="G66" s="12">
        <v>12</v>
      </c>
      <c r="H66" s="8">
        <v>1.44</v>
      </c>
      <c r="I66" s="12">
        <v>0</v>
      </c>
    </row>
    <row r="67" spans="2:9" ht="15" customHeight="1" x14ac:dyDescent="0.2">
      <c r="B67" t="s">
        <v>131</v>
      </c>
      <c r="C67" s="12">
        <v>21</v>
      </c>
      <c r="D67" s="8">
        <v>1.04</v>
      </c>
      <c r="E67" s="12">
        <v>2</v>
      </c>
      <c r="F67" s="8">
        <v>0.17</v>
      </c>
      <c r="G67" s="12">
        <v>18</v>
      </c>
      <c r="H67" s="8">
        <v>2.16</v>
      </c>
      <c r="I67" s="12">
        <v>0</v>
      </c>
    </row>
    <row r="69" spans="2:9" ht="15" customHeight="1" x14ac:dyDescent="0.2">
      <c r="B69" t="s">
        <v>235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3AF7A-A3CF-42CA-80DE-603BC0B0D3C3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248</v>
      </c>
    </row>
    <row r="4" spans="2:9" ht="33" customHeight="1" x14ac:dyDescent="0.2">
      <c r="B4" t="s">
        <v>231</v>
      </c>
      <c r="C4" s="10" t="s">
        <v>59</v>
      </c>
      <c r="D4" s="10" t="s">
        <v>60</v>
      </c>
      <c r="E4" s="10" t="s">
        <v>61</v>
      </c>
      <c r="F4" s="10" t="s">
        <v>62</v>
      </c>
      <c r="G4" s="10" t="s">
        <v>63</v>
      </c>
      <c r="H4" s="10" t="s">
        <v>64</v>
      </c>
      <c r="I4" s="10" t="s">
        <v>65</v>
      </c>
    </row>
    <row r="5" spans="2:9" ht="15" customHeight="1" x14ac:dyDescent="0.2">
      <c r="B5" t="s">
        <v>43</v>
      </c>
      <c r="C5" s="12">
        <v>1</v>
      </c>
      <c r="D5" s="8">
        <v>0.03</v>
      </c>
      <c r="E5" s="12">
        <v>0</v>
      </c>
      <c r="F5" s="8">
        <v>0</v>
      </c>
      <c r="G5" s="12">
        <v>1</v>
      </c>
      <c r="H5" s="8">
        <v>7.0000000000000007E-2</v>
      </c>
      <c r="I5" s="12">
        <v>0</v>
      </c>
    </row>
    <row r="6" spans="2:9" ht="15" customHeight="1" x14ac:dyDescent="0.2">
      <c r="B6" t="s">
        <v>44</v>
      </c>
      <c r="C6" s="12">
        <v>406</v>
      </c>
      <c r="D6" s="8">
        <v>12.99</v>
      </c>
      <c r="E6" s="12">
        <v>108</v>
      </c>
      <c r="F6" s="8">
        <v>6.7</v>
      </c>
      <c r="G6" s="12">
        <v>298</v>
      </c>
      <c r="H6" s="8">
        <v>19.88</v>
      </c>
      <c r="I6" s="12">
        <v>0</v>
      </c>
    </row>
    <row r="7" spans="2:9" ht="15" customHeight="1" x14ac:dyDescent="0.2">
      <c r="B7" t="s">
        <v>45</v>
      </c>
      <c r="C7" s="12">
        <v>535</v>
      </c>
      <c r="D7" s="8">
        <v>17.12</v>
      </c>
      <c r="E7" s="12">
        <v>236</v>
      </c>
      <c r="F7" s="8">
        <v>14.63</v>
      </c>
      <c r="G7" s="12">
        <v>299</v>
      </c>
      <c r="H7" s="8">
        <v>19.95</v>
      </c>
      <c r="I7" s="12">
        <v>0</v>
      </c>
    </row>
    <row r="8" spans="2:9" ht="15" customHeight="1" x14ac:dyDescent="0.2">
      <c r="B8" t="s">
        <v>46</v>
      </c>
      <c r="C8" s="12">
        <v>1</v>
      </c>
      <c r="D8" s="8">
        <v>0.03</v>
      </c>
      <c r="E8" s="12">
        <v>0</v>
      </c>
      <c r="F8" s="8">
        <v>0</v>
      </c>
      <c r="G8" s="12">
        <v>1</v>
      </c>
      <c r="H8" s="8">
        <v>7.0000000000000007E-2</v>
      </c>
      <c r="I8" s="12">
        <v>0</v>
      </c>
    </row>
    <row r="9" spans="2:9" ht="15" customHeight="1" x14ac:dyDescent="0.2">
      <c r="B9" t="s">
        <v>47</v>
      </c>
      <c r="C9" s="12">
        <v>16</v>
      </c>
      <c r="D9" s="8">
        <v>0.51</v>
      </c>
      <c r="E9" s="12">
        <v>3</v>
      </c>
      <c r="F9" s="8">
        <v>0.19</v>
      </c>
      <c r="G9" s="12">
        <v>13</v>
      </c>
      <c r="H9" s="8">
        <v>0.87</v>
      </c>
      <c r="I9" s="12">
        <v>0</v>
      </c>
    </row>
    <row r="10" spans="2:9" ht="15" customHeight="1" x14ac:dyDescent="0.2">
      <c r="B10" t="s">
        <v>48</v>
      </c>
      <c r="C10" s="12">
        <v>30</v>
      </c>
      <c r="D10" s="8">
        <v>0.96</v>
      </c>
      <c r="E10" s="12">
        <v>4</v>
      </c>
      <c r="F10" s="8">
        <v>0.25</v>
      </c>
      <c r="G10" s="12">
        <v>26</v>
      </c>
      <c r="H10" s="8">
        <v>1.73</v>
      </c>
      <c r="I10" s="12">
        <v>0</v>
      </c>
    </row>
    <row r="11" spans="2:9" ht="15" customHeight="1" x14ac:dyDescent="0.2">
      <c r="B11" t="s">
        <v>49</v>
      </c>
      <c r="C11" s="12">
        <v>657</v>
      </c>
      <c r="D11" s="8">
        <v>21.02</v>
      </c>
      <c r="E11" s="12">
        <v>305</v>
      </c>
      <c r="F11" s="8">
        <v>18.91</v>
      </c>
      <c r="G11" s="12">
        <v>350</v>
      </c>
      <c r="H11" s="8">
        <v>23.35</v>
      </c>
      <c r="I11" s="12">
        <v>2</v>
      </c>
    </row>
    <row r="12" spans="2:9" ht="15" customHeight="1" x14ac:dyDescent="0.2">
      <c r="B12" t="s">
        <v>50</v>
      </c>
      <c r="C12" s="12">
        <v>20</v>
      </c>
      <c r="D12" s="8">
        <v>0.64</v>
      </c>
      <c r="E12" s="12">
        <v>3</v>
      </c>
      <c r="F12" s="8">
        <v>0.19</v>
      </c>
      <c r="G12" s="12">
        <v>17</v>
      </c>
      <c r="H12" s="8">
        <v>1.1299999999999999</v>
      </c>
      <c r="I12" s="12">
        <v>0</v>
      </c>
    </row>
    <row r="13" spans="2:9" ht="15" customHeight="1" x14ac:dyDescent="0.2">
      <c r="B13" t="s">
        <v>51</v>
      </c>
      <c r="C13" s="12">
        <v>168</v>
      </c>
      <c r="D13" s="8">
        <v>5.38</v>
      </c>
      <c r="E13" s="12">
        <v>37</v>
      </c>
      <c r="F13" s="8">
        <v>2.29</v>
      </c>
      <c r="G13" s="12">
        <v>130</v>
      </c>
      <c r="H13" s="8">
        <v>8.67</v>
      </c>
      <c r="I13" s="12">
        <v>0</v>
      </c>
    </row>
    <row r="14" spans="2:9" ht="15" customHeight="1" x14ac:dyDescent="0.2">
      <c r="B14" t="s">
        <v>52</v>
      </c>
      <c r="C14" s="12">
        <v>154</v>
      </c>
      <c r="D14" s="8">
        <v>4.93</v>
      </c>
      <c r="E14" s="12">
        <v>79</v>
      </c>
      <c r="F14" s="8">
        <v>4.9000000000000004</v>
      </c>
      <c r="G14" s="12">
        <v>74</v>
      </c>
      <c r="H14" s="8">
        <v>4.9400000000000004</v>
      </c>
      <c r="I14" s="12">
        <v>0</v>
      </c>
    </row>
    <row r="15" spans="2:9" ht="15" customHeight="1" x14ac:dyDescent="0.2">
      <c r="B15" t="s">
        <v>53</v>
      </c>
      <c r="C15" s="12">
        <v>328</v>
      </c>
      <c r="D15" s="8">
        <v>10.5</v>
      </c>
      <c r="E15" s="12">
        <v>269</v>
      </c>
      <c r="F15" s="8">
        <v>16.68</v>
      </c>
      <c r="G15" s="12">
        <v>58</v>
      </c>
      <c r="H15" s="8">
        <v>3.87</v>
      </c>
      <c r="I15" s="12">
        <v>0</v>
      </c>
    </row>
    <row r="16" spans="2:9" ht="15" customHeight="1" x14ac:dyDescent="0.2">
      <c r="B16" t="s">
        <v>54</v>
      </c>
      <c r="C16" s="12">
        <v>383</v>
      </c>
      <c r="D16" s="8">
        <v>12.26</v>
      </c>
      <c r="E16" s="12">
        <v>293</v>
      </c>
      <c r="F16" s="8">
        <v>18.16</v>
      </c>
      <c r="G16" s="12">
        <v>87</v>
      </c>
      <c r="H16" s="8">
        <v>5.8</v>
      </c>
      <c r="I16" s="12">
        <v>0</v>
      </c>
    </row>
    <row r="17" spans="2:9" ht="15" customHeight="1" x14ac:dyDescent="0.2">
      <c r="B17" t="s">
        <v>55</v>
      </c>
      <c r="C17" s="12">
        <v>146</v>
      </c>
      <c r="D17" s="8">
        <v>4.67</v>
      </c>
      <c r="E17" s="12">
        <v>102</v>
      </c>
      <c r="F17" s="8">
        <v>6.32</v>
      </c>
      <c r="G17" s="12">
        <v>43</v>
      </c>
      <c r="H17" s="8">
        <v>2.87</v>
      </c>
      <c r="I17" s="12">
        <v>0</v>
      </c>
    </row>
    <row r="18" spans="2:9" ht="15" customHeight="1" x14ac:dyDescent="0.2">
      <c r="B18" t="s">
        <v>56</v>
      </c>
      <c r="C18" s="12">
        <v>155</v>
      </c>
      <c r="D18" s="8">
        <v>4.96</v>
      </c>
      <c r="E18" s="12">
        <v>122</v>
      </c>
      <c r="F18" s="8">
        <v>7.56</v>
      </c>
      <c r="G18" s="12">
        <v>31</v>
      </c>
      <c r="H18" s="8">
        <v>2.0699999999999998</v>
      </c>
      <c r="I18" s="12">
        <v>0</v>
      </c>
    </row>
    <row r="19" spans="2:9" ht="15" customHeight="1" x14ac:dyDescent="0.2">
      <c r="B19" t="s">
        <v>57</v>
      </c>
      <c r="C19" s="12">
        <v>125</v>
      </c>
      <c r="D19" s="8">
        <v>4</v>
      </c>
      <c r="E19" s="12">
        <v>52</v>
      </c>
      <c r="F19" s="8">
        <v>3.22</v>
      </c>
      <c r="G19" s="12">
        <v>71</v>
      </c>
      <c r="H19" s="8">
        <v>4.74</v>
      </c>
      <c r="I19" s="12">
        <v>2</v>
      </c>
    </row>
    <row r="20" spans="2:9" ht="15" customHeight="1" x14ac:dyDescent="0.2">
      <c r="B20" s="9" t="s">
        <v>232</v>
      </c>
      <c r="C20" s="12">
        <f>SUM(LTBL_21213[総数／事業所数])</f>
        <v>3125</v>
      </c>
      <c r="E20" s="12">
        <f>SUBTOTAL(109,LTBL_21213[個人／事業所数])</f>
        <v>1613</v>
      </c>
      <c r="G20" s="12">
        <f>SUBTOTAL(109,LTBL_21213[法人／事業所数])</f>
        <v>1499</v>
      </c>
      <c r="I20" s="12">
        <f>SUBTOTAL(109,LTBL_21213[法人以外の団体／事業所数])</f>
        <v>4</v>
      </c>
    </row>
    <row r="21" spans="2:9" ht="15" customHeight="1" x14ac:dyDescent="0.2">
      <c r="E21" s="11">
        <f>LTBL_21213[[#Totals],[個人／事業所数]]/LTBL_21213[[#Totals],[総数／事業所数]]</f>
        <v>0.51615999999999995</v>
      </c>
      <c r="G21" s="11">
        <f>LTBL_21213[[#Totals],[法人／事業所数]]/LTBL_21213[[#Totals],[総数／事業所数]]</f>
        <v>0.47968</v>
      </c>
      <c r="I21" s="11">
        <f>LTBL_21213[[#Totals],[法人以外の団体／事業所数]]/LTBL_21213[[#Totals],[総数／事業所数]]</f>
        <v>1.2800000000000001E-3</v>
      </c>
    </row>
    <row r="23" spans="2:9" ht="33" customHeight="1" x14ac:dyDescent="0.2">
      <c r="B23" t="s">
        <v>233</v>
      </c>
      <c r="C23" s="10" t="s">
        <v>59</v>
      </c>
      <c r="D23" s="10" t="s">
        <v>60</v>
      </c>
      <c r="E23" s="10" t="s">
        <v>61</v>
      </c>
      <c r="F23" s="10" t="s">
        <v>62</v>
      </c>
      <c r="G23" s="10" t="s">
        <v>63</v>
      </c>
      <c r="H23" s="10" t="s">
        <v>64</v>
      </c>
      <c r="I23" s="10" t="s">
        <v>65</v>
      </c>
    </row>
    <row r="24" spans="2:9" ht="15" customHeight="1" x14ac:dyDescent="0.2">
      <c r="B24" t="s">
        <v>82</v>
      </c>
      <c r="C24" s="12">
        <v>312</v>
      </c>
      <c r="D24" s="8">
        <v>9.98</v>
      </c>
      <c r="E24" s="12">
        <v>258</v>
      </c>
      <c r="F24" s="8">
        <v>16</v>
      </c>
      <c r="G24" s="12">
        <v>54</v>
      </c>
      <c r="H24" s="8">
        <v>3.6</v>
      </c>
      <c r="I24" s="12">
        <v>0</v>
      </c>
    </row>
    <row r="25" spans="2:9" ht="15" customHeight="1" x14ac:dyDescent="0.2">
      <c r="B25" t="s">
        <v>81</v>
      </c>
      <c r="C25" s="12">
        <v>291</v>
      </c>
      <c r="D25" s="8">
        <v>9.31</v>
      </c>
      <c r="E25" s="12">
        <v>258</v>
      </c>
      <c r="F25" s="8">
        <v>16</v>
      </c>
      <c r="G25" s="12">
        <v>33</v>
      </c>
      <c r="H25" s="8">
        <v>2.2000000000000002</v>
      </c>
      <c r="I25" s="12">
        <v>0</v>
      </c>
    </row>
    <row r="26" spans="2:9" ht="15" customHeight="1" x14ac:dyDescent="0.2">
      <c r="B26" t="s">
        <v>77</v>
      </c>
      <c r="C26" s="12">
        <v>178</v>
      </c>
      <c r="D26" s="8">
        <v>5.7</v>
      </c>
      <c r="E26" s="12">
        <v>88</v>
      </c>
      <c r="F26" s="8">
        <v>5.46</v>
      </c>
      <c r="G26" s="12">
        <v>90</v>
      </c>
      <c r="H26" s="8">
        <v>6</v>
      </c>
      <c r="I26" s="12">
        <v>0</v>
      </c>
    </row>
    <row r="27" spans="2:9" ht="15" customHeight="1" x14ac:dyDescent="0.2">
      <c r="B27" t="s">
        <v>66</v>
      </c>
      <c r="C27" s="12">
        <v>176</v>
      </c>
      <c r="D27" s="8">
        <v>5.63</v>
      </c>
      <c r="E27" s="12">
        <v>32</v>
      </c>
      <c r="F27" s="8">
        <v>1.98</v>
      </c>
      <c r="G27" s="12">
        <v>144</v>
      </c>
      <c r="H27" s="8">
        <v>9.61</v>
      </c>
      <c r="I27" s="12">
        <v>0</v>
      </c>
    </row>
    <row r="28" spans="2:9" ht="15" customHeight="1" x14ac:dyDescent="0.2">
      <c r="B28" t="s">
        <v>83</v>
      </c>
      <c r="C28" s="12">
        <v>146</v>
      </c>
      <c r="D28" s="8">
        <v>4.67</v>
      </c>
      <c r="E28" s="12">
        <v>102</v>
      </c>
      <c r="F28" s="8">
        <v>6.32</v>
      </c>
      <c r="G28" s="12">
        <v>43</v>
      </c>
      <c r="H28" s="8">
        <v>2.87</v>
      </c>
      <c r="I28" s="12">
        <v>0</v>
      </c>
    </row>
    <row r="29" spans="2:9" ht="15" customHeight="1" x14ac:dyDescent="0.2">
      <c r="B29" t="s">
        <v>76</v>
      </c>
      <c r="C29" s="12">
        <v>143</v>
      </c>
      <c r="D29" s="8">
        <v>4.58</v>
      </c>
      <c r="E29" s="12">
        <v>79</v>
      </c>
      <c r="F29" s="8">
        <v>4.9000000000000004</v>
      </c>
      <c r="G29" s="12">
        <v>64</v>
      </c>
      <c r="H29" s="8">
        <v>4.2699999999999996</v>
      </c>
      <c r="I29" s="12">
        <v>0</v>
      </c>
    </row>
    <row r="30" spans="2:9" ht="15" customHeight="1" x14ac:dyDescent="0.2">
      <c r="B30" t="s">
        <v>69</v>
      </c>
      <c r="C30" s="12">
        <v>140</v>
      </c>
      <c r="D30" s="8">
        <v>4.4800000000000004</v>
      </c>
      <c r="E30" s="12">
        <v>102</v>
      </c>
      <c r="F30" s="8">
        <v>6.32</v>
      </c>
      <c r="G30" s="12">
        <v>38</v>
      </c>
      <c r="H30" s="8">
        <v>2.54</v>
      </c>
      <c r="I30" s="12">
        <v>0</v>
      </c>
    </row>
    <row r="31" spans="2:9" ht="15" customHeight="1" x14ac:dyDescent="0.2">
      <c r="B31" t="s">
        <v>84</v>
      </c>
      <c r="C31" s="12">
        <v>130</v>
      </c>
      <c r="D31" s="8">
        <v>4.16</v>
      </c>
      <c r="E31" s="12">
        <v>121</v>
      </c>
      <c r="F31" s="8">
        <v>7.5</v>
      </c>
      <c r="G31" s="12">
        <v>9</v>
      </c>
      <c r="H31" s="8">
        <v>0.6</v>
      </c>
      <c r="I31" s="12">
        <v>0</v>
      </c>
    </row>
    <row r="32" spans="2:9" ht="15" customHeight="1" x14ac:dyDescent="0.2">
      <c r="B32" t="s">
        <v>78</v>
      </c>
      <c r="C32" s="12">
        <v>119</v>
      </c>
      <c r="D32" s="8">
        <v>3.81</v>
      </c>
      <c r="E32" s="12">
        <v>29</v>
      </c>
      <c r="F32" s="8">
        <v>1.8</v>
      </c>
      <c r="G32" s="12">
        <v>89</v>
      </c>
      <c r="H32" s="8">
        <v>5.94</v>
      </c>
      <c r="I32" s="12">
        <v>0</v>
      </c>
    </row>
    <row r="33" spans="2:9" ht="15" customHeight="1" x14ac:dyDescent="0.2">
      <c r="B33" t="s">
        <v>67</v>
      </c>
      <c r="C33" s="12">
        <v>117</v>
      </c>
      <c r="D33" s="8">
        <v>3.74</v>
      </c>
      <c r="E33" s="12">
        <v>44</v>
      </c>
      <c r="F33" s="8">
        <v>2.73</v>
      </c>
      <c r="G33" s="12">
        <v>73</v>
      </c>
      <c r="H33" s="8">
        <v>4.87</v>
      </c>
      <c r="I33" s="12">
        <v>0</v>
      </c>
    </row>
    <row r="34" spans="2:9" ht="15" customHeight="1" x14ac:dyDescent="0.2">
      <c r="B34" t="s">
        <v>68</v>
      </c>
      <c r="C34" s="12">
        <v>113</v>
      </c>
      <c r="D34" s="8">
        <v>3.62</v>
      </c>
      <c r="E34" s="12">
        <v>32</v>
      </c>
      <c r="F34" s="8">
        <v>1.98</v>
      </c>
      <c r="G34" s="12">
        <v>81</v>
      </c>
      <c r="H34" s="8">
        <v>5.4</v>
      </c>
      <c r="I34" s="12">
        <v>0</v>
      </c>
    </row>
    <row r="35" spans="2:9" ht="15" customHeight="1" x14ac:dyDescent="0.2">
      <c r="B35" t="s">
        <v>72</v>
      </c>
      <c r="C35" s="12">
        <v>85</v>
      </c>
      <c r="D35" s="8">
        <v>2.72</v>
      </c>
      <c r="E35" s="12">
        <v>24</v>
      </c>
      <c r="F35" s="8">
        <v>1.49</v>
      </c>
      <c r="G35" s="12">
        <v>61</v>
      </c>
      <c r="H35" s="8">
        <v>4.07</v>
      </c>
      <c r="I35" s="12">
        <v>0</v>
      </c>
    </row>
    <row r="36" spans="2:9" ht="15" customHeight="1" x14ac:dyDescent="0.2">
      <c r="B36" t="s">
        <v>75</v>
      </c>
      <c r="C36" s="12">
        <v>80</v>
      </c>
      <c r="D36" s="8">
        <v>2.56</v>
      </c>
      <c r="E36" s="12">
        <v>58</v>
      </c>
      <c r="F36" s="8">
        <v>3.6</v>
      </c>
      <c r="G36" s="12">
        <v>22</v>
      </c>
      <c r="H36" s="8">
        <v>1.47</v>
      </c>
      <c r="I36" s="12">
        <v>0</v>
      </c>
    </row>
    <row r="37" spans="2:9" ht="15" customHeight="1" x14ac:dyDescent="0.2">
      <c r="B37" t="s">
        <v>79</v>
      </c>
      <c r="C37" s="12">
        <v>80</v>
      </c>
      <c r="D37" s="8">
        <v>2.56</v>
      </c>
      <c r="E37" s="12">
        <v>53</v>
      </c>
      <c r="F37" s="8">
        <v>3.29</v>
      </c>
      <c r="G37" s="12">
        <v>27</v>
      </c>
      <c r="H37" s="8">
        <v>1.8</v>
      </c>
      <c r="I37" s="12">
        <v>0</v>
      </c>
    </row>
    <row r="38" spans="2:9" ht="15" customHeight="1" x14ac:dyDescent="0.2">
      <c r="B38" t="s">
        <v>71</v>
      </c>
      <c r="C38" s="12">
        <v>77</v>
      </c>
      <c r="D38" s="8">
        <v>2.46</v>
      </c>
      <c r="E38" s="12">
        <v>31</v>
      </c>
      <c r="F38" s="8">
        <v>1.92</v>
      </c>
      <c r="G38" s="12">
        <v>46</v>
      </c>
      <c r="H38" s="8">
        <v>3.07</v>
      </c>
      <c r="I38" s="12">
        <v>0</v>
      </c>
    </row>
    <row r="39" spans="2:9" ht="15" customHeight="1" x14ac:dyDescent="0.2">
      <c r="B39" t="s">
        <v>74</v>
      </c>
      <c r="C39" s="12">
        <v>74</v>
      </c>
      <c r="D39" s="8">
        <v>2.37</v>
      </c>
      <c r="E39" s="12">
        <v>29</v>
      </c>
      <c r="F39" s="8">
        <v>1.8</v>
      </c>
      <c r="G39" s="12">
        <v>44</v>
      </c>
      <c r="H39" s="8">
        <v>2.94</v>
      </c>
      <c r="I39" s="12">
        <v>1</v>
      </c>
    </row>
    <row r="40" spans="2:9" ht="15" customHeight="1" x14ac:dyDescent="0.2">
      <c r="B40" t="s">
        <v>80</v>
      </c>
      <c r="C40" s="12">
        <v>71</v>
      </c>
      <c r="D40" s="8">
        <v>2.27</v>
      </c>
      <c r="E40" s="12">
        <v>24</v>
      </c>
      <c r="F40" s="8">
        <v>1.49</v>
      </c>
      <c r="G40" s="12">
        <v>46</v>
      </c>
      <c r="H40" s="8">
        <v>3.07</v>
      </c>
      <c r="I40" s="12">
        <v>0</v>
      </c>
    </row>
    <row r="41" spans="2:9" ht="15" customHeight="1" x14ac:dyDescent="0.2">
      <c r="B41" t="s">
        <v>89</v>
      </c>
      <c r="C41" s="12">
        <v>49</v>
      </c>
      <c r="D41" s="8">
        <v>1.57</v>
      </c>
      <c r="E41" s="12">
        <v>11</v>
      </c>
      <c r="F41" s="8">
        <v>0.68</v>
      </c>
      <c r="G41" s="12">
        <v>38</v>
      </c>
      <c r="H41" s="8">
        <v>2.54</v>
      </c>
      <c r="I41" s="12">
        <v>0</v>
      </c>
    </row>
    <row r="42" spans="2:9" ht="15" customHeight="1" x14ac:dyDescent="0.2">
      <c r="B42" t="s">
        <v>87</v>
      </c>
      <c r="C42" s="12">
        <v>48</v>
      </c>
      <c r="D42" s="8">
        <v>1.54</v>
      </c>
      <c r="E42" s="12">
        <v>8</v>
      </c>
      <c r="F42" s="8">
        <v>0.5</v>
      </c>
      <c r="G42" s="12">
        <v>40</v>
      </c>
      <c r="H42" s="8">
        <v>2.67</v>
      </c>
      <c r="I42" s="12">
        <v>0</v>
      </c>
    </row>
    <row r="43" spans="2:9" ht="15" customHeight="1" x14ac:dyDescent="0.2">
      <c r="B43" t="s">
        <v>85</v>
      </c>
      <c r="C43" s="12">
        <v>45</v>
      </c>
      <c r="D43" s="8">
        <v>1.44</v>
      </c>
      <c r="E43" s="12">
        <v>34</v>
      </c>
      <c r="F43" s="8">
        <v>2.11</v>
      </c>
      <c r="G43" s="12">
        <v>11</v>
      </c>
      <c r="H43" s="8">
        <v>0.73</v>
      </c>
      <c r="I43" s="12">
        <v>0</v>
      </c>
    </row>
    <row r="46" spans="2:9" ht="33" customHeight="1" x14ac:dyDescent="0.2">
      <c r="B46" t="s">
        <v>234</v>
      </c>
      <c r="C46" s="10" t="s">
        <v>59</v>
      </c>
      <c r="D46" s="10" t="s">
        <v>60</v>
      </c>
      <c r="E46" s="10" t="s">
        <v>61</v>
      </c>
      <c r="F46" s="10" t="s">
        <v>62</v>
      </c>
      <c r="G46" s="10" t="s">
        <v>63</v>
      </c>
      <c r="H46" s="10" t="s">
        <v>64</v>
      </c>
      <c r="I46" s="10" t="s">
        <v>65</v>
      </c>
    </row>
    <row r="47" spans="2:9" ht="15" customHeight="1" x14ac:dyDescent="0.2">
      <c r="B47" t="s">
        <v>138</v>
      </c>
      <c r="C47" s="12">
        <v>159</v>
      </c>
      <c r="D47" s="8">
        <v>5.09</v>
      </c>
      <c r="E47" s="12">
        <v>142</v>
      </c>
      <c r="F47" s="8">
        <v>8.8000000000000007</v>
      </c>
      <c r="G47" s="12">
        <v>17</v>
      </c>
      <c r="H47" s="8">
        <v>1.1299999999999999</v>
      </c>
      <c r="I47" s="12">
        <v>0</v>
      </c>
    </row>
    <row r="48" spans="2:9" ht="15" customHeight="1" x14ac:dyDescent="0.2">
      <c r="B48" t="s">
        <v>140</v>
      </c>
      <c r="C48" s="12">
        <v>108</v>
      </c>
      <c r="D48" s="8">
        <v>3.46</v>
      </c>
      <c r="E48" s="12">
        <v>102</v>
      </c>
      <c r="F48" s="8">
        <v>6.32</v>
      </c>
      <c r="G48" s="12">
        <v>6</v>
      </c>
      <c r="H48" s="8">
        <v>0.4</v>
      </c>
      <c r="I48" s="12">
        <v>0</v>
      </c>
    </row>
    <row r="49" spans="2:9" ht="15" customHeight="1" x14ac:dyDescent="0.2">
      <c r="B49" t="s">
        <v>128</v>
      </c>
      <c r="C49" s="12">
        <v>101</v>
      </c>
      <c r="D49" s="8">
        <v>3.23</v>
      </c>
      <c r="E49" s="12">
        <v>54</v>
      </c>
      <c r="F49" s="8">
        <v>3.35</v>
      </c>
      <c r="G49" s="12">
        <v>47</v>
      </c>
      <c r="H49" s="8">
        <v>3.14</v>
      </c>
      <c r="I49" s="12">
        <v>0</v>
      </c>
    </row>
    <row r="50" spans="2:9" ht="15" customHeight="1" x14ac:dyDescent="0.2">
      <c r="B50" t="s">
        <v>136</v>
      </c>
      <c r="C50" s="12">
        <v>97</v>
      </c>
      <c r="D50" s="8">
        <v>3.1</v>
      </c>
      <c r="E50" s="12">
        <v>86</v>
      </c>
      <c r="F50" s="8">
        <v>5.33</v>
      </c>
      <c r="G50" s="12">
        <v>11</v>
      </c>
      <c r="H50" s="8">
        <v>0.73</v>
      </c>
      <c r="I50" s="12">
        <v>0</v>
      </c>
    </row>
    <row r="51" spans="2:9" ht="15" customHeight="1" x14ac:dyDescent="0.2">
      <c r="B51" t="s">
        <v>139</v>
      </c>
      <c r="C51" s="12">
        <v>88</v>
      </c>
      <c r="D51" s="8">
        <v>2.82</v>
      </c>
      <c r="E51" s="12">
        <v>66</v>
      </c>
      <c r="F51" s="8">
        <v>4.09</v>
      </c>
      <c r="G51" s="12">
        <v>22</v>
      </c>
      <c r="H51" s="8">
        <v>1.47</v>
      </c>
      <c r="I51" s="12">
        <v>0</v>
      </c>
    </row>
    <row r="52" spans="2:9" ht="15" customHeight="1" x14ac:dyDescent="0.2">
      <c r="B52" t="s">
        <v>134</v>
      </c>
      <c r="C52" s="12">
        <v>86</v>
      </c>
      <c r="D52" s="8">
        <v>2.75</v>
      </c>
      <c r="E52" s="12">
        <v>71</v>
      </c>
      <c r="F52" s="8">
        <v>4.4000000000000004</v>
      </c>
      <c r="G52" s="12">
        <v>15</v>
      </c>
      <c r="H52" s="8">
        <v>1</v>
      </c>
      <c r="I52" s="12">
        <v>0</v>
      </c>
    </row>
    <row r="53" spans="2:9" ht="15" customHeight="1" x14ac:dyDescent="0.2">
      <c r="B53" t="s">
        <v>137</v>
      </c>
      <c r="C53" s="12">
        <v>82</v>
      </c>
      <c r="D53" s="8">
        <v>2.62</v>
      </c>
      <c r="E53" s="12">
        <v>80</v>
      </c>
      <c r="F53" s="8">
        <v>4.96</v>
      </c>
      <c r="G53" s="12">
        <v>2</v>
      </c>
      <c r="H53" s="8">
        <v>0.13</v>
      </c>
      <c r="I53" s="12">
        <v>0</v>
      </c>
    </row>
    <row r="54" spans="2:9" ht="15" customHeight="1" x14ac:dyDescent="0.2">
      <c r="B54" t="s">
        <v>132</v>
      </c>
      <c r="C54" s="12">
        <v>69</v>
      </c>
      <c r="D54" s="8">
        <v>2.21</v>
      </c>
      <c r="E54" s="12">
        <v>21</v>
      </c>
      <c r="F54" s="8">
        <v>1.3</v>
      </c>
      <c r="G54" s="12">
        <v>48</v>
      </c>
      <c r="H54" s="8">
        <v>3.2</v>
      </c>
      <c r="I54" s="12">
        <v>0</v>
      </c>
    </row>
    <row r="55" spans="2:9" ht="15" customHeight="1" x14ac:dyDescent="0.2">
      <c r="B55" t="s">
        <v>122</v>
      </c>
      <c r="C55" s="12">
        <v>57</v>
      </c>
      <c r="D55" s="8">
        <v>1.82</v>
      </c>
      <c r="E55" s="12">
        <v>11</v>
      </c>
      <c r="F55" s="8">
        <v>0.68</v>
      </c>
      <c r="G55" s="12">
        <v>46</v>
      </c>
      <c r="H55" s="8">
        <v>3.07</v>
      </c>
      <c r="I55" s="12">
        <v>0</v>
      </c>
    </row>
    <row r="56" spans="2:9" ht="15" customHeight="1" x14ac:dyDescent="0.2">
      <c r="B56" t="s">
        <v>173</v>
      </c>
      <c r="C56" s="12">
        <v>56</v>
      </c>
      <c r="D56" s="8">
        <v>1.79</v>
      </c>
      <c r="E56" s="12">
        <v>43</v>
      </c>
      <c r="F56" s="8">
        <v>2.67</v>
      </c>
      <c r="G56" s="12">
        <v>13</v>
      </c>
      <c r="H56" s="8">
        <v>0.87</v>
      </c>
      <c r="I56" s="12">
        <v>0</v>
      </c>
    </row>
    <row r="57" spans="2:9" ht="15" customHeight="1" x14ac:dyDescent="0.2">
      <c r="B57" t="s">
        <v>135</v>
      </c>
      <c r="C57" s="12">
        <v>55</v>
      </c>
      <c r="D57" s="8">
        <v>1.76</v>
      </c>
      <c r="E57" s="12">
        <v>54</v>
      </c>
      <c r="F57" s="8">
        <v>3.35</v>
      </c>
      <c r="G57" s="12">
        <v>1</v>
      </c>
      <c r="H57" s="8">
        <v>7.0000000000000007E-2</v>
      </c>
      <c r="I57" s="12">
        <v>0</v>
      </c>
    </row>
    <row r="58" spans="2:9" ht="15" customHeight="1" x14ac:dyDescent="0.2">
      <c r="B58" t="s">
        <v>145</v>
      </c>
      <c r="C58" s="12">
        <v>53</v>
      </c>
      <c r="D58" s="8">
        <v>1.7</v>
      </c>
      <c r="E58" s="12">
        <v>36</v>
      </c>
      <c r="F58" s="8">
        <v>2.23</v>
      </c>
      <c r="G58" s="12">
        <v>17</v>
      </c>
      <c r="H58" s="8">
        <v>1.1299999999999999</v>
      </c>
      <c r="I58" s="12">
        <v>0</v>
      </c>
    </row>
    <row r="59" spans="2:9" ht="15" customHeight="1" x14ac:dyDescent="0.2">
      <c r="B59" t="s">
        <v>129</v>
      </c>
      <c r="C59" s="12">
        <v>49</v>
      </c>
      <c r="D59" s="8">
        <v>1.57</v>
      </c>
      <c r="E59" s="12">
        <v>25</v>
      </c>
      <c r="F59" s="8">
        <v>1.55</v>
      </c>
      <c r="G59" s="12">
        <v>24</v>
      </c>
      <c r="H59" s="8">
        <v>1.6</v>
      </c>
      <c r="I59" s="12">
        <v>0</v>
      </c>
    </row>
    <row r="60" spans="2:9" ht="15" customHeight="1" x14ac:dyDescent="0.2">
      <c r="B60" t="s">
        <v>155</v>
      </c>
      <c r="C60" s="12">
        <v>48</v>
      </c>
      <c r="D60" s="8">
        <v>1.54</v>
      </c>
      <c r="E60" s="12">
        <v>13</v>
      </c>
      <c r="F60" s="8">
        <v>0.81</v>
      </c>
      <c r="G60" s="12">
        <v>35</v>
      </c>
      <c r="H60" s="8">
        <v>2.33</v>
      </c>
      <c r="I60" s="12">
        <v>0</v>
      </c>
    </row>
    <row r="61" spans="2:9" ht="15" customHeight="1" x14ac:dyDescent="0.2">
      <c r="B61" t="s">
        <v>158</v>
      </c>
      <c r="C61" s="12">
        <v>46</v>
      </c>
      <c r="D61" s="8">
        <v>1.47</v>
      </c>
      <c r="E61" s="12">
        <v>17</v>
      </c>
      <c r="F61" s="8">
        <v>1.05</v>
      </c>
      <c r="G61" s="12">
        <v>29</v>
      </c>
      <c r="H61" s="8">
        <v>1.93</v>
      </c>
      <c r="I61" s="12">
        <v>0</v>
      </c>
    </row>
    <row r="62" spans="2:9" ht="15" customHeight="1" x14ac:dyDescent="0.2">
      <c r="B62" t="s">
        <v>123</v>
      </c>
      <c r="C62" s="12">
        <v>45</v>
      </c>
      <c r="D62" s="8">
        <v>1.44</v>
      </c>
      <c r="E62" s="12">
        <v>8</v>
      </c>
      <c r="F62" s="8">
        <v>0.5</v>
      </c>
      <c r="G62" s="12">
        <v>37</v>
      </c>
      <c r="H62" s="8">
        <v>2.4700000000000002</v>
      </c>
      <c r="I62" s="12">
        <v>0</v>
      </c>
    </row>
    <row r="63" spans="2:9" ht="15" customHeight="1" x14ac:dyDescent="0.2">
      <c r="B63" t="s">
        <v>130</v>
      </c>
      <c r="C63" s="12">
        <v>45</v>
      </c>
      <c r="D63" s="8">
        <v>1.44</v>
      </c>
      <c r="E63" s="12">
        <v>23</v>
      </c>
      <c r="F63" s="8">
        <v>1.43</v>
      </c>
      <c r="G63" s="12">
        <v>22</v>
      </c>
      <c r="H63" s="8">
        <v>1.47</v>
      </c>
      <c r="I63" s="12">
        <v>0</v>
      </c>
    </row>
    <row r="64" spans="2:9" ht="15" customHeight="1" x14ac:dyDescent="0.2">
      <c r="B64" t="s">
        <v>141</v>
      </c>
      <c r="C64" s="12">
        <v>45</v>
      </c>
      <c r="D64" s="8">
        <v>1.44</v>
      </c>
      <c r="E64" s="12">
        <v>34</v>
      </c>
      <c r="F64" s="8">
        <v>2.11</v>
      </c>
      <c r="G64" s="12">
        <v>11</v>
      </c>
      <c r="H64" s="8">
        <v>0.73</v>
      </c>
      <c r="I64" s="12">
        <v>0</v>
      </c>
    </row>
    <row r="65" spans="2:9" ht="15" customHeight="1" x14ac:dyDescent="0.2">
      <c r="B65" t="s">
        <v>125</v>
      </c>
      <c r="C65" s="12">
        <v>44</v>
      </c>
      <c r="D65" s="8">
        <v>1.41</v>
      </c>
      <c r="E65" s="12">
        <v>9</v>
      </c>
      <c r="F65" s="8">
        <v>0.56000000000000005</v>
      </c>
      <c r="G65" s="12">
        <v>35</v>
      </c>
      <c r="H65" s="8">
        <v>2.33</v>
      </c>
      <c r="I65" s="12">
        <v>0</v>
      </c>
    </row>
    <row r="66" spans="2:9" ht="15" customHeight="1" x14ac:dyDescent="0.2">
      <c r="B66" t="s">
        <v>144</v>
      </c>
      <c r="C66" s="12">
        <v>44</v>
      </c>
      <c r="D66" s="8">
        <v>1.41</v>
      </c>
      <c r="E66" s="12">
        <v>23</v>
      </c>
      <c r="F66" s="8">
        <v>1.43</v>
      </c>
      <c r="G66" s="12">
        <v>21</v>
      </c>
      <c r="H66" s="8">
        <v>1.4</v>
      </c>
      <c r="I66" s="12">
        <v>0</v>
      </c>
    </row>
    <row r="68" spans="2:9" ht="15" customHeight="1" x14ac:dyDescent="0.2">
      <c r="B68" t="s">
        <v>235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2781F-60A0-4492-97CB-82FDF2E3DB79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249</v>
      </c>
    </row>
    <row r="4" spans="2:9" ht="33" customHeight="1" x14ac:dyDescent="0.2">
      <c r="B4" t="s">
        <v>231</v>
      </c>
      <c r="C4" s="10" t="s">
        <v>59</v>
      </c>
      <c r="D4" s="10" t="s">
        <v>60</v>
      </c>
      <c r="E4" s="10" t="s">
        <v>61</v>
      </c>
      <c r="F4" s="10" t="s">
        <v>62</v>
      </c>
      <c r="G4" s="10" t="s">
        <v>63</v>
      </c>
      <c r="H4" s="10" t="s">
        <v>64</v>
      </c>
      <c r="I4" s="10" t="s">
        <v>65</v>
      </c>
    </row>
    <row r="5" spans="2:9" ht="15" customHeight="1" x14ac:dyDescent="0.2">
      <c r="B5" t="s">
        <v>43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44</v>
      </c>
      <c r="C6" s="12">
        <v>296</v>
      </c>
      <c r="D6" s="8">
        <v>16.28</v>
      </c>
      <c r="E6" s="12">
        <v>83</v>
      </c>
      <c r="F6" s="8">
        <v>8.57</v>
      </c>
      <c r="G6" s="12">
        <v>213</v>
      </c>
      <c r="H6" s="8">
        <v>25.69</v>
      </c>
      <c r="I6" s="12">
        <v>0</v>
      </c>
    </row>
    <row r="7" spans="2:9" ht="15" customHeight="1" x14ac:dyDescent="0.2">
      <c r="B7" t="s">
        <v>45</v>
      </c>
      <c r="C7" s="12">
        <v>133</v>
      </c>
      <c r="D7" s="8">
        <v>7.32</v>
      </c>
      <c r="E7" s="12">
        <v>46</v>
      </c>
      <c r="F7" s="8">
        <v>4.75</v>
      </c>
      <c r="G7" s="12">
        <v>87</v>
      </c>
      <c r="H7" s="8">
        <v>10.49</v>
      </c>
      <c r="I7" s="12">
        <v>0</v>
      </c>
    </row>
    <row r="8" spans="2:9" ht="15" customHeight="1" x14ac:dyDescent="0.2">
      <c r="B8" t="s">
        <v>46</v>
      </c>
      <c r="C8" s="12">
        <v>3</v>
      </c>
      <c r="D8" s="8">
        <v>0.17</v>
      </c>
      <c r="E8" s="12">
        <v>0</v>
      </c>
      <c r="F8" s="8">
        <v>0</v>
      </c>
      <c r="G8" s="12">
        <v>3</v>
      </c>
      <c r="H8" s="8">
        <v>0.36</v>
      </c>
      <c r="I8" s="12">
        <v>0</v>
      </c>
    </row>
    <row r="9" spans="2:9" ht="15" customHeight="1" x14ac:dyDescent="0.2">
      <c r="B9" t="s">
        <v>47</v>
      </c>
      <c r="C9" s="12">
        <v>13</v>
      </c>
      <c r="D9" s="8">
        <v>0.72</v>
      </c>
      <c r="E9" s="12">
        <v>2</v>
      </c>
      <c r="F9" s="8">
        <v>0.21</v>
      </c>
      <c r="G9" s="12">
        <v>11</v>
      </c>
      <c r="H9" s="8">
        <v>1.33</v>
      </c>
      <c r="I9" s="12">
        <v>0</v>
      </c>
    </row>
    <row r="10" spans="2:9" ht="15" customHeight="1" x14ac:dyDescent="0.2">
      <c r="B10" t="s">
        <v>48</v>
      </c>
      <c r="C10" s="12">
        <v>18</v>
      </c>
      <c r="D10" s="8">
        <v>0.99</v>
      </c>
      <c r="E10" s="12">
        <v>3</v>
      </c>
      <c r="F10" s="8">
        <v>0.31</v>
      </c>
      <c r="G10" s="12">
        <v>15</v>
      </c>
      <c r="H10" s="8">
        <v>1.81</v>
      </c>
      <c r="I10" s="12">
        <v>0</v>
      </c>
    </row>
    <row r="11" spans="2:9" ht="15" customHeight="1" x14ac:dyDescent="0.2">
      <c r="B11" t="s">
        <v>49</v>
      </c>
      <c r="C11" s="12">
        <v>343</v>
      </c>
      <c r="D11" s="8">
        <v>18.87</v>
      </c>
      <c r="E11" s="12">
        <v>167</v>
      </c>
      <c r="F11" s="8">
        <v>17.25</v>
      </c>
      <c r="G11" s="12">
        <v>176</v>
      </c>
      <c r="H11" s="8">
        <v>21.23</v>
      </c>
      <c r="I11" s="12">
        <v>0</v>
      </c>
    </row>
    <row r="12" spans="2:9" ht="15" customHeight="1" x14ac:dyDescent="0.2">
      <c r="B12" t="s">
        <v>50</v>
      </c>
      <c r="C12" s="12">
        <v>13</v>
      </c>
      <c r="D12" s="8">
        <v>0.72</v>
      </c>
      <c r="E12" s="12">
        <v>3</v>
      </c>
      <c r="F12" s="8">
        <v>0.31</v>
      </c>
      <c r="G12" s="12">
        <v>10</v>
      </c>
      <c r="H12" s="8">
        <v>1.21</v>
      </c>
      <c r="I12" s="12">
        <v>0</v>
      </c>
    </row>
    <row r="13" spans="2:9" ht="15" customHeight="1" x14ac:dyDescent="0.2">
      <c r="B13" t="s">
        <v>51</v>
      </c>
      <c r="C13" s="12">
        <v>129</v>
      </c>
      <c r="D13" s="8">
        <v>7.1</v>
      </c>
      <c r="E13" s="12">
        <v>38</v>
      </c>
      <c r="F13" s="8">
        <v>3.93</v>
      </c>
      <c r="G13" s="12">
        <v>91</v>
      </c>
      <c r="H13" s="8">
        <v>10.98</v>
      </c>
      <c r="I13" s="12">
        <v>0</v>
      </c>
    </row>
    <row r="14" spans="2:9" ht="15" customHeight="1" x14ac:dyDescent="0.2">
      <c r="B14" t="s">
        <v>52</v>
      </c>
      <c r="C14" s="12">
        <v>124</v>
      </c>
      <c r="D14" s="8">
        <v>6.82</v>
      </c>
      <c r="E14" s="12">
        <v>75</v>
      </c>
      <c r="F14" s="8">
        <v>7.75</v>
      </c>
      <c r="G14" s="12">
        <v>49</v>
      </c>
      <c r="H14" s="8">
        <v>5.91</v>
      </c>
      <c r="I14" s="12">
        <v>0</v>
      </c>
    </row>
    <row r="15" spans="2:9" ht="15" customHeight="1" x14ac:dyDescent="0.2">
      <c r="B15" t="s">
        <v>53</v>
      </c>
      <c r="C15" s="12">
        <v>225</v>
      </c>
      <c r="D15" s="8">
        <v>12.38</v>
      </c>
      <c r="E15" s="12">
        <v>187</v>
      </c>
      <c r="F15" s="8">
        <v>19.32</v>
      </c>
      <c r="G15" s="12">
        <v>37</v>
      </c>
      <c r="H15" s="8">
        <v>4.46</v>
      </c>
      <c r="I15" s="12">
        <v>0</v>
      </c>
    </row>
    <row r="16" spans="2:9" ht="15" customHeight="1" x14ac:dyDescent="0.2">
      <c r="B16" t="s">
        <v>54</v>
      </c>
      <c r="C16" s="12">
        <v>271</v>
      </c>
      <c r="D16" s="8">
        <v>14.91</v>
      </c>
      <c r="E16" s="12">
        <v>204</v>
      </c>
      <c r="F16" s="8">
        <v>21.07</v>
      </c>
      <c r="G16" s="12">
        <v>67</v>
      </c>
      <c r="H16" s="8">
        <v>8.08</v>
      </c>
      <c r="I16" s="12">
        <v>0</v>
      </c>
    </row>
    <row r="17" spans="2:9" ht="15" customHeight="1" x14ac:dyDescent="0.2">
      <c r="B17" t="s">
        <v>55</v>
      </c>
      <c r="C17" s="12">
        <v>109</v>
      </c>
      <c r="D17" s="8">
        <v>6</v>
      </c>
      <c r="E17" s="12">
        <v>70</v>
      </c>
      <c r="F17" s="8">
        <v>7.23</v>
      </c>
      <c r="G17" s="12">
        <v>24</v>
      </c>
      <c r="H17" s="8">
        <v>2.9</v>
      </c>
      <c r="I17" s="12">
        <v>0</v>
      </c>
    </row>
    <row r="18" spans="2:9" ht="15" customHeight="1" x14ac:dyDescent="0.2">
      <c r="B18" t="s">
        <v>56</v>
      </c>
      <c r="C18" s="12">
        <v>84</v>
      </c>
      <c r="D18" s="8">
        <v>4.62</v>
      </c>
      <c r="E18" s="12">
        <v>61</v>
      </c>
      <c r="F18" s="8">
        <v>6.3</v>
      </c>
      <c r="G18" s="12">
        <v>23</v>
      </c>
      <c r="H18" s="8">
        <v>2.77</v>
      </c>
      <c r="I18" s="12">
        <v>0</v>
      </c>
    </row>
    <row r="19" spans="2:9" ht="15" customHeight="1" x14ac:dyDescent="0.2">
      <c r="B19" t="s">
        <v>57</v>
      </c>
      <c r="C19" s="12">
        <v>57</v>
      </c>
      <c r="D19" s="8">
        <v>3.14</v>
      </c>
      <c r="E19" s="12">
        <v>29</v>
      </c>
      <c r="F19" s="8">
        <v>3</v>
      </c>
      <c r="G19" s="12">
        <v>23</v>
      </c>
      <c r="H19" s="8">
        <v>2.77</v>
      </c>
      <c r="I19" s="12">
        <v>1</v>
      </c>
    </row>
    <row r="20" spans="2:9" ht="15" customHeight="1" x14ac:dyDescent="0.2">
      <c r="B20" s="9" t="s">
        <v>232</v>
      </c>
      <c r="C20" s="12">
        <f>SUM(LTBL_21214[総数／事業所数])</f>
        <v>1818</v>
      </c>
      <c r="E20" s="12">
        <f>SUBTOTAL(109,LTBL_21214[個人／事業所数])</f>
        <v>968</v>
      </c>
      <c r="G20" s="12">
        <f>SUBTOTAL(109,LTBL_21214[法人／事業所数])</f>
        <v>829</v>
      </c>
      <c r="I20" s="12">
        <f>SUBTOTAL(109,LTBL_21214[法人以外の団体／事業所数])</f>
        <v>1</v>
      </c>
    </row>
    <row r="21" spans="2:9" ht="15" customHeight="1" x14ac:dyDescent="0.2">
      <c r="E21" s="11">
        <f>LTBL_21214[[#Totals],[個人／事業所数]]/LTBL_21214[[#Totals],[総数／事業所数]]</f>
        <v>0.53245324532453242</v>
      </c>
      <c r="G21" s="11">
        <f>LTBL_21214[[#Totals],[法人／事業所数]]/LTBL_21214[[#Totals],[総数／事業所数]]</f>
        <v>0.455995599559956</v>
      </c>
      <c r="I21" s="11">
        <f>LTBL_21214[[#Totals],[法人以外の団体／事業所数]]/LTBL_21214[[#Totals],[総数／事業所数]]</f>
        <v>5.5005500550055003E-4</v>
      </c>
    </row>
    <row r="23" spans="2:9" ht="33" customHeight="1" x14ac:dyDescent="0.2">
      <c r="B23" t="s">
        <v>233</v>
      </c>
      <c r="C23" s="10" t="s">
        <v>59</v>
      </c>
      <c r="D23" s="10" t="s">
        <v>60</v>
      </c>
      <c r="E23" s="10" t="s">
        <v>61</v>
      </c>
      <c r="F23" s="10" t="s">
        <v>62</v>
      </c>
      <c r="G23" s="10" t="s">
        <v>63</v>
      </c>
      <c r="H23" s="10" t="s">
        <v>64</v>
      </c>
      <c r="I23" s="10" t="s">
        <v>65</v>
      </c>
    </row>
    <row r="24" spans="2:9" ht="15" customHeight="1" x14ac:dyDescent="0.2">
      <c r="B24" t="s">
        <v>82</v>
      </c>
      <c r="C24" s="12">
        <v>232</v>
      </c>
      <c r="D24" s="8">
        <v>12.76</v>
      </c>
      <c r="E24" s="12">
        <v>188</v>
      </c>
      <c r="F24" s="8">
        <v>19.420000000000002</v>
      </c>
      <c r="G24" s="12">
        <v>44</v>
      </c>
      <c r="H24" s="8">
        <v>5.31</v>
      </c>
      <c r="I24" s="12">
        <v>0</v>
      </c>
    </row>
    <row r="25" spans="2:9" ht="15" customHeight="1" x14ac:dyDescent="0.2">
      <c r="B25" t="s">
        <v>81</v>
      </c>
      <c r="C25" s="12">
        <v>205</v>
      </c>
      <c r="D25" s="8">
        <v>11.28</v>
      </c>
      <c r="E25" s="12">
        <v>181</v>
      </c>
      <c r="F25" s="8">
        <v>18.7</v>
      </c>
      <c r="G25" s="12">
        <v>24</v>
      </c>
      <c r="H25" s="8">
        <v>2.9</v>
      </c>
      <c r="I25" s="12">
        <v>0</v>
      </c>
    </row>
    <row r="26" spans="2:9" ht="15" customHeight="1" x14ac:dyDescent="0.2">
      <c r="B26" t="s">
        <v>66</v>
      </c>
      <c r="C26" s="12">
        <v>125</v>
      </c>
      <c r="D26" s="8">
        <v>6.88</v>
      </c>
      <c r="E26" s="12">
        <v>23</v>
      </c>
      <c r="F26" s="8">
        <v>2.38</v>
      </c>
      <c r="G26" s="12">
        <v>102</v>
      </c>
      <c r="H26" s="8">
        <v>12.3</v>
      </c>
      <c r="I26" s="12">
        <v>0</v>
      </c>
    </row>
    <row r="27" spans="2:9" ht="15" customHeight="1" x14ac:dyDescent="0.2">
      <c r="B27" t="s">
        <v>83</v>
      </c>
      <c r="C27" s="12">
        <v>109</v>
      </c>
      <c r="D27" s="8">
        <v>6</v>
      </c>
      <c r="E27" s="12">
        <v>70</v>
      </c>
      <c r="F27" s="8">
        <v>7.23</v>
      </c>
      <c r="G27" s="12">
        <v>24</v>
      </c>
      <c r="H27" s="8">
        <v>2.9</v>
      </c>
      <c r="I27" s="12">
        <v>0</v>
      </c>
    </row>
    <row r="28" spans="2:9" ht="15" customHeight="1" x14ac:dyDescent="0.2">
      <c r="B28" t="s">
        <v>77</v>
      </c>
      <c r="C28" s="12">
        <v>98</v>
      </c>
      <c r="D28" s="8">
        <v>5.39</v>
      </c>
      <c r="E28" s="12">
        <v>57</v>
      </c>
      <c r="F28" s="8">
        <v>5.89</v>
      </c>
      <c r="G28" s="12">
        <v>41</v>
      </c>
      <c r="H28" s="8">
        <v>4.95</v>
      </c>
      <c r="I28" s="12">
        <v>0</v>
      </c>
    </row>
    <row r="29" spans="2:9" ht="15" customHeight="1" x14ac:dyDescent="0.2">
      <c r="B29" t="s">
        <v>67</v>
      </c>
      <c r="C29" s="12">
        <v>92</v>
      </c>
      <c r="D29" s="8">
        <v>5.0599999999999996</v>
      </c>
      <c r="E29" s="12">
        <v>42</v>
      </c>
      <c r="F29" s="8">
        <v>4.34</v>
      </c>
      <c r="G29" s="12">
        <v>50</v>
      </c>
      <c r="H29" s="8">
        <v>6.03</v>
      </c>
      <c r="I29" s="12">
        <v>0</v>
      </c>
    </row>
    <row r="30" spans="2:9" ht="15" customHeight="1" x14ac:dyDescent="0.2">
      <c r="B30" t="s">
        <v>78</v>
      </c>
      <c r="C30" s="12">
        <v>89</v>
      </c>
      <c r="D30" s="8">
        <v>4.9000000000000004</v>
      </c>
      <c r="E30" s="12">
        <v>30</v>
      </c>
      <c r="F30" s="8">
        <v>3.1</v>
      </c>
      <c r="G30" s="12">
        <v>59</v>
      </c>
      <c r="H30" s="8">
        <v>7.12</v>
      </c>
      <c r="I30" s="12">
        <v>0</v>
      </c>
    </row>
    <row r="31" spans="2:9" ht="15" customHeight="1" x14ac:dyDescent="0.2">
      <c r="B31" t="s">
        <v>68</v>
      </c>
      <c r="C31" s="12">
        <v>79</v>
      </c>
      <c r="D31" s="8">
        <v>4.3499999999999996</v>
      </c>
      <c r="E31" s="12">
        <v>18</v>
      </c>
      <c r="F31" s="8">
        <v>1.86</v>
      </c>
      <c r="G31" s="12">
        <v>61</v>
      </c>
      <c r="H31" s="8">
        <v>7.36</v>
      </c>
      <c r="I31" s="12">
        <v>0</v>
      </c>
    </row>
    <row r="32" spans="2:9" ht="15" customHeight="1" x14ac:dyDescent="0.2">
      <c r="B32" t="s">
        <v>79</v>
      </c>
      <c r="C32" s="12">
        <v>63</v>
      </c>
      <c r="D32" s="8">
        <v>3.47</v>
      </c>
      <c r="E32" s="12">
        <v>51</v>
      </c>
      <c r="F32" s="8">
        <v>5.27</v>
      </c>
      <c r="G32" s="12">
        <v>12</v>
      </c>
      <c r="H32" s="8">
        <v>1.45</v>
      </c>
      <c r="I32" s="12">
        <v>0</v>
      </c>
    </row>
    <row r="33" spans="2:9" ht="15" customHeight="1" x14ac:dyDescent="0.2">
      <c r="B33" t="s">
        <v>84</v>
      </c>
      <c r="C33" s="12">
        <v>62</v>
      </c>
      <c r="D33" s="8">
        <v>3.41</v>
      </c>
      <c r="E33" s="12">
        <v>61</v>
      </c>
      <c r="F33" s="8">
        <v>6.3</v>
      </c>
      <c r="G33" s="12">
        <v>1</v>
      </c>
      <c r="H33" s="8">
        <v>0.12</v>
      </c>
      <c r="I33" s="12">
        <v>0</v>
      </c>
    </row>
    <row r="34" spans="2:9" ht="15" customHeight="1" x14ac:dyDescent="0.2">
      <c r="B34" t="s">
        <v>80</v>
      </c>
      <c r="C34" s="12">
        <v>59</v>
      </c>
      <c r="D34" s="8">
        <v>3.25</v>
      </c>
      <c r="E34" s="12">
        <v>24</v>
      </c>
      <c r="F34" s="8">
        <v>2.48</v>
      </c>
      <c r="G34" s="12">
        <v>35</v>
      </c>
      <c r="H34" s="8">
        <v>4.22</v>
      </c>
      <c r="I34" s="12">
        <v>0</v>
      </c>
    </row>
    <row r="35" spans="2:9" ht="15" customHeight="1" x14ac:dyDescent="0.2">
      <c r="B35" t="s">
        <v>75</v>
      </c>
      <c r="C35" s="12">
        <v>57</v>
      </c>
      <c r="D35" s="8">
        <v>3.14</v>
      </c>
      <c r="E35" s="12">
        <v>35</v>
      </c>
      <c r="F35" s="8">
        <v>3.62</v>
      </c>
      <c r="G35" s="12">
        <v>22</v>
      </c>
      <c r="H35" s="8">
        <v>2.65</v>
      </c>
      <c r="I35" s="12">
        <v>0</v>
      </c>
    </row>
    <row r="36" spans="2:9" ht="15" customHeight="1" x14ac:dyDescent="0.2">
      <c r="B36" t="s">
        <v>76</v>
      </c>
      <c r="C36" s="12">
        <v>52</v>
      </c>
      <c r="D36" s="8">
        <v>2.86</v>
      </c>
      <c r="E36" s="12">
        <v>30</v>
      </c>
      <c r="F36" s="8">
        <v>3.1</v>
      </c>
      <c r="G36" s="12">
        <v>22</v>
      </c>
      <c r="H36" s="8">
        <v>2.65</v>
      </c>
      <c r="I36" s="12">
        <v>0</v>
      </c>
    </row>
    <row r="37" spans="2:9" ht="15" customHeight="1" x14ac:dyDescent="0.2">
      <c r="B37" t="s">
        <v>102</v>
      </c>
      <c r="C37" s="12">
        <v>36</v>
      </c>
      <c r="D37" s="8">
        <v>1.98</v>
      </c>
      <c r="E37" s="12">
        <v>7</v>
      </c>
      <c r="F37" s="8">
        <v>0.72</v>
      </c>
      <c r="G37" s="12">
        <v>29</v>
      </c>
      <c r="H37" s="8">
        <v>3.5</v>
      </c>
      <c r="I37" s="12">
        <v>0</v>
      </c>
    </row>
    <row r="38" spans="2:9" ht="15" customHeight="1" x14ac:dyDescent="0.2">
      <c r="B38" t="s">
        <v>74</v>
      </c>
      <c r="C38" s="12">
        <v>34</v>
      </c>
      <c r="D38" s="8">
        <v>1.87</v>
      </c>
      <c r="E38" s="12">
        <v>17</v>
      </c>
      <c r="F38" s="8">
        <v>1.76</v>
      </c>
      <c r="G38" s="12">
        <v>17</v>
      </c>
      <c r="H38" s="8">
        <v>2.0499999999999998</v>
      </c>
      <c r="I38" s="12">
        <v>0</v>
      </c>
    </row>
    <row r="39" spans="2:9" ht="15" customHeight="1" x14ac:dyDescent="0.2">
      <c r="B39" t="s">
        <v>72</v>
      </c>
      <c r="C39" s="12">
        <v>27</v>
      </c>
      <c r="D39" s="8">
        <v>1.49</v>
      </c>
      <c r="E39" s="12">
        <v>8</v>
      </c>
      <c r="F39" s="8">
        <v>0.83</v>
      </c>
      <c r="G39" s="12">
        <v>19</v>
      </c>
      <c r="H39" s="8">
        <v>2.29</v>
      </c>
      <c r="I39" s="12">
        <v>0</v>
      </c>
    </row>
    <row r="40" spans="2:9" ht="15" customHeight="1" x14ac:dyDescent="0.2">
      <c r="B40" t="s">
        <v>90</v>
      </c>
      <c r="C40" s="12">
        <v>27</v>
      </c>
      <c r="D40" s="8">
        <v>1.49</v>
      </c>
      <c r="E40" s="12">
        <v>12</v>
      </c>
      <c r="F40" s="8">
        <v>1.24</v>
      </c>
      <c r="G40" s="12">
        <v>15</v>
      </c>
      <c r="H40" s="8">
        <v>1.81</v>
      </c>
      <c r="I40" s="12">
        <v>0</v>
      </c>
    </row>
    <row r="41" spans="2:9" ht="15" customHeight="1" x14ac:dyDescent="0.2">
      <c r="B41" t="s">
        <v>73</v>
      </c>
      <c r="C41" s="12">
        <v>25</v>
      </c>
      <c r="D41" s="8">
        <v>1.38</v>
      </c>
      <c r="E41" s="12">
        <v>12</v>
      </c>
      <c r="F41" s="8">
        <v>1.24</v>
      </c>
      <c r="G41" s="12">
        <v>13</v>
      </c>
      <c r="H41" s="8">
        <v>1.57</v>
      </c>
      <c r="I41" s="12">
        <v>0</v>
      </c>
    </row>
    <row r="42" spans="2:9" ht="15" customHeight="1" x14ac:dyDescent="0.2">
      <c r="B42" t="s">
        <v>89</v>
      </c>
      <c r="C42" s="12">
        <v>24</v>
      </c>
      <c r="D42" s="8">
        <v>1.32</v>
      </c>
      <c r="E42" s="12">
        <v>6</v>
      </c>
      <c r="F42" s="8">
        <v>0.62</v>
      </c>
      <c r="G42" s="12">
        <v>18</v>
      </c>
      <c r="H42" s="8">
        <v>2.17</v>
      </c>
      <c r="I42" s="12">
        <v>0</v>
      </c>
    </row>
    <row r="43" spans="2:9" ht="15" customHeight="1" x14ac:dyDescent="0.2">
      <c r="B43" t="s">
        <v>97</v>
      </c>
      <c r="C43" s="12">
        <v>22</v>
      </c>
      <c r="D43" s="8">
        <v>1.21</v>
      </c>
      <c r="E43" s="12">
        <v>0</v>
      </c>
      <c r="F43" s="8">
        <v>0</v>
      </c>
      <c r="G43" s="12">
        <v>22</v>
      </c>
      <c r="H43" s="8">
        <v>2.65</v>
      </c>
      <c r="I43" s="12">
        <v>0</v>
      </c>
    </row>
    <row r="44" spans="2:9" ht="15" customHeight="1" x14ac:dyDescent="0.2">
      <c r="B44" t="s">
        <v>85</v>
      </c>
      <c r="C44" s="12">
        <v>22</v>
      </c>
      <c r="D44" s="8">
        <v>1.21</v>
      </c>
      <c r="E44" s="12">
        <v>18</v>
      </c>
      <c r="F44" s="8">
        <v>1.86</v>
      </c>
      <c r="G44" s="12">
        <v>4</v>
      </c>
      <c r="H44" s="8">
        <v>0.48</v>
      </c>
      <c r="I44" s="12">
        <v>0</v>
      </c>
    </row>
    <row r="47" spans="2:9" ht="33" customHeight="1" x14ac:dyDescent="0.2">
      <c r="B47" t="s">
        <v>234</v>
      </c>
      <c r="C47" s="10" t="s">
        <v>59</v>
      </c>
      <c r="D47" s="10" t="s">
        <v>60</v>
      </c>
      <c r="E47" s="10" t="s">
        <v>61</v>
      </c>
      <c r="F47" s="10" t="s">
        <v>62</v>
      </c>
      <c r="G47" s="10" t="s">
        <v>63</v>
      </c>
      <c r="H47" s="10" t="s">
        <v>64</v>
      </c>
      <c r="I47" s="10" t="s">
        <v>65</v>
      </c>
    </row>
    <row r="48" spans="2:9" ht="15" customHeight="1" x14ac:dyDescent="0.2">
      <c r="B48" t="s">
        <v>138</v>
      </c>
      <c r="C48" s="12">
        <v>122</v>
      </c>
      <c r="D48" s="8">
        <v>6.71</v>
      </c>
      <c r="E48" s="12">
        <v>108</v>
      </c>
      <c r="F48" s="8">
        <v>11.16</v>
      </c>
      <c r="G48" s="12">
        <v>14</v>
      </c>
      <c r="H48" s="8">
        <v>1.69</v>
      </c>
      <c r="I48" s="12">
        <v>0</v>
      </c>
    </row>
    <row r="49" spans="2:9" ht="15" customHeight="1" x14ac:dyDescent="0.2">
      <c r="B49" t="s">
        <v>136</v>
      </c>
      <c r="C49" s="12">
        <v>82</v>
      </c>
      <c r="D49" s="8">
        <v>4.51</v>
      </c>
      <c r="E49" s="12">
        <v>75</v>
      </c>
      <c r="F49" s="8">
        <v>7.75</v>
      </c>
      <c r="G49" s="12">
        <v>7</v>
      </c>
      <c r="H49" s="8">
        <v>0.84</v>
      </c>
      <c r="I49" s="12">
        <v>0</v>
      </c>
    </row>
    <row r="50" spans="2:9" ht="15" customHeight="1" x14ac:dyDescent="0.2">
      <c r="B50" t="s">
        <v>139</v>
      </c>
      <c r="C50" s="12">
        <v>65</v>
      </c>
      <c r="D50" s="8">
        <v>3.58</v>
      </c>
      <c r="E50" s="12">
        <v>55</v>
      </c>
      <c r="F50" s="8">
        <v>5.68</v>
      </c>
      <c r="G50" s="12">
        <v>10</v>
      </c>
      <c r="H50" s="8">
        <v>1.21</v>
      </c>
      <c r="I50" s="12">
        <v>0</v>
      </c>
    </row>
    <row r="51" spans="2:9" ht="15" customHeight="1" x14ac:dyDescent="0.2">
      <c r="B51" t="s">
        <v>137</v>
      </c>
      <c r="C51" s="12">
        <v>59</v>
      </c>
      <c r="D51" s="8">
        <v>3.25</v>
      </c>
      <c r="E51" s="12">
        <v>53</v>
      </c>
      <c r="F51" s="8">
        <v>5.48</v>
      </c>
      <c r="G51" s="12">
        <v>6</v>
      </c>
      <c r="H51" s="8">
        <v>0.72</v>
      </c>
      <c r="I51" s="12">
        <v>0</v>
      </c>
    </row>
    <row r="52" spans="2:9" ht="15" customHeight="1" x14ac:dyDescent="0.2">
      <c r="B52" t="s">
        <v>140</v>
      </c>
      <c r="C52" s="12">
        <v>56</v>
      </c>
      <c r="D52" s="8">
        <v>3.08</v>
      </c>
      <c r="E52" s="12">
        <v>56</v>
      </c>
      <c r="F52" s="8">
        <v>5.79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134</v>
      </c>
      <c r="C53" s="12">
        <v>52</v>
      </c>
      <c r="D53" s="8">
        <v>2.86</v>
      </c>
      <c r="E53" s="12">
        <v>41</v>
      </c>
      <c r="F53" s="8">
        <v>4.24</v>
      </c>
      <c r="G53" s="12">
        <v>11</v>
      </c>
      <c r="H53" s="8">
        <v>1.33</v>
      </c>
      <c r="I53" s="12">
        <v>0</v>
      </c>
    </row>
    <row r="54" spans="2:9" ht="15" customHeight="1" x14ac:dyDescent="0.2">
      <c r="B54" t="s">
        <v>132</v>
      </c>
      <c r="C54" s="12">
        <v>50</v>
      </c>
      <c r="D54" s="8">
        <v>2.75</v>
      </c>
      <c r="E54" s="12">
        <v>24</v>
      </c>
      <c r="F54" s="8">
        <v>2.48</v>
      </c>
      <c r="G54" s="12">
        <v>26</v>
      </c>
      <c r="H54" s="8">
        <v>3.14</v>
      </c>
      <c r="I54" s="12">
        <v>0</v>
      </c>
    </row>
    <row r="55" spans="2:9" ht="15" customHeight="1" x14ac:dyDescent="0.2">
      <c r="B55" t="s">
        <v>122</v>
      </c>
      <c r="C55" s="12">
        <v>46</v>
      </c>
      <c r="D55" s="8">
        <v>2.5299999999999998</v>
      </c>
      <c r="E55" s="12">
        <v>5</v>
      </c>
      <c r="F55" s="8">
        <v>0.52</v>
      </c>
      <c r="G55" s="12">
        <v>41</v>
      </c>
      <c r="H55" s="8">
        <v>4.95</v>
      </c>
      <c r="I55" s="12">
        <v>0</v>
      </c>
    </row>
    <row r="56" spans="2:9" ht="15" customHeight="1" x14ac:dyDescent="0.2">
      <c r="B56" t="s">
        <v>125</v>
      </c>
      <c r="C56" s="12">
        <v>36</v>
      </c>
      <c r="D56" s="8">
        <v>1.98</v>
      </c>
      <c r="E56" s="12">
        <v>7</v>
      </c>
      <c r="F56" s="8">
        <v>0.72</v>
      </c>
      <c r="G56" s="12">
        <v>29</v>
      </c>
      <c r="H56" s="8">
        <v>3.5</v>
      </c>
      <c r="I56" s="12">
        <v>0</v>
      </c>
    </row>
    <row r="57" spans="2:9" ht="15" customHeight="1" x14ac:dyDescent="0.2">
      <c r="B57" t="s">
        <v>128</v>
      </c>
      <c r="C57" s="12">
        <v>36</v>
      </c>
      <c r="D57" s="8">
        <v>1.98</v>
      </c>
      <c r="E57" s="12">
        <v>17</v>
      </c>
      <c r="F57" s="8">
        <v>1.76</v>
      </c>
      <c r="G57" s="12">
        <v>19</v>
      </c>
      <c r="H57" s="8">
        <v>2.29</v>
      </c>
      <c r="I57" s="12">
        <v>0</v>
      </c>
    </row>
    <row r="58" spans="2:9" ht="15" customHeight="1" x14ac:dyDescent="0.2">
      <c r="B58" t="s">
        <v>130</v>
      </c>
      <c r="C58" s="12">
        <v>35</v>
      </c>
      <c r="D58" s="8">
        <v>1.93</v>
      </c>
      <c r="E58" s="12">
        <v>23</v>
      </c>
      <c r="F58" s="8">
        <v>2.38</v>
      </c>
      <c r="G58" s="12">
        <v>12</v>
      </c>
      <c r="H58" s="8">
        <v>1.45</v>
      </c>
      <c r="I58" s="12">
        <v>0</v>
      </c>
    </row>
    <row r="59" spans="2:9" ht="15" customHeight="1" x14ac:dyDescent="0.2">
      <c r="B59" t="s">
        <v>133</v>
      </c>
      <c r="C59" s="12">
        <v>34</v>
      </c>
      <c r="D59" s="8">
        <v>1.87</v>
      </c>
      <c r="E59" s="12">
        <v>15</v>
      </c>
      <c r="F59" s="8">
        <v>1.55</v>
      </c>
      <c r="G59" s="12">
        <v>19</v>
      </c>
      <c r="H59" s="8">
        <v>2.29</v>
      </c>
      <c r="I59" s="12">
        <v>0</v>
      </c>
    </row>
    <row r="60" spans="2:9" ht="15" customHeight="1" x14ac:dyDescent="0.2">
      <c r="B60" t="s">
        <v>123</v>
      </c>
      <c r="C60" s="12">
        <v>30</v>
      </c>
      <c r="D60" s="8">
        <v>1.65</v>
      </c>
      <c r="E60" s="12">
        <v>5</v>
      </c>
      <c r="F60" s="8">
        <v>0.52</v>
      </c>
      <c r="G60" s="12">
        <v>25</v>
      </c>
      <c r="H60" s="8">
        <v>3.02</v>
      </c>
      <c r="I60" s="12">
        <v>0</v>
      </c>
    </row>
    <row r="61" spans="2:9" ht="15" customHeight="1" x14ac:dyDescent="0.2">
      <c r="B61" t="s">
        <v>124</v>
      </c>
      <c r="C61" s="12">
        <v>30</v>
      </c>
      <c r="D61" s="8">
        <v>1.65</v>
      </c>
      <c r="E61" s="12">
        <v>9</v>
      </c>
      <c r="F61" s="8">
        <v>0.93</v>
      </c>
      <c r="G61" s="12">
        <v>21</v>
      </c>
      <c r="H61" s="8">
        <v>2.5299999999999998</v>
      </c>
      <c r="I61" s="12">
        <v>0</v>
      </c>
    </row>
    <row r="62" spans="2:9" ht="15" customHeight="1" x14ac:dyDescent="0.2">
      <c r="B62" t="s">
        <v>131</v>
      </c>
      <c r="C62" s="12">
        <v>26</v>
      </c>
      <c r="D62" s="8">
        <v>1.43</v>
      </c>
      <c r="E62" s="12">
        <v>5</v>
      </c>
      <c r="F62" s="8">
        <v>0.52</v>
      </c>
      <c r="G62" s="12">
        <v>21</v>
      </c>
      <c r="H62" s="8">
        <v>2.5299999999999998</v>
      </c>
      <c r="I62" s="12">
        <v>0</v>
      </c>
    </row>
    <row r="63" spans="2:9" ht="15" customHeight="1" x14ac:dyDescent="0.2">
      <c r="B63" t="s">
        <v>144</v>
      </c>
      <c r="C63" s="12">
        <v>25</v>
      </c>
      <c r="D63" s="8">
        <v>1.38</v>
      </c>
      <c r="E63" s="12">
        <v>11</v>
      </c>
      <c r="F63" s="8">
        <v>1.1399999999999999</v>
      </c>
      <c r="G63" s="12">
        <v>14</v>
      </c>
      <c r="H63" s="8">
        <v>1.69</v>
      </c>
      <c r="I63" s="12">
        <v>0</v>
      </c>
    </row>
    <row r="64" spans="2:9" ht="15" customHeight="1" x14ac:dyDescent="0.2">
      <c r="B64" t="s">
        <v>129</v>
      </c>
      <c r="C64" s="12">
        <v>24</v>
      </c>
      <c r="D64" s="8">
        <v>1.32</v>
      </c>
      <c r="E64" s="12">
        <v>13</v>
      </c>
      <c r="F64" s="8">
        <v>1.34</v>
      </c>
      <c r="G64" s="12">
        <v>11</v>
      </c>
      <c r="H64" s="8">
        <v>1.33</v>
      </c>
      <c r="I64" s="12">
        <v>0</v>
      </c>
    </row>
    <row r="65" spans="2:9" ht="15" customHeight="1" x14ac:dyDescent="0.2">
      <c r="B65" t="s">
        <v>174</v>
      </c>
      <c r="C65" s="12">
        <v>24</v>
      </c>
      <c r="D65" s="8">
        <v>1.32</v>
      </c>
      <c r="E65" s="12">
        <v>5</v>
      </c>
      <c r="F65" s="8">
        <v>0.52</v>
      </c>
      <c r="G65" s="12">
        <v>19</v>
      </c>
      <c r="H65" s="8">
        <v>2.29</v>
      </c>
      <c r="I65" s="12">
        <v>0</v>
      </c>
    </row>
    <row r="66" spans="2:9" ht="15" customHeight="1" x14ac:dyDescent="0.2">
      <c r="B66" t="s">
        <v>135</v>
      </c>
      <c r="C66" s="12">
        <v>24</v>
      </c>
      <c r="D66" s="8">
        <v>1.32</v>
      </c>
      <c r="E66" s="12">
        <v>24</v>
      </c>
      <c r="F66" s="8">
        <v>2.48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175</v>
      </c>
      <c r="C67" s="12">
        <v>24</v>
      </c>
      <c r="D67" s="8">
        <v>1.32</v>
      </c>
      <c r="E67" s="12">
        <v>16</v>
      </c>
      <c r="F67" s="8">
        <v>1.65</v>
      </c>
      <c r="G67" s="12">
        <v>8</v>
      </c>
      <c r="H67" s="8">
        <v>0.97</v>
      </c>
      <c r="I67" s="12">
        <v>0</v>
      </c>
    </row>
    <row r="68" spans="2:9" ht="15" customHeight="1" x14ac:dyDescent="0.2">
      <c r="B68" t="s">
        <v>145</v>
      </c>
      <c r="C68" s="12">
        <v>24</v>
      </c>
      <c r="D68" s="8">
        <v>1.32</v>
      </c>
      <c r="E68" s="12">
        <v>14</v>
      </c>
      <c r="F68" s="8">
        <v>1.45</v>
      </c>
      <c r="G68" s="12">
        <v>10</v>
      </c>
      <c r="H68" s="8">
        <v>1.21</v>
      </c>
      <c r="I68" s="12">
        <v>0</v>
      </c>
    </row>
    <row r="70" spans="2:9" ht="15" customHeight="1" x14ac:dyDescent="0.2">
      <c r="B70" t="s">
        <v>235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6ABC4-930A-47BE-889B-70ACE48AFD2A}">
  <sheetPr>
    <pageSetUpPr fitToPage="1"/>
  </sheetPr>
  <dimension ref="A1:H689"/>
  <sheetViews>
    <sheetView workbookViewId="0"/>
  </sheetViews>
  <sheetFormatPr defaultRowHeight="13.2" x14ac:dyDescent="0.2"/>
  <cols>
    <col min="1" max="1" width="40" bestFit="1" customWidth="1"/>
    <col min="2" max="8" width="10.44140625" customWidth="1"/>
  </cols>
  <sheetData>
    <row r="1" spans="1:8" ht="37.5" customHeight="1" x14ac:dyDescent="0.2">
      <c r="A1" s="6" t="s">
        <v>58</v>
      </c>
      <c r="B1" s="7" t="s">
        <v>59</v>
      </c>
      <c r="C1" s="7" t="s">
        <v>60</v>
      </c>
      <c r="D1" s="7" t="s">
        <v>61</v>
      </c>
      <c r="E1" s="7" t="s">
        <v>62</v>
      </c>
      <c r="F1" s="7" t="s">
        <v>63</v>
      </c>
      <c r="G1" s="7" t="s">
        <v>64</v>
      </c>
      <c r="H1" s="7" t="s">
        <v>65</v>
      </c>
    </row>
    <row r="2" spans="1:8" x14ac:dyDescent="0.2">
      <c r="A2" s="1" t="s">
        <v>0</v>
      </c>
      <c r="B2" s="4">
        <v>56308</v>
      </c>
      <c r="C2" s="5">
        <v>100.01</v>
      </c>
      <c r="D2" s="4">
        <v>31428</v>
      </c>
      <c r="E2" s="5">
        <v>99.999999999999986</v>
      </c>
      <c r="F2" s="4">
        <v>24227</v>
      </c>
      <c r="G2" s="5">
        <v>99.999999999999986</v>
      </c>
      <c r="H2" s="4">
        <v>154</v>
      </c>
    </row>
    <row r="3" spans="1:8" x14ac:dyDescent="0.2">
      <c r="A3" s="2" t="s">
        <v>43</v>
      </c>
      <c r="B3" s="4">
        <v>24</v>
      </c>
      <c r="C3" s="5">
        <v>0.04</v>
      </c>
      <c r="D3" s="4">
        <v>6</v>
      </c>
      <c r="E3" s="5">
        <v>0.02</v>
      </c>
      <c r="F3" s="4">
        <v>18</v>
      </c>
      <c r="G3" s="5">
        <v>7.0000000000000007E-2</v>
      </c>
      <c r="H3" s="4">
        <v>0</v>
      </c>
    </row>
    <row r="4" spans="1:8" x14ac:dyDescent="0.2">
      <c r="A4" s="2" t="s">
        <v>44</v>
      </c>
      <c r="B4" s="4">
        <v>8117</v>
      </c>
      <c r="C4" s="5">
        <v>14.42</v>
      </c>
      <c r="D4" s="4">
        <v>3189</v>
      </c>
      <c r="E4" s="5">
        <v>10.15</v>
      </c>
      <c r="F4" s="4">
        <v>4928</v>
      </c>
      <c r="G4" s="5">
        <v>20.34</v>
      </c>
      <c r="H4" s="4">
        <v>0</v>
      </c>
    </row>
    <row r="5" spans="1:8" x14ac:dyDescent="0.2">
      <c r="A5" s="2" t="s">
        <v>45</v>
      </c>
      <c r="B5" s="4">
        <v>8108</v>
      </c>
      <c r="C5" s="5">
        <v>14.4</v>
      </c>
      <c r="D5" s="4">
        <v>3858</v>
      </c>
      <c r="E5" s="5">
        <v>12.28</v>
      </c>
      <c r="F5" s="4">
        <v>4239</v>
      </c>
      <c r="G5" s="5">
        <v>17.5</v>
      </c>
      <c r="H5" s="4">
        <v>10</v>
      </c>
    </row>
    <row r="6" spans="1:8" x14ac:dyDescent="0.2">
      <c r="A6" s="2" t="s">
        <v>46</v>
      </c>
      <c r="B6" s="4">
        <v>108</v>
      </c>
      <c r="C6" s="5">
        <v>0.19</v>
      </c>
      <c r="D6" s="4">
        <v>6</v>
      </c>
      <c r="E6" s="5">
        <v>0.02</v>
      </c>
      <c r="F6" s="4">
        <v>89</v>
      </c>
      <c r="G6" s="5">
        <v>0.37</v>
      </c>
      <c r="H6" s="4">
        <v>1</v>
      </c>
    </row>
    <row r="7" spans="1:8" x14ac:dyDescent="0.2">
      <c r="A7" s="2" t="s">
        <v>47</v>
      </c>
      <c r="B7" s="4">
        <v>345</v>
      </c>
      <c r="C7" s="5">
        <v>0.61</v>
      </c>
      <c r="D7" s="4">
        <v>36</v>
      </c>
      <c r="E7" s="5">
        <v>0.11</v>
      </c>
      <c r="F7" s="4">
        <v>308</v>
      </c>
      <c r="G7" s="5">
        <v>1.27</v>
      </c>
      <c r="H7" s="4">
        <v>1</v>
      </c>
    </row>
    <row r="8" spans="1:8" x14ac:dyDescent="0.2">
      <c r="A8" s="2" t="s">
        <v>48</v>
      </c>
      <c r="B8" s="4">
        <v>438</v>
      </c>
      <c r="C8" s="5">
        <v>0.78</v>
      </c>
      <c r="D8" s="4">
        <v>110</v>
      </c>
      <c r="E8" s="5">
        <v>0.35</v>
      </c>
      <c r="F8" s="4">
        <v>315</v>
      </c>
      <c r="G8" s="5">
        <v>1.3</v>
      </c>
      <c r="H8" s="4">
        <v>12</v>
      </c>
    </row>
    <row r="9" spans="1:8" x14ac:dyDescent="0.2">
      <c r="A9" s="2" t="s">
        <v>49</v>
      </c>
      <c r="B9" s="4">
        <v>12414</v>
      </c>
      <c r="C9" s="5">
        <v>22.05</v>
      </c>
      <c r="D9" s="4">
        <v>6176</v>
      </c>
      <c r="E9" s="5">
        <v>19.649999999999999</v>
      </c>
      <c r="F9" s="4">
        <v>6203</v>
      </c>
      <c r="G9" s="5">
        <v>25.6</v>
      </c>
      <c r="H9" s="4">
        <v>35</v>
      </c>
    </row>
    <row r="10" spans="1:8" x14ac:dyDescent="0.2">
      <c r="A10" s="2" t="s">
        <v>50</v>
      </c>
      <c r="B10" s="4">
        <v>388</v>
      </c>
      <c r="C10" s="5">
        <v>0.69</v>
      </c>
      <c r="D10" s="4">
        <v>59</v>
      </c>
      <c r="E10" s="5">
        <v>0.19</v>
      </c>
      <c r="F10" s="4">
        <v>326</v>
      </c>
      <c r="G10" s="5">
        <v>1.35</v>
      </c>
      <c r="H10" s="4">
        <v>2</v>
      </c>
    </row>
    <row r="11" spans="1:8" x14ac:dyDescent="0.2">
      <c r="A11" s="2" t="s">
        <v>51</v>
      </c>
      <c r="B11" s="4">
        <v>4064</v>
      </c>
      <c r="C11" s="5">
        <v>7.22</v>
      </c>
      <c r="D11" s="4">
        <v>1858</v>
      </c>
      <c r="E11" s="5">
        <v>5.91</v>
      </c>
      <c r="F11" s="4">
        <v>2190</v>
      </c>
      <c r="G11" s="5">
        <v>9.0399999999999991</v>
      </c>
      <c r="H11" s="4">
        <v>8</v>
      </c>
    </row>
    <row r="12" spans="1:8" x14ac:dyDescent="0.2">
      <c r="A12" s="2" t="s">
        <v>52</v>
      </c>
      <c r="B12" s="4">
        <v>2675</v>
      </c>
      <c r="C12" s="5">
        <v>4.75</v>
      </c>
      <c r="D12" s="4">
        <v>1487</v>
      </c>
      <c r="E12" s="5">
        <v>4.7300000000000004</v>
      </c>
      <c r="F12" s="4">
        <v>1140</v>
      </c>
      <c r="G12" s="5">
        <v>4.71</v>
      </c>
      <c r="H12" s="4">
        <v>5</v>
      </c>
    </row>
    <row r="13" spans="1:8" x14ac:dyDescent="0.2">
      <c r="A13" s="2" t="s">
        <v>53</v>
      </c>
      <c r="B13" s="4">
        <v>6682</v>
      </c>
      <c r="C13" s="5">
        <v>11.87</v>
      </c>
      <c r="D13" s="4">
        <v>5585</v>
      </c>
      <c r="E13" s="5">
        <v>17.77</v>
      </c>
      <c r="F13" s="4">
        <v>1065</v>
      </c>
      <c r="G13" s="5">
        <v>4.4000000000000004</v>
      </c>
      <c r="H13" s="4">
        <v>9</v>
      </c>
    </row>
    <row r="14" spans="1:8" x14ac:dyDescent="0.2">
      <c r="A14" s="2" t="s">
        <v>54</v>
      </c>
      <c r="B14" s="4">
        <v>6243</v>
      </c>
      <c r="C14" s="5">
        <v>11.09</v>
      </c>
      <c r="D14" s="4">
        <v>4990</v>
      </c>
      <c r="E14" s="5">
        <v>15.88</v>
      </c>
      <c r="F14" s="4">
        <v>1222</v>
      </c>
      <c r="G14" s="5">
        <v>5.04</v>
      </c>
      <c r="H14" s="4">
        <v>3</v>
      </c>
    </row>
    <row r="15" spans="1:8" x14ac:dyDescent="0.2">
      <c r="A15" s="2" t="s">
        <v>55</v>
      </c>
      <c r="B15" s="4">
        <v>2193</v>
      </c>
      <c r="C15" s="5">
        <v>3.89</v>
      </c>
      <c r="D15" s="4">
        <v>1401</v>
      </c>
      <c r="E15" s="5">
        <v>4.46</v>
      </c>
      <c r="F15" s="4">
        <v>564</v>
      </c>
      <c r="G15" s="5">
        <v>2.33</v>
      </c>
      <c r="H15" s="4">
        <v>6</v>
      </c>
    </row>
    <row r="16" spans="1:8" x14ac:dyDescent="0.2">
      <c r="A16" s="2" t="s">
        <v>56</v>
      </c>
      <c r="B16" s="4">
        <v>2590</v>
      </c>
      <c r="C16" s="5">
        <v>4.5999999999999996</v>
      </c>
      <c r="D16" s="4">
        <v>1799</v>
      </c>
      <c r="E16" s="5">
        <v>5.72</v>
      </c>
      <c r="F16" s="4">
        <v>677</v>
      </c>
      <c r="G16" s="5">
        <v>2.79</v>
      </c>
      <c r="H16" s="4">
        <v>11</v>
      </c>
    </row>
    <row r="17" spans="1:8" x14ac:dyDescent="0.2">
      <c r="A17" s="2" t="s">
        <v>57</v>
      </c>
      <c r="B17" s="4">
        <v>1919</v>
      </c>
      <c r="C17" s="5">
        <v>3.41</v>
      </c>
      <c r="D17" s="4">
        <v>868</v>
      </c>
      <c r="E17" s="5">
        <v>2.76</v>
      </c>
      <c r="F17" s="4">
        <v>943</v>
      </c>
      <c r="G17" s="5">
        <v>3.89</v>
      </c>
      <c r="H17" s="4">
        <v>51</v>
      </c>
    </row>
    <row r="18" spans="1:8" x14ac:dyDescent="0.2">
      <c r="A18" s="1" t="s">
        <v>1</v>
      </c>
      <c r="B18" s="4">
        <v>11746</v>
      </c>
      <c r="C18" s="5">
        <v>100.02000000000001</v>
      </c>
      <c r="D18" s="4">
        <v>5986</v>
      </c>
      <c r="E18" s="5">
        <v>99.990000000000009</v>
      </c>
      <c r="F18" s="4">
        <v>5667</v>
      </c>
      <c r="G18" s="5">
        <v>100.00999999999998</v>
      </c>
      <c r="H18" s="4">
        <v>20</v>
      </c>
    </row>
    <row r="19" spans="1:8" x14ac:dyDescent="0.2">
      <c r="A19" s="2" t="s">
        <v>43</v>
      </c>
      <c r="B19" s="4">
        <v>2</v>
      </c>
      <c r="C19" s="5">
        <v>0.02</v>
      </c>
      <c r="D19" s="4">
        <v>0</v>
      </c>
      <c r="E19" s="5">
        <v>0</v>
      </c>
      <c r="F19" s="4">
        <v>2</v>
      </c>
      <c r="G19" s="5">
        <v>0.04</v>
      </c>
      <c r="H19" s="4">
        <v>0</v>
      </c>
    </row>
    <row r="20" spans="1:8" x14ac:dyDescent="0.2">
      <c r="A20" s="2" t="s">
        <v>44</v>
      </c>
      <c r="B20" s="4">
        <v>1281</v>
      </c>
      <c r="C20" s="5">
        <v>10.91</v>
      </c>
      <c r="D20" s="4">
        <v>301</v>
      </c>
      <c r="E20" s="5">
        <v>5.03</v>
      </c>
      <c r="F20" s="4">
        <v>980</v>
      </c>
      <c r="G20" s="5">
        <v>17.29</v>
      </c>
      <c r="H20" s="4">
        <v>0</v>
      </c>
    </row>
    <row r="21" spans="1:8" x14ac:dyDescent="0.2">
      <c r="A21" s="2" t="s">
        <v>45</v>
      </c>
      <c r="B21" s="4">
        <v>1061</v>
      </c>
      <c r="C21" s="5">
        <v>9.0299999999999994</v>
      </c>
      <c r="D21" s="4">
        <v>457</v>
      </c>
      <c r="E21" s="5">
        <v>7.63</v>
      </c>
      <c r="F21" s="4">
        <v>603</v>
      </c>
      <c r="G21" s="5">
        <v>10.64</v>
      </c>
      <c r="H21" s="4">
        <v>0</v>
      </c>
    </row>
    <row r="22" spans="1:8" x14ac:dyDescent="0.2">
      <c r="A22" s="2" t="s">
        <v>46</v>
      </c>
      <c r="B22" s="4">
        <v>10</v>
      </c>
      <c r="C22" s="5">
        <v>0.09</v>
      </c>
      <c r="D22" s="4">
        <v>0</v>
      </c>
      <c r="E22" s="5">
        <v>0</v>
      </c>
      <c r="F22" s="4">
        <v>10</v>
      </c>
      <c r="G22" s="5">
        <v>0.18</v>
      </c>
      <c r="H22" s="4">
        <v>0</v>
      </c>
    </row>
    <row r="23" spans="1:8" x14ac:dyDescent="0.2">
      <c r="A23" s="2" t="s">
        <v>47</v>
      </c>
      <c r="B23" s="4">
        <v>94</v>
      </c>
      <c r="C23" s="5">
        <v>0.8</v>
      </c>
      <c r="D23" s="4">
        <v>6</v>
      </c>
      <c r="E23" s="5">
        <v>0.1</v>
      </c>
      <c r="F23" s="4">
        <v>87</v>
      </c>
      <c r="G23" s="5">
        <v>1.54</v>
      </c>
      <c r="H23" s="4">
        <v>1</v>
      </c>
    </row>
    <row r="24" spans="1:8" x14ac:dyDescent="0.2">
      <c r="A24" s="2" t="s">
        <v>48</v>
      </c>
      <c r="B24" s="4">
        <v>56</v>
      </c>
      <c r="C24" s="5">
        <v>0.48</v>
      </c>
      <c r="D24" s="4">
        <v>10</v>
      </c>
      <c r="E24" s="5">
        <v>0.17</v>
      </c>
      <c r="F24" s="4">
        <v>45</v>
      </c>
      <c r="G24" s="5">
        <v>0.79</v>
      </c>
      <c r="H24" s="4">
        <v>1</v>
      </c>
    </row>
    <row r="25" spans="1:8" x14ac:dyDescent="0.2">
      <c r="A25" s="2" t="s">
        <v>49</v>
      </c>
      <c r="B25" s="4">
        <v>2670</v>
      </c>
      <c r="C25" s="5">
        <v>22.73</v>
      </c>
      <c r="D25" s="4">
        <v>1106</v>
      </c>
      <c r="E25" s="5">
        <v>18.48</v>
      </c>
      <c r="F25" s="4">
        <v>1563</v>
      </c>
      <c r="G25" s="5">
        <v>27.58</v>
      </c>
      <c r="H25" s="4">
        <v>1</v>
      </c>
    </row>
    <row r="26" spans="1:8" x14ac:dyDescent="0.2">
      <c r="A26" s="2" t="s">
        <v>50</v>
      </c>
      <c r="B26" s="4">
        <v>109</v>
      </c>
      <c r="C26" s="5">
        <v>0.93</v>
      </c>
      <c r="D26" s="4">
        <v>11</v>
      </c>
      <c r="E26" s="5">
        <v>0.18</v>
      </c>
      <c r="F26" s="4">
        <v>98</v>
      </c>
      <c r="G26" s="5">
        <v>1.73</v>
      </c>
      <c r="H26" s="4">
        <v>0</v>
      </c>
    </row>
    <row r="27" spans="1:8" x14ac:dyDescent="0.2">
      <c r="A27" s="2" t="s">
        <v>51</v>
      </c>
      <c r="B27" s="4">
        <v>1469</v>
      </c>
      <c r="C27" s="5">
        <v>12.51</v>
      </c>
      <c r="D27" s="4">
        <v>695</v>
      </c>
      <c r="E27" s="5">
        <v>11.61</v>
      </c>
      <c r="F27" s="4">
        <v>773</v>
      </c>
      <c r="G27" s="5">
        <v>13.64</v>
      </c>
      <c r="H27" s="4">
        <v>1</v>
      </c>
    </row>
    <row r="28" spans="1:8" x14ac:dyDescent="0.2">
      <c r="A28" s="2" t="s">
        <v>52</v>
      </c>
      <c r="B28" s="4">
        <v>729</v>
      </c>
      <c r="C28" s="5">
        <v>6.21</v>
      </c>
      <c r="D28" s="4">
        <v>355</v>
      </c>
      <c r="E28" s="5">
        <v>5.93</v>
      </c>
      <c r="F28" s="4">
        <v>363</v>
      </c>
      <c r="G28" s="5">
        <v>6.41</v>
      </c>
      <c r="H28" s="4">
        <v>3</v>
      </c>
    </row>
    <row r="29" spans="1:8" x14ac:dyDescent="0.2">
      <c r="A29" s="2" t="s">
        <v>53</v>
      </c>
      <c r="B29" s="4">
        <v>1475</v>
      </c>
      <c r="C29" s="5">
        <v>12.56</v>
      </c>
      <c r="D29" s="4">
        <v>1241</v>
      </c>
      <c r="E29" s="5">
        <v>20.73</v>
      </c>
      <c r="F29" s="4">
        <v>234</v>
      </c>
      <c r="G29" s="5">
        <v>4.13</v>
      </c>
      <c r="H29" s="4">
        <v>0</v>
      </c>
    </row>
    <row r="30" spans="1:8" x14ac:dyDescent="0.2">
      <c r="A30" s="2" t="s">
        <v>54</v>
      </c>
      <c r="B30" s="4">
        <v>1326</v>
      </c>
      <c r="C30" s="5">
        <v>11.29</v>
      </c>
      <c r="D30" s="4">
        <v>1025</v>
      </c>
      <c r="E30" s="5">
        <v>17.12</v>
      </c>
      <c r="F30" s="4">
        <v>299</v>
      </c>
      <c r="G30" s="5">
        <v>5.28</v>
      </c>
      <c r="H30" s="4">
        <v>0</v>
      </c>
    </row>
    <row r="31" spans="1:8" x14ac:dyDescent="0.2">
      <c r="A31" s="2" t="s">
        <v>55</v>
      </c>
      <c r="B31" s="4">
        <v>431</v>
      </c>
      <c r="C31" s="5">
        <v>3.67</v>
      </c>
      <c r="D31" s="4">
        <v>212</v>
      </c>
      <c r="E31" s="5">
        <v>3.54</v>
      </c>
      <c r="F31" s="4">
        <v>163</v>
      </c>
      <c r="G31" s="5">
        <v>2.88</v>
      </c>
      <c r="H31" s="4">
        <v>0</v>
      </c>
    </row>
    <row r="32" spans="1:8" x14ac:dyDescent="0.2">
      <c r="A32" s="2" t="s">
        <v>56</v>
      </c>
      <c r="B32" s="4">
        <v>582</v>
      </c>
      <c r="C32" s="5">
        <v>4.95</v>
      </c>
      <c r="D32" s="4">
        <v>394</v>
      </c>
      <c r="E32" s="5">
        <v>6.58</v>
      </c>
      <c r="F32" s="4">
        <v>181</v>
      </c>
      <c r="G32" s="5">
        <v>3.19</v>
      </c>
      <c r="H32" s="4">
        <v>3</v>
      </c>
    </row>
    <row r="33" spans="1:8" x14ac:dyDescent="0.2">
      <c r="A33" s="2" t="s">
        <v>57</v>
      </c>
      <c r="B33" s="4">
        <v>451</v>
      </c>
      <c r="C33" s="5">
        <v>3.84</v>
      </c>
      <c r="D33" s="4">
        <v>173</v>
      </c>
      <c r="E33" s="5">
        <v>2.89</v>
      </c>
      <c r="F33" s="4">
        <v>266</v>
      </c>
      <c r="G33" s="5">
        <v>4.6900000000000004</v>
      </c>
      <c r="H33" s="4">
        <v>10</v>
      </c>
    </row>
    <row r="34" spans="1:8" x14ac:dyDescent="0.2">
      <c r="A34" s="1" t="s">
        <v>2</v>
      </c>
      <c r="B34" s="4">
        <v>4065</v>
      </c>
      <c r="C34" s="5">
        <v>99.99</v>
      </c>
      <c r="D34" s="4">
        <v>2197</v>
      </c>
      <c r="E34" s="5">
        <v>99.99</v>
      </c>
      <c r="F34" s="4">
        <v>1826</v>
      </c>
      <c r="G34" s="5">
        <v>99.980000000000018</v>
      </c>
      <c r="H34" s="4">
        <v>23</v>
      </c>
    </row>
    <row r="35" spans="1:8" x14ac:dyDescent="0.2">
      <c r="A35" s="2" t="s">
        <v>43</v>
      </c>
      <c r="B35" s="4">
        <v>1</v>
      </c>
      <c r="C35" s="5">
        <v>0.02</v>
      </c>
      <c r="D35" s="4">
        <v>0</v>
      </c>
      <c r="E35" s="5">
        <v>0</v>
      </c>
      <c r="F35" s="4">
        <v>1</v>
      </c>
      <c r="G35" s="5">
        <v>0.05</v>
      </c>
      <c r="H35" s="4">
        <v>0</v>
      </c>
    </row>
    <row r="36" spans="1:8" x14ac:dyDescent="0.2">
      <c r="A36" s="2" t="s">
        <v>44</v>
      </c>
      <c r="B36" s="4">
        <v>486</v>
      </c>
      <c r="C36" s="5">
        <v>11.96</v>
      </c>
      <c r="D36" s="4">
        <v>167</v>
      </c>
      <c r="E36" s="5">
        <v>7.6</v>
      </c>
      <c r="F36" s="4">
        <v>319</v>
      </c>
      <c r="G36" s="5">
        <v>17.47</v>
      </c>
      <c r="H36" s="4">
        <v>0</v>
      </c>
    </row>
    <row r="37" spans="1:8" x14ac:dyDescent="0.2">
      <c r="A37" s="2" t="s">
        <v>45</v>
      </c>
      <c r="B37" s="4">
        <v>457</v>
      </c>
      <c r="C37" s="5">
        <v>11.24</v>
      </c>
      <c r="D37" s="4">
        <v>193</v>
      </c>
      <c r="E37" s="5">
        <v>8.7799999999999994</v>
      </c>
      <c r="F37" s="4">
        <v>264</v>
      </c>
      <c r="G37" s="5">
        <v>14.46</v>
      </c>
      <c r="H37" s="4">
        <v>0</v>
      </c>
    </row>
    <row r="38" spans="1:8" x14ac:dyDescent="0.2">
      <c r="A38" s="2" t="s">
        <v>46</v>
      </c>
      <c r="B38" s="4">
        <v>3</v>
      </c>
      <c r="C38" s="5">
        <v>7.0000000000000007E-2</v>
      </c>
      <c r="D38" s="4">
        <v>0</v>
      </c>
      <c r="E38" s="5">
        <v>0</v>
      </c>
      <c r="F38" s="4">
        <v>3</v>
      </c>
      <c r="G38" s="5">
        <v>0.16</v>
      </c>
      <c r="H38" s="4">
        <v>0</v>
      </c>
    </row>
    <row r="39" spans="1:8" x14ac:dyDescent="0.2">
      <c r="A39" s="2" t="s">
        <v>47</v>
      </c>
      <c r="B39" s="4">
        <v>47</v>
      </c>
      <c r="C39" s="5">
        <v>1.1599999999999999</v>
      </c>
      <c r="D39" s="4">
        <v>1</v>
      </c>
      <c r="E39" s="5">
        <v>0.05</v>
      </c>
      <c r="F39" s="4">
        <v>46</v>
      </c>
      <c r="G39" s="5">
        <v>2.52</v>
      </c>
      <c r="H39" s="4">
        <v>0</v>
      </c>
    </row>
    <row r="40" spans="1:8" x14ac:dyDescent="0.2">
      <c r="A40" s="2" t="s">
        <v>48</v>
      </c>
      <c r="B40" s="4">
        <v>23</v>
      </c>
      <c r="C40" s="5">
        <v>0.56999999999999995</v>
      </c>
      <c r="D40" s="4">
        <v>4</v>
      </c>
      <c r="E40" s="5">
        <v>0.18</v>
      </c>
      <c r="F40" s="4">
        <v>19</v>
      </c>
      <c r="G40" s="5">
        <v>1.04</v>
      </c>
      <c r="H40" s="4">
        <v>0</v>
      </c>
    </row>
    <row r="41" spans="1:8" x14ac:dyDescent="0.2">
      <c r="A41" s="2" t="s">
        <v>49</v>
      </c>
      <c r="B41" s="4">
        <v>966</v>
      </c>
      <c r="C41" s="5">
        <v>23.76</v>
      </c>
      <c r="D41" s="4">
        <v>447</v>
      </c>
      <c r="E41" s="5">
        <v>20.350000000000001</v>
      </c>
      <c r="F41" s="4">
        <v>511</v>
      </c>
      <c r="G41" s="5">
        <v>27.98</v>
      </c>
      <c r="H41" s="4">
        <v>8</v>
      </c>
    </row>
    <row r="42" spans="1:8" x14ac:dyDescent="0.2">
      <c r="A42" s="2" t="s">
        <v>50</v>
      </c>
      <c r="B42" s="4">
        <v>32</v>
      </c>
      <c r="C42" s="5">
        <v>0.79</v>
      </c>
      <c r="D42" s="4">
        <v>5</v>
      </c>
      <c r="E42" s="5">
        <v>0.23</v>
      </c>
      <c r="F42" s="4">
        <v>27</v>
      </c>
      <c r="G42" s="5">
        <v>1.48</v>
      </c>
      <c r="H42" s="4">
        <v>0</v>
      </c>
    </row>
    <row r="43" spans="1:8" x14ac:dyDescent="0.2">
      <c r="A43" s="2" t="s">
        <v>51</v>
      </c>
      <c r="B43" s="4">
        <v>385</v>
      </c>
      <c r="C43" s="5">
        <v>9.4700000000000006</v>
      </c>
      <c r="D43" s="4">
        <v>189</v>
      </c>
      <c r="E43" s="5">
        <v>8.6</v>
      </c>
      <c r="F43" s="4">
        <v>191</v>
      </c>
      <c r="G43" s="5">
        <v>10.46</v>
      </c>
      <c r="H43" s="4">
        <v>4</v>
      </c>
    </row>
    <row r="44" spans="1:8" x14ac:dyDescent="0.2">
      <c r="A44" s="2" t="s">
        <v>52</v>
      </c>
      <c r="B44" s="4">
        <v>233</v>
      </c>
      <c r="C44" s="5">
        <v>5.73</v>
      </c>
      <c r="D44" s="4">
        <v>145</v>
      </c>
      <c r="E44" s="5">
        <v>6.6</v>
      </c>
      <c r="F44" s="4">
        <v>85</v>
      </c>
      <c r="G44" s="5">
        <v>4.6500000000000004</v>
      </c>
      <c r="H44" s="4">
        <v>1</v>
      </c>
    </row>
    <row r="45" spans="1:8" x14ac:dyDescent="0.2">
      <c r="A45" s="2" t="s">
        <v>53</v>
      </c>
      <c r="B45" s="4">
        <v>416</v>
      </c>
      <c r="C45" s="5">
        <v>10.23</v>
      </c>
      <c r="D45" s="4">
        <v>352</v>
      </c>
      <c r="E45" s="5">
        <v>16.02</v>
      </c>
      <c r="F45" s="4">
        <v>64</v>
      </c>
      <c r="G45" s="5">
        <v>3.5</v>
      </c>
      <c r="H45" s="4">
        <v>0</v>
      </c>
    </row>
    <row r="46" spans="1:8" x14ac:dyDescent="0.2">
      <c r="A46" s="2" t="s">
        <v>54</v>
      </c>
      <c r="B46" s="4">
        <v>500</v>
      </c>
      <c r="C46" s="5">
        <v>12.3</v>
      </c>
      <c r="D46" s="4">
        <v>394</v>
      </c>
      <c r="E46" s="5">
        <v>17.93</v>
      </c>
      <c r="F46" s="4">
        <v>104</v>
      </c>
      <c r="G46" s="5">
        <v>5.7</v>
      </c>
      <c r="H46" s="4">
        <v>0</v>
      </c>
    </row>
    <row r="47" spans="1:8" x14ac:dyDescent="0.2">
      <c r="A47" s="2" t="s">
        <v>55</v>
      </c>
      <c r="B47" s="4">
        <v>180</v>
      </c>
      <c r="C47" s="5">
        <v>4.43</v>
      </c>
      <c r="D47" s="4">
        <v>111</v>
      </c>
      <c r="E47" s="5">
        <v>5.05</v>
      </c>
      <c r="F47" s="4">
        <v>57</v>
      </c>
      <c r="G47" s="5">
        <v>3.12</v>
      </c>
      <c r="H47" s="4">
        <v>1</v>
      </c>
    </row>
    <row r="48" spans="1:8" x14ac:dyDescent="0.2">
      <c r="A48" s="2" t="s">
        <v>56</v>
      </c>
      <c r="B48" s="4">
        <v>188</v>
      </c>
      <c r="C48" s="5">
        <v>4.62</v>
      </c>
      <c r="D48" s="4">
        <v>136</v>
      </c>
      <c r="E48" s="5">
        <v>6.19</v>
      </c>
      <c r="F48" s="4">
        <v>49</v>
      </c>
      <c r="G48" s="5">
        <v>2.68</v>
      </c>
      <c r="H48" s="4">
        <v>2</v>
      </c>
    </row>
    <row r="49" spans="1:8" x14ac:dyDescent="0.2">
      <c r="A49" s="2" t="s">
        <v>57</v>
      </c>
      <c r="B49" s="4">
        <v>148</v>
      </c>
      <c r="C49" s="5">
        <v>3.64</v>
      </c>
      <c r="D49" s="4">
        <v>53</v>
      </c>
      <c r="E49" s="5">
        <v>2.41</v>
      </c>
      <c r="F49" s="4">
        <v>86</v>
      </c>
      <c r="G49" s="5">
        <v>4.71</v>
      </c>
      <c r="H49" s="4">
        <v>7</v>
      </c>
    </row>
    <row r="50" spans="1:8" x14ac:dyDescent="0.2">
      <c r="A50" s="1" t="s">
        <v>3</v>
      </c>
      <c r="B50" s="4">
        <v>4013</v>
      </c>
      <c r="C50" s="5">
        <v>100.01</v>
      </c>
      <c r="D50" s="4">
        <v>2367</v>
      </c>
      <c r="E50" s="5">
        <v>100</v>
      </c>
      <c r="F50" s="4">
        <v>1619</v>
      </c>
      <c r="G50" s="5">
        <v>99.999999999999986</v>
      </c>
      <c r="H50" s="4">
        <v>14</v>
      </c>
    </row>
    <row r="51" spans="1:8" x14ac:dyDescent="0.2">
      <c r="A51" s="2" t="s">
        <v>43</v>
      </c>
      <c r="B51" s="4">
        <v>2</v>
      </c>
      <c r="C51" s="5">
        <v>0.05</v>
      </c>
      <c r="D51" s="4">
        <v>0</v>
      </c>
      <c r="E51" s="5">
        <v>0</v>
      </c>
      <c r="F51" s="4">
        <v>2</v>
      </c>
      <c r="G51" s="5">
        <v>0.12</v>
      </c>
      <c r="H51" s="4">
        <v>0</v>
      </c>
    </row>
    <row r="52" spans="1:8" x14ac:dyDescent="0.2">
      <c r="A52" s="2" t="s">
        <v>44</v>
      </c>
      <c r="B52" s="4">
        <v>585</v>
      </c>
      <c r="C52" s="5">
        <v>14.58</v>
      </c>
      <c r="D52" s="4">
        <v>256</v>
      </c>
      <c r="E52" s="5">
        <v>10.82</v>
      </c>
      <c r="F52" s="4">
        <v>329</v>
      </c>
      <c r="G52" s="5">
        <v>20.32</v>
      </c>
      <c r="H52" s="4">
        <v>0</v>
      </c>
    </row>
    <row r="53" spans="1:8" x14ac:dyDescent="0.2">
      <c r="A53" s="2" t="s">
        <v>45</v>
      </c>
      <c r="B53" s="4">
        <v>353</v>
      </c>
      <c r="C53" s="5">
        <v>8.8000000000000007</v>
      </c>
      <c r="D53" s="4">
        <v>189</v>
      </c>
      <c r="E53" s="5">
        <v>7.98</v>
      </c>
      <c r="F53" s="4">
        <v>163</v>
      </c>
      <c r="G53" s="5">
        <v>10.07</v>
      </c>
      <c r="H53" s="4">
        <v>1</v>
      </c>
    </row>
    <row r="54" spans="1:8" x14ac:dyDescent="0.2">
      <c r="A54" s="2" t="s">
        <v>46</v>
      </c>
      <c r="B54" s="4">
        <v>10</v>
      </c>
      <c r="C54" s="5">
        <v>0.25</v>
      </c>
      <c r="D54" s="4">
        <v>1</v>
      </c>
      <c r="E54" s="5">
        <v>0.04</v>
      </c>
      <c r="F54" s="4">
        <v>9</v>
      </c>
      <c r="G54" s="5">
        <v>0.56000000000000005</v>
      </c>
      <c r="H54" s="4">
        <v>0</v>
      </c>
    </row>
    <row r="55" spans="1:8" x14ac:dyDescent="0.2">
      <c r="A55" s="2" t="s">
        <v>47</v>
      </c>
      <c r="B55" s="4">
        <v>17</v>
      </c>
      <c r="C55" s="5">
        <v>0.42</v>
      </c>
      <c r="D55" s="4">
        <v>3</v>
      </c>
      <c r="E55" s="5">
        <v>0.13</v>
      </c>
      <c r="F55" s="4">
        <v>14</v>
      </c>
      <c r="G55" s="5">
        <v>0.86</v>
      </c>
      <c r="H55" s="4">
        <v>0</v>
      </c>
    </row>
    <row r="56" spans="1:8" x14ac:dyDescent="0.2">
      <c r="A56" s="2" t="s">
        <v>48</v>
      </c>
      <c r="B56" s="4">
        <v>28</v>
      </c>
      <c r="C56" s="5">
        <v>0.7</v>
      </c>
      <c r="D56" s="4">
        <v>4</v>
      </c>
      <c r="E56" s="5">
        <v>0.17</v>
      </c>
      <c r="F56" s="4">
        <v>20</v>
      </c>
      <c r="G56" s="5">
        <v>1.24</v>
      </c>
      <c r="H56" s="4">
        <v>3</v>
      </c>
    </row>
    <row r="57" spans="1:8" x14ac:dyDescent="0.2">
      <c r="A57" s="2" t="s">
        <v>49</v>
      </c>
      <c r="B57" s="4">
        <v>948</v>
      </c>
      <c r="C57" s="5">
        <v>23.62</v>
      </c>
      <c r="D57" s="4">
        <v>487</v>
      </c>
      <c r="E57" s="5">
        <v>20.57</v>
      </c>
      <c r="F57" s="4">
        <v>458</v>
      </c>
      <c r="G57" s="5">
        <v>28.29</v>
      </c>
      <c r="H57" s="4">
        <v>3</v>
      </c>
    </row>
    <row r="58" spans="1:8" x14ac:dyDescent="0.2">
      <c r="A58" s="2" t="s">
        <v>50</v>
      </c>
      <c r="B58" s="4">
        <v>34</v>
      </c>
      <c r="C58" s="5">
        <v>0.85</v>
      </c>
      <c r="D58" s="4">
        <v>4</v>
      </c>
      <c r="E58" s="5">
        <v>0.17</v>
      </c>
      <c r="F58" s="4">
        <v>30</v>
      </c>
      <c r="G58" s="5">
        <v>1.85</v>
      </c>
      <c r="H58" s="4">
        <v>0</v>
      </c>
    </row>
    <row r="59" spans="1:8" x14ac:dyDescent="0.2">
      <c r="A59" s="2" t="s">
        <v>51</v>
      </c>
      <c r="B59" s="4">
        <v>304</v>
      </c>
      <c r="C59" s="5">
        <v>7.58</v>
      </c>
      <c r="D59" s="4">
        <v>167</v>
      </c>
      <c r="E59" s="5">
        <v>7.06</v>
      </c>
      <c r="F59" s="4">
        <v>136</v>
      </c>
      <c r="G59" s="5">
        <v>8.4</v>
      </c>
      <c r="H59" s="4">
        <v>1</v>
      </c>
    </row>
    <row r="60" spans="1:8" x14ac:dyDescent="0.2">
      <c r="A60" s="2" t="s">
        <v>52</v>
      </c>
      <c r="B60" s="4">
        <v>183</v>
      </c>
      <c r="C60" s="5">
        <v>4.5599999999999996</v>
      </c>
      <c r="D60" s="4">
        <v>94</v>
      </c>
      <c r="E60" s="5">
        <v>3.97</v>
      </c>
      <c r="F60" s="4">
        <v>85</v>
      </c>
      <c r="G60" s="5">
        <v>5.25</v>
      </c>
      <c r="H60" s="4">
        <v>0</v>
      </c>
    </row>
    <row r="61" spans="1:8" x14ac:dyDescent="0.2">
      <c r="A61" s="2" t="s">
        <v>53</v>
      </c>
      <c r="B61" s="4">
        <v>734</v>
      </c>
      <c r="C61" s="5">
        <v>18.29</v>
      </c>
      <c r="D61" s="4">
        <v>566</v>
      </c>
      <c r="E61" s="5">
        <v>23.91</v>
      </c>
      <c r="F61" s="4">
        <v>164</v>
      </c>
      <c r="G61" s="5">
        <v>10.130000000000001</v>
      </c>
      <c r="H61" s="4">
        <v>3</v>
      </c>
    </row>
    <row r="62" spans="1:8" x14ac:dyDescent="0.2">
      <c r="A62" s="2" t="s">
        <v>54</v>
      </c>
      <c r="B62" s="4">
        <v>411</v>
      </c>
      <c r="C62" s="5">
        <v>10.24</v>
      </c>
      <c r="D62" s="4">
        <v>330</v>
      </c>
      <c r="E62" s="5">
        <v>13.94</v>
      </c>
      <c r="F62" s="4">
        <v>79</v>
      </c>
      <c r="G62" s="5">
        <v>4.88</v>
      </c>
      <c r="H62" s="4">
        <v>0</v>
      </c>
    </row>
    <row r="63" spans="1:8" x14ac:dyDescent="0.2">
      <c r="A63" s="2" t="s">
        <v>55</v>
      </c>
      <c r="B63" s="4">
        <v>132</v>
      </c>
      <c r="C63" s="5">
        <v>3.29</v>
      </c>
      <c r="D63" s="4">
        <v>92</v>
      </c>
      <c r="E63" s="5">
        <v>3.89</v>
      </c>
      <c r="F63" s="4">
        <v>38</v>
      </c>
      <c r="G63" s="5">
        <v>2.35</v>
      </c>
      <c r="H63" s="4">
        <v>0</v>
      </c>
    </row>
    <row r="64" spans="1:8" x14ac:dyDescent="0.2">
      <c r="A64" s="2" t="s">
        <v>56</v>
      </c>
      <c r="B64" s="4">
        <v>165</v>
      </c>
      <c r="C64" s="5">
        <v>4.1100000000000003</v>
      </c>
      <c r="D64" s="4">
        <v>128</v>
      </c>
      <c r="E64" s="5">
        <v>5.41</v>
      </c>
      <c r="F64" s="4">
        <v>35</v>
      </c>
      <c r="G64" s="5">
        <v>2.16</v>
      </c>
      <c r="H64" s="4">
        <v>1</v>
      </c>
    </row>
    <row r="65" spans="1:8" x14ac:dyDescent="0.2">
      <c r="A65" s="2" t="s">
        <v>57</v>
      </c>
      <c r="B65" s="4">
        <v>107</v>
      </c>
      <c r="C65" s="5">
        <v>2.67</v>
      </c>
      <c r="D65" s="4">
        <v>46</v>
      </c>
      <c r="E65" s="5">
        <v>1.94</v>
      </c>
      <c r="F65" s="4">
        <v>57</v>
      </c>
      <c r="G65" s="5">
        <v>3.52</v>
      </c>
      <c r="H65" s="4">
        <v>2</v>
      </c>
    </row>
    <row r="66" spans="1:8" x14ac:dyDescent="0.2">
      <c r="A66" s="1" t="s">
        <v>4</v>
      </c>
      <c r="B66" s="4">
        <v>2742</v>
      </c>
      <c r="C66" s="5">
        <v>100</v>
      </c>
      <c r="D66" s="4">
        <v>1361</v>
      </c>
      <c r="E66" s="5">
        <v>100.00999999999999</v>
      </c>
      <c r="F66" s="4">
        <v>1370</v>
      </c>
      <c r="G66" s="5">
        <v>99.990000000000009</v>
      </c>
      <c r="H66" s="4">
        <v>6</v>
      </c>
    </row>
    <row r="67" spans="1:8" x14ac:dyDescent="0.2">
      <c r="A67" s="2" t="s">
        <v>43</v>
      </c>
      <c r="B67" s="4">
        <v>1</v>
      </c>
      <c r="C67" s="5">
        <v>0.04</v>
      </c>
      <c r="D67" s="4">
        <v>0</v>
      </c>
      <c r="E67" s="5">
        <v>0</v>
      </c>
      <c r="F67" s="4">
        <v>1</v>
      </c>
      <c r="G67" s="5">
        <v>7.0000000000000007E-2</v>
      </c>
      <c r="H67" s="4">
        <v>0</v>
      </c>
    </row>
    <row r="68" spans="1:8" x14ac:dyDescent="0.2">
      <c r="A68" s="2" t="s">
        <v>44</v>
      </c>
      <c r="B68" s="4">
        <v>388</v>
      </c>
      <c r="C68" s="5">
        <v>14.15</v>
      </c>
      <c r="D68" s="4">
        <v>126</v>
      </c>
      <c r="E68" s="5">
        <v>9.26</v>
      </c>
      <c r="F68" s="4">
        <v>262</v>
      </c>
      <c r="G68" s="5">
        <v>19.12</v>
      </c>
      <c r="H68" s="4">
        <v>0</v>
      </c>
    </row>
    <row r="69" spans="1:8" x14ac:dyDescent="0.2">
      <c r="A69" s="2" t="s">
        <v>45</v>
      </c>
      <c r="B69" s="4">
        <v>430</v>
      </c>
      <c r="C69" s="5">
        <v>15.68</v>
      </c>
      <c r="D69" s="4">
        <v>197</v>
      </c>
      <c r="E69" s="5">
        <v>14.47</v>
      </c>
      <c r="F69" s="4">
        <v>233</v>
      </c>
      <c r="G69" s="5">
        <v>17.010000000000002</v>
      </c>
      <c r="H69" s="4">
        <v>0</v>
      </c>
    </row>
    <row r="70" spans="1:8" x14ac:dyDescent="0.2">
      <c r="A70" s="2" t="s">
        <v>46</v>
      </c>
      <c r="B70" s="4">
        <v>3</v>
      </c>
      <c r="C70" s="5">
        <v>0.11</v>
      </c>
      <c r="D70" s="4">
        <v>0</v>
      </c>
      <c r="E70" s="5">
        <v>0</v>
      </c>
      <c r="F70" s="4">
        <v>2</v>
      </c>
      <c r="G70" s="5">
        <v>0.15</v>
      </c>
      <c r="H70" s="4">
        <v>0</v>
      </c>
    </row>
    <row r="71" spans="1:8" x14ac:dyDescent="0.2">
      <c r="A71" s="2" t="s">
        <v>47</v>
      </c>
      <c r="B71" s="4">
        <v>23</v>
      </c>
      <c r="C71" s="5">
        <v>0.84</v>
      </c>
      <c r="D71" s="4">
        <v>2</v>
      </c>
      <c r="E71" s="5">
        <v>0.15</v>
      </c>
      <c r="F71" s="4">
        <v>21</v>
      </c>
      <c r="G71" s="5">
        <v>1.53</v>
      </c>
      <c r="H71" s="4">
        <v>0</v>
      </c>
    </row>
    <row r="72" spans="1:8" x14ac:dyDescent="0.2">
      <c r="A72" s="2" t="s">
        <v>48</v>
      </c>
      <c r="B72" s="4">
        <v>22</v>
      </c>
      <c r="C72" s="5">
        <v>0.8</v>
      </c>
      <c r="D72" s="4">
        <v>6</v>
      </c>
      <c r="E72" s="5">
        <v>0.44</v>
      </c>
      <c r="F72" s="4">
        <v>16</v>
      </c>
      <c r="G72" s="5">
        <v>1.17</v>
      </c>
      <c r="H72" s="4">
        <v>0</v>
      </c>
    </row>
    <row r="73" spans="1:8" x14ac:dyDescent="0.2">
      <c r="A73" s="2" t="s">
        <v>49</v>
      </c>
      <c r="B73" s="4">
        <v>655</v>
      </c>
      <c r="C73" s="5">
        <v>23.89</v>
      </c>
      <c r="D73" s="4">
        <v>273</v>
      </c>
      <c r="E73" s="5">
        <v>20.059999999999999</v>
      </c>
      <c r="F73" s="4">
        <v>380</v>
      </c>
      <c r="G73" s="5">
        <v>27.74</v>
      </c>
      <c r="H73" s="4">
        <v>2</v>
      </c>
    </row>
    <row r="74" spans="1:8" x14ac:dyDescent="0.2">
      <c r="A74" s="2" t="s">
        <v>50</v>
      </c>
      <c r="B74" s="4">
        <v>24</v>
      </c>
      <c r="C74" s="5">
        <v>0.88</v>
      </c>
      <c r="D74" s="4">
        <v>3</v>
      </c>
      <c r="E74" s="5">
        <v>0.22</v>
      </c>
      <c r="F74" s="4">
        <v>20</v>
      </c>
      <c r="G74" s="5">
        <v>1.46</v>
      </c>
      <c r="H74" s="4">
        <v>1</v>
      </c>
    </row>
    <row r="75" spans="1:8" x14ac:dyDescent="0.2">
      <c r="A75" s="2" t="s">
        <v>51</v>
      </c>
      <c r="B75" s="4">
        <v>188</v>
      </c>
      <c r="C75" s="5">
        <v>6.86</v>
      </c>
      <c r="D75" s="4">
        <v>47</v>
      </c>
      <c r="E75" s="5">
        <v>3.45</v>
      </c>
      <c r="F75" s="4">
        <v>138</v>
      </c>
      <c r="G75" s="5">
        <v>10.07</v>
      </c>
      <c r="H75" s="4">
        <v>2</v>
      </c>
    </row>
    <row r="76" spans="1:8" x14ac:dyDescent="0.2">
      <c r="A76" s="2" t="s">
        <v>52</v>
      </c>
      <c r="B76" s="4">
        <v>147</v>
      </c>
      <c r="C76" s="5">
        <v>5.36</v>
      </c>
      <c r="D76" s="4">
        <v>89</v>
      </c>
      <c r="E76" s="5">
        <v>6.54</v>
      </c>
      <c r="F76" s="4">
        <v>56</v>
      </c>
      <c r="G76" s="5">
        <v>4.09</v>
      </c>
      <c r="H76" s="4">
        <v>0</v>
      </c>
    </row>
    <row r="77" spans="1:8" x14ac:dyDescent="0.2">
      <c r="A77" s="2" t="s">
        <v>53</v>
      </c>
      <c r="B77" s="4">
        <v>221</v>
      </c>
      <c r="C77" s="5">
        <v>8.06</v>
      </c>
      <c r="D77" s="4">
        <v>186</v>
      </c>
      <c r="E77" s="5">
        <v>13.67</v>
      </c>
      <c r="F77" s="4">
        <v>34</v>
      </c>
      <c r="G77" s="5">
        <v>2.48</v>
      </c>
      <c r="H77" s="4">
        <v>0</v>
      </c>
    </row>
    <row r="78" spans="1:8" x14ac:dyDescent="0.2">
      <c r="A78" s="2" t="s">
        <v>54</v>
      </c>
      <c r="B78" s="4">
        <v>300</v>
      </c>
      <c r="C78" s="5">
        <v>10.94</v>
      </c>
      <c r="D78" s="4">
        <v>223</v>
      </c>
      <c r="E78" s="5">
        <v>16.39</v>
      </c>
      <c r="F78" s="4">
        <v>77</v>
      </c>
      <c r="G78" s="5">
        <v>5.62</v>
      </c>
      <c r="H78" s="4">
        <v>0</v>
      </c>
    </row>
    <row r="79" spans="1:8" x14ac:dyDescent="0.2">
      <c r="A79" s="2" t="s">
        <v>55</v>
      </c>
      <c r="B79" s="4">
        <v>107</v>
      </c>
      <c r="C79" s="5">
        <v>3.9</v>
      </c>
      <c r="D79" s="4">
        <v>76</v>
      </c>
      <c r="E79" s="5">
        <v>5.58</v>
      </c>
      <c r="F79" s="4">
        <v>31</v>
      </c>
      <c r="G79" s="5">
        <v>2.2599999999999998</v>
      </c>
      <c r="H79" s="4">
        <v>0</v>
      </c>
    </row>
    <row r="80" spans="1:8" x14ac:dyDescent="0.2">
      <c r="A80" s="2" t="s">
        <v>56</v>
      </c>
      <c r="B80" s="4">
        <v>135</v>
      </c>
      <c r="C80" s="5">
        <v>4.92</v>
      </c>
      <c r="D80" s="4">
        <v>94</v>
      </c>
      <c r="E80" s="5">
        <v>6.91</v>
      </c>
      <c r="F80" s="4">
        <v>41</v>
      </c>
      <c r="G80" s="5">
        <v>2.99</v>
      </c>
      <c r="H80" s="4">
        <v>0</v>
      </c>
    </row>
    <row r="81" spans="1:8" x14ac:dyDescent="0.2">
      <c r="A81" s="2" t="s">
        <v>57</v>
      </c>
      <c r="B81" s="4">
        <v>98</v>
      </c>
      <c r="C81" s="5">
        <v>3.57</v>
      </c>
      <c r="D81" s="4">
        <v>39</v>
      </c>
      <c r="E81" s="5">
        <v>2.87</v>
      </c>
      <c r="F81" s="4">
        <v>58</v>
      </c>
      <c r="G81" s="5">
        <v>4.2300000000000004</v>
      </c>
      <c r="H81" s="4">
        <v>1</v>
      </c>
    </row>
    <row r="82" spans="1:8" x14ac:dyDescent="0.2">
      <c r="A82" s="1" t="s">
        <v>5</v>
      </c>
      <c r="B82" s="4">
        <v>2994</v>
      </c>
      <c r="C82" s="5">
        <v>99.99</v>
      </c>
      <c r="D82" s="4">
        <v>1789</v>
      </c>
      <c r="E82" s="5">
        <v>100</v>
      </c>
      <c r="F82" s="4">
        <v>1161</v>
      </c>
      <c r="G82" s="5">
        <v>100</v>
      </c>
      <c r="H82" s="4">
        <v>11</v>
      </c>
    </row>
    <row r="83" spans="1:8" x14ac:dyDescent="0.2">
      <c r="A83" s="2" t="s">
        <v>43</v>
      </c>
      <c r="B83" s="4">
        <v>1</v>
      </c>
      <c r="C83" s="5">
        <v>0.03</v>
      </c>
      <c r="D83" s="4">
        <v>0</v>
      </c>
      <c r="E83" s="5">
        <v>0</v>
      </c>
      <c r="F83" s="4">
        <v>1</v>
      </c>
      <c r="G83" s="5">
        <v>0.09</v>
      </c>
      <c r="H83" s="4">
        <v>0</v>
      </c>
    </row>
    <row r="84" spans="1:8" x14ac:dyDescent="0.2">
      <c r="A84" s="2" t="s">
        <v>44</v>
      </c>
      <c r="B84" s="4">
        <v>394</v>
      </c>
      <c r="C84" s="5">
        <v>13.16</v>
      </c>
      <c r="D84" s="4">
        <v>183</v>
      </c>
      <c r="E84" s="5">
        <v>10.23</v>
      </c>
      <c r="F84" s="4">
        <v>211</v>
      </c>
      <c r="G84" s="5">
        <v>18.170000000000002</v>
      </c>
      <c r="H84" s="4">
        <v>0</v>
      </c>
    </row>
    <row r="85" spans="1:8" x14ac:dyDescent="0.2">
      <c r="A85" s="2" t="s">
        <v>45</v>
      </c>
      <c r="B85" s="4">
        <v>800</v>
      </c>
      <c r="C85" s="5">
        <v>26.72</v>
      </c>
      <c r="D85" s="4">
        <v>448</v>
      </c>
      <c r="E85" s="5">
        <v>25.04</v>
      </c>
      <c r="F85" s="4">
        <v>352</v>
      </c>
      <c r="G85" s="5">
        <v>30.32</v>
      </c>
      <c r="H85" s="4">
        <v>0</v>
      </c>
    </row>
    <row r="86" spans="1:8" x14ac:dyDescent="0.2">
      <c r="A86" s="2" t="s">
        <v>46</v>
      </c>
      <c r="B86" s="4">
        <v>4</v>
      </c>
      <c r="C86" s="5">
        <v>0.13</v>
      </c>
      <c r="D86" s="4">
        <v>1</v>
      </c>
      <c r="E86" s="5">
        <v>0.06</v>
      </c>
      <c r="F86" s="4">
        <v>3</v>
      </c>
      <c r="G86" s="5">
        <v>0.26</v>
      </c>
      <c r="H86" s="4">
        <v>0</v>
      </c>
    </row>
    <row r="87" spans="1:8" x14ac:dyDescent="0.2">
      <c r="A87" s="2" t="s">
        <v>47</v>
      </c>
      <c r="B87" s="4">
        <v>14</v>
      </c>
      <c r="C87" s="5">
        <v>0.47</v>
      </c>
      <c r="D87" s="4">
        <v>3</v>
      </c>
      <c r="E87" s="5">
        <v>0.17</v>
      </c>
      <c r="F87" s="4">
        <v>11</v>
      </c>
      <c r="G87" s="5">
        <v>0.95</v>
      </c>
      <c r="H87" s="4">
        <v>0</v>
      </c>
    </row>
    <row r="88" spans="1:8" x14ac:dyDescent="0.2">
      <c r="A88" s="2" t="s">
        <v>48</v>
      </c>
      <c r="B88" s="4">
        <v>20</v>
      </c>
      <c r="C88" s="5">
        <v>0.67</v>
      </c>
      <c r="D88" s="4">
        <v>4</v>
      </c>
      <c r="E88" s="5">
        <v>0.22</v>
      </c>
      <c r="F88" s="4">
        <v>16</v>
      </c>
      <c r="G88" s="5">
        <v>1.38</v>
      </c>
      <c r="H88" s="4">
        <v>0</v>
      </c>
    </row>
    <row r="89" spans="1:8" x14ac:dyDescent="0.2">
      <c r="A89" s="2" t="s">
        <v>49</v>
      </c>
      <c r="B89" s="4">
        <v>594</v>
      </c>
      <c r="C89" s="5">
        <v>19.84</v>
      </c>
      <c r="D89" s="4">
        <v>309</v>
      </c>
      <c r="E89" s="5">
        <v>17.27</v>
      </c>
      <c r="F89" s="4">
        <v>284</v>
      </c>
      <c r="G89" s="5">
        <v>24.46</v>
      </c>
      <c r="H89" s="4">
        <v>1</v>
      </c>
    </row>
    <row r="90" spans="1:8" x14ac:dyDescent="0.2">
      <c r="A90" s="2" t="s">
        <v>50</v>
      </c>
      <c r="B90" s="4">
        <v>11</v>
      </c>
      <c r="C90" s="5">
        <v>0.37</v>
      </c>
      <c r="D90" s="4">
        <v>3</v>
      </c>
      <c r="E90" s="5">
        <v>0.17</v>
      </c>
      <c r="F90" s="4">
        <v>8</v>
      </c>
      <c r="G90" s="5">
        <v>0.69</v>
      </c>
      <c r="H90" s="4">
        <v>0</v>
      </c>
    </row>
    <row r="91" spans="1:8" x14ac:dyDescent="0.2">
      <c r="A91" s="2" t="s">
        <v>51</v>
      </c>
      <c r="B91" s="4">
        <v>157</v>
      </c>
      <c r="C91" s="5">
        <v>5.24</v>
      </c>
      <c r="D91" s="4">
        <v>91</v>
      </c>
      <c r="E91" s="5">
        <v>5.09</v>
      </c>
      <c r="F91" s="4">
        <v>66</v>
      </c>
      <c r="G91" s="5">
        <v>5.68</v>
      </c>
      <c r="H91" s="4">
        <v>0</v>
      </c>
    </row>
    <row r="92" spans="1:8" x14ac:dyDescent="0.2">
      <c r="A92" s="2" t="s">
        <v>52</v>
      </c>
      <c r="B92" s="4">
        <v>100</v>
      </c>
      <c r="C92" s="5">
        <v>3.34</v>
      </c>
      <c r="D92" s="4">
        <v>65</v>
      </c>
      <c r="E92" s="5">
        <v>3.63</v>
      </c>
      <c r="F92" s="4">
        <v>33</v>
      </c>
      <c r="G92" s="5">
        <v>2.84</v>
      </c>
      <c r="H92" s="4">
        <v>0</v>
      </c>
    </row>
    <row r="93" spans="1:8" x14ac:dyDescent="0.2">
      <c r="A93" s="2" t="s">
        <v>53</v>
      </c>
      <c r="B93" s="4">
        <v>269</v>
      </c>
      <c r="C93" s="5">
        <v>8.98</v>
      </c>
      <c r="D93" s="4">
        <v>231</v>
      </c>
      <c r="E93" s="5">
        <v>12.91</v>
      </c>
      <c r="F93" s="4">
        <v>38</v>
      </c>
      <c r="G93" s="5">
        <v>3.27</v>
      </c>
      <c r="H93" s="4">
        <v>0</v>
      </c>
    </row>
    <row r="94" spans="1:8" x14ac:dyDescent="0.2">
      <c r="A94" s="2" t="s">
        <v>54</v>
      </c>
      <c r="B94" s="4">
        <v>285</v>
      </c>
      <c r="C94" s="5">
        <v>9.52</v>
      </c>
      <c r="D94" s="4">
        <v>241</v>
      </c>
      <c r="E94" s="5">
        <v>13.47</v>
      </c>
      <c r="F94" s="4">
        <v>42</v>
      </c>
      <c r="G94" s="5">
        <v>3.62</v>
      </c>
      <c r="H94" s="4">
        <v>0</v>
      </c>
    </row>
    <row r="95" spans="1:8" x14ac:dyDescent="0.2">
      <c r="A95" s="2" t="s">
        <v>55</v>
      </c>
      <c r="B95" s="4">
        <v>104</v>
      </c>
      <c r="C95" s="5">
        <v>3.47</v>
      </c>
      <c r="D95" s="4">
        <v>75</v>
      </c>
      <c r="E95" s="5">
        <v>4.1900000000000004</v>
      </c>
      <c r="F95" s="4">
        <v>21</v>
      </c>
      <c r="G95" s="5">
        <v>1.81</v>
      </c>
      <c r="H95" s="4">
        <v>1</v>
      </c>
    </row>
    <row r="96" spans="1:8" x14ac:dyDescent="0.2">
      <c r="A96" s="2" t="s">
        <v>56</v>
      </c>
      <c r="B96" s="4">
        <v>138</v>
      </c>
      <c r="C96" s="5">
        <v>4.6100000000000003</v>
      </c>
      <c r="D96" s="4">
        <v>79</v>
      </c>
      <c r="E96" s="5">
        <v>4.42</v>
      </c>
      <c r="F96" s="4">
        <v>36</v>
      </c>
      <c r="G96" s="5">
        <v>3.1</v>
      </c>
      <c r="H96" s="4">
        <v>1</v>
      </c>
    </row>
    <row r="97" spans="1:8" x14ac:dyDescent="0.2">
      <c r="A97" s="2" t="s">
        <v>57</v>
      </c>
      <c r="B97" s="4">
        <v>103</v>
      </c>
      <c r="C97" s="5">
        <v>3.44</v>
      </c>
      <c r="D97" s="4">
        <v>56</v>
      </c>
      <c r="E97" s="5">
        <v>3.13</v>
      </c>
      <c r="F97" s="4">
        <v>39</v>
      </c>
      <c r="G97" s="5">
        <v>3.36</v>
      </c>
      <c r="H97" s="4">
        <v>8</v>
      </c>
    </row>
    <row r="98" spans="1:8" x14ac:dyDescent="0.2">
      <c r="A98" s="1" t="s">
        <v>6</v>
      </c>
      <c r="B98" s="4">
        <v>2256</v>
      </c>
      <c r="C98" s="5">
        <v>100.00999999999999</v>
      </c>
      <c r="D98" s="4">
        <v>1329</v>
      </c>
      <c r="E98" s="5">
        <v>100.01</v>
      </c>
      <c r="F98" s="4">
        <v>911</v>
      </c>
      <c r="G98" s="5">
        <v>100.01</v>
      </c>
      <c r="H98" s="4">
        <v>7</v>
      </c>
    </row>
    <row r="99" spans="1:8" x14ac:dyDescent="0.2">
      <c r="A99" s="2" t="s">
        <v>43</v>
      </c>
      <c r="B99" s="4">
        <v>4</v>
      </c>
      <c r="C99" s="5">
        <v>0.18</v>
      </c>
      <c r="D99" s="4">
        <v>3</v>
      </c>
      <c r="E99" s="5">
        <v>0.23</v>
      </c>
      <c r="F99" s="4">
        <v>1</v>
      </c>
      <c r="G99" s="5">
        <v>0.11</v>
      </c>
      <c r="H99" s="4">
        <v>0</v>
      </c>
    </row>
    <row r="100" spans="1:8" x14ac:dyDescent="0.2">
      <c r="A100" s="2" t="s">
        <v>44</v>
      </c>
      <c r="B100" s="4">
        <v>401</v>
      </c>
      <c r="C100" s="5">
        <v>17.77</v>
      </c>
      <c r="D100" s="4">
        <v>216</v>
      </c>
      <c r="E100" s="5">
        <v>16.25</v>
      </c>
      <c r="F100" s="4">
        <v>185</v>
      </c>
      <c r="G100" s="5">
        <v>20.309999999999999</v>
      </c>
      <c r="H100" s="4">
        <v>0</v>
      </c>
    </row>
    <row r="101" spans="1:8" x14ac:dyDescent="0.2">
      <c r="A101" s="2" t="s">
        <v>45</v>
      </c>
      <c r="B101" s="4">
        <v>351</v>
      </c>
      <c r="C101" s="5">
        <v>15.56</v>
      </c>
      <c r="D101" s="4">
        <v>172</v>
      </c>
      <c r="E101" s="5">
        <v>12.94</v>
      </c>
      <c r="F101" s="4">
        <v>176</v>
      </c>
      <c r="G101" s="5">
        <v>19.32</v>
      </c>
      <c r="H101" s="4">
        <v>3</v>
      </c>
    </row>
    <row r="102" spans="1:8" x14ac:dyDescent="0.2">
      <c r="A102" s="2" t="s">
        <v>46</v>
      </c>
      <c r="B102" s="4">
        <v>9</v>
      </c>
      <c r="C102" s="5">
        <v>0.4</v>
      </c>
      <c r="D102" s="4">
        <v>0</v>
      </c>
      <c r="E102" s="5">
        <v>0</v>
      </c>
      <c r="F102" s="4">
        <v>8</v>
      </c>
      <c r="G102" s="5">
        <v>0.88</v>
      </c>
      <c r="H102" s="4">
        <v>0</v>
      </c>
    </row>
    <row r="103" spans="1:8" x14ac:dyDescent="0.2">
      <c r="A103" s="2" t="s">
        <v>47</v>
      </c>
      <c r="B103" s="4">
        <v>15</v>
      </c>
      <c r="C103" s="5">
        <v>0.66</v>
      </c>
      <c r="D103" s="4">
        <v>1</v>
      </c>
      <c r="E103" s="5">
        <v>0.08</v>
      </c>
      <c r="F103" s="4">
        <v>14</v>
      </c>
      <c r="G103" s="5">
        <v>1.54</v>
      </c>
      <c r="H103" s="4">
        <v>0</v>
      </c>
    </row>
    <row r="104" spans="1:8" x14ac:dyDescent="0.2">
      <c r="A104" s="2" t="s">
        <v>48</v>
      </c>
      <c r="B104" s="4">
        <v>22</v>
      </c>
      <c r="C104" s="5">
        <v>0.98</v>
      </c>
      <c r="D104" s="4">
        <v>11</v>
      </c>
      <c r="E104" s="5">
        <v>0.83</v>
      </c>
      <c r="F104" s="4">
        <v>11</v>
      </c>
      <c r="G104" s="5">
        <v>1.21</v>
      </c>
      <c r="H104" s="4">
        <v>0</v>
      </c>
    </row>
    <row r="105" spans="1:8" x14ac:dyDescent="0.2">
      <c r="A105" s="2" t="s">
        <v>49</v>
      </c>
      <c r="B105" s="4">
        <v>459</v>
      </c>
      <c r="C105" s="5">
        <v>20.350000000000001</v>
      </c>
      <c r="D105" s="4">
        <v>221</v>
      </c>
      <c r="E105" s="5">
        <v>16.63</v>
      </c>
      <c r="F105" s="4">
        <v>237</v>
      </c>
      <c r="G105" s="5">
        <v>26.02</v>
      </c>
      <c r="H105" s="4">
        <v>1</v>
      </c>
    </row>
    <row r="106" spans="1:8" x14ac:dyDescent="0.2">
      <c r="A106" s="2" t="s">
        <v>50</v>
      </c>
      <c r="B106" s="4">
        <v>16</v>
      </c>
      <c r="C106" s="5">
        <v>0.71</v>
      </c>
      <c r="D106" s="4">
        <v>2</v>
      </c>
      <c r="E106" s="5">
        <v>0.15</v>
      </c>
      <c r="F106" s="4">
        <v>14</v>
      </c>
      <c r="G106" s="5">
        <v>1.54</v>
      </c>
      <c r="H106" s="4">
        <v>0</v>
      </c>
    </row>
    <row r="107" spans="1:8" x14ac:dyDescent="0.2">
      <c r="A107" s="2" t="s">
        <v>51</v>
      </c>
      <c r="B107" s="4">
        <v>113</v>
      </c>
      <c r="C107" s="5">
        <v>5.01</v>
      </c>
      <c r="D107" s="4">
        <v>43</v>
      </c>
      <c r="E107" s="5">
        <v>3.24</v>
      </c>
      <c r="F107" s="4">
        <v>69</v>
      </c>
      <c r="G107" s="5">
        <v>7.57</v>
      </c>
      <c r="H107" s="4">
        <v>0</v>
      </c>
    </row>
    <row r="108" spans="1:8" x14ac:dyDescent="0.2">
      <c r="A108" s="2" t="s">
        <v>52</v>
      </c>
      <c r="B108" s="4">
        <v>97</v>
      </c>
      <c r="C108" s="5">
        <v>4.3</v>
      </c>
      <c r="D108" s="4">
        <v>55</v>
      </c>
      <c r="E108" s="5">
        <v>4.1399999999999997</v>
      </c>
      <c r="F108" s="4">
        <v>38</v>
      </c>
      <c r="G108" s="5">
        <v>4.17</v>
      </c>
      <c r="H108" s="4">
        <v>0</v>
      </c>
    </row>
    <row r="109" spans="1:8" x14ac:dyDescent="0.2">
      <c r="A109" s="2" t="s">
        <v>53</v>
      </c>
      <c r="B109" s="4">
        <v>314</v>
      </c>
      <c r="C109" s="5">
        <v>13.92</v>
      </c>
      <c r="D109" s="4">
        <v>267</v>
      </c>
      <c r="E109" s="5">
        <v>20.09</v>
      </c>
      <c r="F109" s="4">
        <v>45</v>
      </c>
      <c r="G109" s="5">
        <v>4.9400000000000004</v>
      </c>
      <c r="H109" s="4">
        <v>1</v>
      </c>
    </row>
    <row r="110" spans="1:8" x14ac:dyDescent="0.2">
      <c r="A110" s="2" t="s">
        <v>54</v>
      </c>
      <c r="B110" s="4">
        <v>222</v>
      </c>
      <c r="C110" s="5">
        <v>9.84</v>
      </c>
      <c r="D110" s="4">
        <v>184</v>
      </c>
      <c r="E110" s="5">
        <v>13.84</v>
      </c>
      <c r="F110" s="4">
        <v>38</v>
      </c>
      <c r="G110" s="5">
        <v>4.17</v>
      </c>
      <c r="H110" s="4">
        <v>0</v>
      </c>
    </row>
    <row r="111" spans="1:8" x14ac:dyDescent="0.2">
      <c r="A111" s="2" t="s">
        <v>55</v>
      </c>
      <c r="B111" s="4">
        <v>64</v>
      </c>
      <c r="C111" s="5">
        <v>2.84</v>
      </c>
      <c r="D111" s="4">
        <v>51</v>
      </c>
      <c r="E111" s="5">
        <v>3.84</v>
      </c>
      <c r="F111" s="4">
        <v>11</v>
      </c>
      <c r="G111" s="5">
        <v>1.21</v>
      </c>
      <c r="H111" s="4">
        <v>0</v>
      </c>
    </row>
    <row r="112" spans="1:8" x14ac:dyDescent="0.2">
      <c r="A112" s="2" t="s">
        <v>56</v>
      </c>
      <c r="B112" s="4">
        <v>112</v>
      </c>
      <c r="C112" s="5">
        <v>4.96</v>
      </c>
      <c r="D112" s="4">
        <v>77</v>
      </c>
      <c r="E112" s="5">
        <v>5.79</v>
      </c>
      <c r="F112" s="4">
        <v>33</v>
      </c>
      <c r="G112" s="5">
        <v>3.62</v>
      </c>
      <c r="H112" s="4">
        <v>2</v>
      </c>
    </row>
    <row r="113" spans="1:8" x14ac:dyDescent="0.2">
      <c r="A113" s="2" t="s">
        <v>57</v>
      </c>
      <c r="B113" s="4">
        <v>57</v>
      </c>
      <c r="C113" s="5">
        <v>2.5299999999999998</v>
      </c>
      <c r="D113" s="4">
        <v>26</v>
      </c>
      <c r="E113" s="5">
        <v>1.96</v>
      </c>
      <c r="F113" s="4">
        <v>31</v>
      </c>
      <c r="G113" s="5">
        <v>3.4</v>
      </c>
      <c r="H113" s="4">
        <v>0</v>
      </c>
    </row>
    <row r="114" spans="1:8" x14ac:dyDescent="0.2">
      <c r="A114" s="1" t="s">
        <v>7</v>
      </c>
      <c r="B114" s="4">
        <v>780</v>
      </c>
      <c r="C114" s="5">
        <v>100.01999999999998</v>
      </c>
      <c r="D114" s="4">
        <v>464</v>
      </c>
      <c r="E114" s="5">
        <v>100</v>
      </c>
      <c r="F114" s="4">
        <v>305</v>
      </c>
      <c r="G114" s="5">
        <v>99.980000000000018</v>
      </c>
      <c r="H114" s="4">
        <v>1</v>
      </c>
    </row>
    <row r="115" spans="1:8" x14ac:dyDescent="0.2">
      <c r="A115" s="2" t="s">
        <v>43</v>
      </c>
      <c r="B115" s="4">
        <v>0</v>
      </c>
      <c r="C115" s="5">
        <v>0</v>
      </c>
      <c r="D115" s="4">
        <v>0</v>
      </c>
      <c r="E115" s="5">
        <v>0</v>
      </c>
      <c r="F115" s="4">
        <v>0</v>
      </c>
      <c r="G115" s="5">
        <v>0</v>
      </c>
      <c r="H115" s="4">
        <v>0</v>
      </c>
    </row>
    <row r="116" spans="1:8" x14ac:dyDescent="0.2">
      <c r="A116" s="2" t="s">
        <v>44</v>
      </c>
      <c r="B116" s="4">
        <v>107</v>
      </c>
      <c r="C116" s="5">
        <v>13.72</v>
      </c>
      <c r="D116" s="4">
        <v>53</v>
      </c>
      <c r="E116" s="5">
        <v>11.42</v>
      </c>
      <c r="F116" s="4">
        <v>54</v>
      </c>
      <c r="G116" s="5">
        <v>17.7</v>
      </c>
      <c r="H116" s="4">
        <v>0</v>
      </c>
    </row>
    <row r="117" spans="1:8" x14ac:dyDescent="0.2">
      <c r="A117" s="2" t="s">
        <v>45</v>
      </c>
      <c r="B117" s="4">
        <v>223</v>
      </c>
      <c r="C117" s="5">
        <v>28.59</v>
      </c>
      <c r="D117" s="4">
        <v>115</v>
      </c>
      <c r="E117" s="5">
        <v>24.78</v>
      </c>
      <c r="F117" s="4">
        <v>108</v>
      </c>
      <c r="G117" s="5">
        <v>35.409999999999997</v>
      </c>
      <c r="H117" s="4">
        <v>0</v>
      </c>
    </row>
    <row r="118" spans="1:8" x14ac:dyDescent="0.2">
      <c r="A118" s="2" t="s">
        <v>46</v>
      </c>
      <c r="B118" s="4">
        <v>0</v>
      </c>
      <c r="C118" s="5">
        <v>0</v>
      </c>
      <c r="D118" s="4">
        <v>0</v>
      </c>
      <c r="E118" s="5">
        <v>0</v>
      </c>
      <c r="F118" s="4">
        <v>0</v>
      </c>
      <c r="G118" s="5">
        <v>0</v>
      </c>
      <c r="H118" s="4">
        <v>0</v>
      </c>
    </row>
    <row r="119" spans="1:8" x14ac:dyDescent="0.2">
      <c r="A119" s="2" t="s">
        <v>47</v>
      </c>
      <c r="B119" s="4">
        <v>2</v>
      </c>
      <c r="C119" s="5">
        <v>0.26</v>
      </c>
      <c r="D119" s="4">
        <v>0</v>
      </c>
      <c r="E119" s="5">
        <v>0</v>
      </c>
      <c r="F119" s="4">
        <v>2</v>
      </c>
      <c r="G119" s="5">
        <v>0.66</v>
      </c>
      <c r="H119" s="4">
        <v>0</v>
      </c>
    </row>
    <row r="120" spans="1:8" x14ac:dyDescent="0.2">
      <c r="A120" s="2" t="s">
        <v>48</v>
      </c>
      <c r="B120" s="4">
        <v>2</v>
      </c>
      <c r="C120" s="5">
        <v>0.26</v>
      </c>
      <c r="D120" s="4">
        <v>1</v>
      </c>
      <c r="E120" s="5">
        <v>0.22</v>
      </c>
      <c r="F120" s="4">
        <v>1</v>
      </c>
      <c r="G120" s="5">
        <v>0.33</v>
      </c>
      <c r="H120" s="4">
        <v>0</v>
      </c>
    </row>
    <row r="121" spans="1:8" x14ac:dyDescent="0.2">
      <c r="A121" s="2" t="s">
        <v>49</v>
      </c>
      <c r="B121" s="4">
        <v>177</v>
      </c>
      <c r="C121" s="5">
        <v>22.69</v>
      </c>
      <c r="D121" s="4">
        <v>99</v>
      </c>
      <c r="E121" s="5">
        <v>21.34</v>
      </c>
      <c r="F121" s="4">
        <v>78</v>
      </c>
      <c r="G121" s="5">
        <v>25.57</v>
      </c>
      <c r="H121" s="4">
        <v>0</v>
      </c>
    </row>
    <row r="122" spans="1:8" x14ac:dyDescent="0.2">
      <c r="A122" s="2" t="s">
        <v>50</v>
      </c>
      <c r="B122" s="4">
        <v>6</v>
      </c>
      <c r="C122" s="5">
        <v>0.77</v>
      </c>
      <c r="D122" s="4">
        <v>2</v>
      </c>
      <c r="E122" s="5">
        <v>0.43</v>
      </c>
      <c r="F122" s="4">
        <v>4</v>
      </c>
      <c r="G122" s="5">
        <v>1.31</v>
      </c>
      <c r="H122" s="4">
        <v>0</v>
      </c>
    </row>
    <row r="123" spans="1:8" x14ac:dyDescent="0.2">
      <c r="A123" s="2" t="s">
        <v>51</v>
      </c>
      <c r="B123" s="4">
        <v>36</v>
      </c>
      <c r="C123" s="5">
        <v>4.62</v>
      </c>
      <c r="D123" s="4">
        <v>21</v>
      </c>
      <c r="E123" s="5">
        <v>4.53</v>
      </c>
      <c r="F123" s="4">
        <v>14</v>
      </c>
      <c r="G123" s="5">
        <v>4.59</v>
      </c>
      <c r="H123" s="4">
        <v>0</v>
      </c>
    </row>
    <row r="124" spans="1:8" x14ac:dyDescent="0.2">
      <c r="A124" s="2" t="s">
        <v>52</v>
      </c>
      <c r="B124" s="4">
        <v>30</v>
      </c>
      <c r="C124" s="5">
        <v>3.85</v>
      </c>
      <c r="D124" s="4">
        <v>17</v>
      </c>
      <c r="E124" s="5">
        <v>3.66</v>
      </c>
      <c r="F124" s="4">
        <v>13</v>
      </c>
      <c r="G124" s="5">
        <v>4.26</v>
      </c>
      <c r="H124" s="4">
        <v>0</v>
      </c>
    </row>
    <row r="125" spans="1:8" x14ac:dyDescent="0.2">
      <c r="A125" s="2" t="s">
        <v>53</v>
      </c>
      <c r="B125" s="4">
        <v>75</v>
      </c>
      <c r="C125" s="5">
        <v>9.6199999999999992</v>
      </c>
      <c r="D125" s="4">
        <v>66</v>
      </c>
      <c r="E125" s="5">
        <v>14.22</v>
      </c>
      <c r="F125" s="4">
        <v>8</v>
      </c>
      <c r="G125" s="5">
        <v>2.62</v>
      </c>
      <c r="H125" s="4">
        <v>0</v>
      </c>
    </row>
    <row r="126" spans="1:8" x14ac:dyDescent="0.2">
      <c r="A126" s="2" t="s">
        <v>54</v>
      </c>
      <c r="B126" s="4">
        <v>65</v>
      </c>
      <c r="C126" s="5">
        <v>8.33</v>
      </c>
      <c r="D126" s="4">
        <v>52</v>
      </c>
      <c r="E126" s="5">
        <v>11.21</v>
      </c>
      <c r="F126" s="4">
        <v>12</v>
      </c>
      <c r="G126" s="5">
        <v>3.93</v>
      </c>
      <c r="H126" s="4">
        <v>0</v>
      </c>
    </row>
    <row r="127" spans="1:8" x14ac:dyDescent="0.2">
      <c r="A127" s="2" t="s">
        <v>55</v>
      </c>
      <c r="B127" s="4">
        <v>22</v>
      </c>
      <c r="C127" s="5">
        <v>2.82</v>
      </c>
      <c r="D127" s="4">
        <v>17</v>
      </c>
      <c r="E127" s="5">
        <v>3.66</v>
      </c>
      <c r="F127" s="4">
        <v>3</v>
      </c>
      <c r="G127" s="5">
        <v>0.98</v>
      </c>
      <c r="H127" s="4">
        <v>0</v>
      </c>
    </row>
    <row r="128" spans="1:8" x14ac:dyDescent="0.2">
      <c r="A128" s="2" t="s">
        <v>56</v>
      </c>
      <c r="B128" s="4">
        <v>19</v>
      </c>
      <c r="C128" s="5">
        <v>2.44</v>
      </c>
      <c r="D128" s="4">
        <v>12</v>
      </c>
      <c r="E128" s="5">
        <v>2.59</v>
      </c>
      <c r="F128" s="4">
        <v>3</v>
      </c>
      <c r="G128" s="5">
        <v>0.98</v>
      </c>
      <c r="H128" s="4">
        <v>0</v>
      </c>
    </row>
    <row r="129" spans="1:8" x14ac:dyDescent="0.2">
      <c r="A129" s="2" t="s">
        <v>57</v>
      </c>
      <c r="B129" s="4">
        <v>16</v>
      </c>
      <c r="C129" s="5">
        <v>2.0499999999999998</v>
      </c>
      <c r="D129" s="4">
        <v>9</v>
      </c>
      <c r="E129" s="5">
        <v>1.94</v>
      </c>
      <c r="F129" s="4">
        <v>5</v>
      </c>
      <c r="G129" s="5">
        <v>1.64</v>
      </c>
      <c r="H129" s="4">
        <v>1</v>
      </c>
    </row>
    <row r="130" spans="1:8" x14ac:dyDescent="0.2">
      <c r="A130" s="1" t="s">
        <v>8</v>
      </c>
      <c r="B130" s="4">
        <v>1082</v>
      </c>
      <c r="C130" s="5">
        <v>100</v>
      </c>
      <c r="D130" s="4">
        <v>619</v>
      </c>
      <c r="E130" s="5">
        <v>99.999999999999986</v>
      </c>
      <c r="F130" s="4">
        <v>441</v>
      </c>
      <c r="G130" s="5">
        <v>99.990000000000009</v>
      </c>
      <c r="H130" s="4">
        <v>5</v>
      </c>
    </row>
    <row r="131" spans="1:8" x14ac:dyDescent="0.2">
      <c r="A131" s="2" t="s">
        <v>43</v>
      </c>
      <c r="B131" s="4">
        <v>3</v>
      </c>
      <c r="C131" s="5">
        <v>0.28000000000000003</v>
      </c>
      <c r="D131" s="4">
        <v>3</v>
      </c>
      <c r="E131" s="5">
        <v>0.48</v>
      </c>
      <c r="F131" s="4">
        <v>0</v>
      </c>
      <c r="G131" s="5">
        <v>0</v>
      </c>
      <c r="H131" s="4">
        <v>0</v>
      </c>
    </row>
    <row r="132" spans="1:8" x14ac:dyDescent="0.2">
      <c r="A132" s="2" t="s">
        <v>44</v>
      </c>
      <c r="B132" s="4">
        <v>158</v>
      </c>
      <c r="C132" s="5">
        <v>14.6</v>
      </c>
      <c r="D132" s="4">
        <v>73</v>
      </c>
      <c r="E132" s="5">
        <v>11.79</v>
      </c>
      <c r="F132" s="4">
        <v>85</v>
      </c>
      <c r="G132" s="5">
        <v>19.27</v>
      </c>
      <c r="H132" s="4">
        <v>0</v>
      </c>
    </row>
    <row r="133" spans="1:8" x14ac:dyDescent="0.2">
      <c r="A133" s="2" t="s">
        <v>45</v>
      </c>
      <c r="B133" s="4">
        <v>166</v>
      </c>
      <c r="C133" s="5">
        <v>15.34</v>
      </c>
      <c r="D133" s="4">
        <v>68</v>
      </c>
      <c r="E133" s="5">
        <v>10.99</v>
      </c>
      <c r="F133" s="4">
        <v>98</v>
      </c>
      <c r="G133" s="5">
        <v>22.22</v>
      </c>
      <c r="H133" s="4">
        <v>0</v>
      </c>
    </row>
    <row r="134" spans="1:8" x14ac:dyDescent="0.2">
      <c r="A134" s="2" t="s">
        <v>46</v>
      </c>
      <c r="B134" s="4">
        <v>4</v>
      </c>
      <c r="C134" s="5">
        <v>0.37</v>
      </c>
      <c r="D134" s="4">
        <v>0</v>
      </c>
      <c r="E134" s="5">
        <v>0</v>
      </c>
      <c r="F134" s="4">
        <v>4</v>
      </c>
      <c r="G134" s="5">
        <v>0.91</v>
      </c>
      <c r="H134" s="4">
        <v>0</v>
      </c>
    </row>
    <row r="135" spans="1:8" x14ac:dyDescent="0.2">
      <c r="A135" s="2" t="s">
        <v>47</v>
      </c>
      <c r="B135" s="4">
        <v>7</v>
      </c>
      <c r="C135" s="5">
        <v>0.65</v>
      </c>
      <c r="D135" s="4">
        <v>4</v>
      </c>
      <c r="E135" s="5">
        <v>0.65</v>
      </c>
      <c r="F135" s="4">
        <v>3</v>
      </c>
      <c r="G135" s="5">
        <v>0.68</v>
      </c>
      <c r="H135" s="4">
        <v>0</v>
      </c>
    </row>
    <row r="136" spans="1:8" x14ac:dyDescent="0.2">
      <c r="A136" s="2" t="s">
        <v>48</v>
      </c>
      <c r="B136" s="4">
        <v>9</v>
      </c>
      <c r="C136" s="5">
        <v>0.83</v>
      </c>
      <c r="D136" s="4">
        <v>4</v>
      </c>
      <c r="E136" s="5">
        <v>0.65</v>
      </c>
      <c r="F136" s="4">
        <v>5</v>
      </c>
      <c r="G136" s="5">
        <v>1.1299999999999999</v>
      </c>
      <c r="H136" s="4">
        <v>0</v>
      </c>
    </row>
    <row r="137" spans="1:8" x14ac:dyDescent="0.2">
      <c r="A137" s="2" t="s">
        <v>49</v>
      </c>
      <c r="B137" s="4">
        <v>242</v>
      </c>
      <c r="C137" s="5">
        <v>22.37</v>
      </c>
      <c r="D137" s="4">
        <v>138</v>
      </c>
      <c r="E137" s="5">
        <v>22.29</v>
      </c>
      <c r="F137" s="4">
        <v>102</v>
      </c>
      <c r="G137" s="5">
        <v>23.13</v>
      </c>
      <c r="H137" s="4">
        <v>2</v>
      </c>
    </row>
    <row r="138" spans="1:8" x14ac:dyDescent="0.2">
      <c r="A138" s="2" t="s">
        <v>50</v>
      </c>
      <c r="B138" s="4">
        <v>3</v>
      </c>
      <c r="C138" s="5">
        <v>0.28000000000000003</v>
      </c>
      <c r="D138" s="4">
        <v>0</v>
      </c>
      <c r="E138" s="5">
        <v>0</v>
      </c>
      <c r="F138" s="4">
        <v>3</v>
      </c>
      <c r="G138" s="5">
        <v>0.68</v>
      </c>
      <c r="H138" s="4">
        <v>0</v>
      </c>
    </row>
    <row r="139" spans="1:8" x14ac:dyDescent="0.2">
      <c r="A139" s="2" t="s">
        <v>51</v>
      </c>
      <c r="B139" s="4">
        <v>46</v>
      </c>
      <c r="C139" s="5">
        <v>4.25</v>
      </c>
      <c r="D139" s="4">
        <v>17</v>
      </c>
      <c r="E139" s="5">
        <v>2.75</v>
      </c>
      <c r="F139" s="4">
        <v>27</v>
      </c>
      <c r="G139" s="5">
        <v>6.12</v>
      </c>
      <c r="H139" s="4">
        <v>0</v>
      </c>
    </row>
    <row r="140" spans="1:8" x14ac:dyDescent="0.2">
      <c r="A140" s="2" t="s">
        <v>52</v>
      </c>
      <c r="B140" s="4">
        <v>51</v>
      </c>
      <c r="C140" s="5">
        <v>4.71</v>
      </c>
      <c r="D140" s="4">
        <v>35</v>
      </c>
      <c r="E140" s="5">
        <v>5.65</v>
      </c>
      <c r="F140" s="4">
        <v>13</v>
      </c>
      <c r="G140" s="5">
        <v>2.95</v>
      </c>
      <c r="H140" s="4">
        <v>0</v>
      </c>
    </row>
    <row r="141" spans="1:8" x14ac:dyDescent="0.2">
      <c r="A141" s="2" t="s">
        <v>53</v>
      </c>
      <c r="B141" s="4">
        <v>149</v>
      </c>
      <c r="C141" s="5">
        <v>13.77</v>
      </c>
      <c r="D141" s="4">
        <v>113</v>
      </c>
      <c r="E141" s="5">
        <v>18.260000000000002</v>
      </c>
      <c r="F141" s="4">
        <v>35</v>
      </c>
      <c r="G141" s="5">
        <v>7.94</v>
      </c>
      <c r="H141" s="4">
        <v>0</v>
      </c>
    </row>
    <row r="142" spans="1:8" x14ac:dyDescent="0.2">
      <c r="A142" s="2" t="s">
        <v>54</v>
      </c>
      <c r="B142" s="4">
        <v>116</v>
      </c>
      <c r="C142" s="5">
        <v>10.72</v>
      </c>
      <c r="D142" s="4">
        <v>88</v>
      </c>
      <c r="E142" s="5">
        <v>14.22</v>
      </c>
      <c r="F142" s="4">
        <v>27</v>
      </c>
      <c r="G142" s="5">
        <v>6.12</v>
      </c>
      <c r="H142" s="4">
        <v>0</v>
      </c>
    </row>
    <row r="143" spans="1:8" x14ac:dyDescent="0.2">
      <c r="A143" s="2" t="s">
        <v>55</v>
      </c>
      <c r="B143" s="4">
        <v>38</v>
      </c>
      <c r="C143" s="5">
        <v>3.51</v>
      </c>
      <c r="D143" s="4">
        <v>22</v>
      </c>
      <c r="E143" s="5">
        <v>3.55</v>
      </c>
      <c r="F143" s="4">
        <v>10</v>
      </c>
      <c r="G143" s="5">
        <v>2.27</v>
      </c>
      <c r="H143" s="4">
        <v>2</v>
      </c>
    </row>
    <row r="144" spans="1:8" x14ac:dyDescent="0.2">
      <c r="A144" s="2" t="s">
        <v>56</v>
      </c>
      <c r="B144" s="4">
        <v>54</v>
      </c>
      <c r="C144" s="5">
        <v>4.99</v>
      </c>
      <c r="D144" s="4">
        <v>35</v>
      </c>
      <c r="E144" s="5">
        <v>5.65</v>
      </c>
      <c r="F144" s="4">
        <v>14</v>
      </c>
      <c r="G144" s="5">
        <v>3.17</v>
      </c>
      <c r="H144" s="4">
        <v>1</v>
      </c>
    </row>
    <row r="145" spans="1:8" x14ac:dyDescent="0.2">
      <c r="A145" s="2" t="s">
        <v>57</v>
      </c>
      <c r="B145" s="4">
        <v>36</v>
      </c>
      <c r="C145" s="5">
        <v>3.33</v>
      </c>
      <c r="D145" s="4">
        <v>19</v>
      </c>
      <c r="E145" s="5">
        <v>3.07</v>
      </c>
      <c r="F145" s="4">
        <v>15</v>
      </c>
      <c r="G145" s="5">
        <v>3.4</v>
      </c>
      <c r="H145" s="4">
        <v>0</v>
      </c>
    </row>
    <row r="146" spans="1:8" x14ac:dyDescent="0.2">
      <c r="A146" s="1" t="s">
        <v>9</v>
      </c>
      <c r="B146" s="4">
        <v>1726</v>
      </c>
      <c r="C146" s="5">
        <v>100.00999999999998</v>
      </c>
      <c r="D146" s="4">
        <v>952</v>
      </c>
      <c r="E146" s="5">
        <v>99.999999999999986</v>
      </c>
      <c r="F146" s="4">
        <v>756</v>
      </c>
      <c r="G146" s="5">
        <v>100.01999999999998</v>
      </c>
      <c r="H146" s="4">
        <v>11</v>
      </c>
    </row>
    <row r="147" spans="1:8" x14ac:dyDescent="0.2">
      <c r="A147" s="2" t="s">
        <v>43</v>
      </c>
      <c r="B147" s="4">
        <v>0</v>
      </c>
      <c r="C147" s="5">
        <v>0</v>
      </c>
      <c r="D147" s="4">
        <v>0</v>
      </c>
      <c r="E147" s="5">
        <v>0</v>
      </c>
      <c r="F147" s="4">
        <v>0</v>
      </c>
      <c r="G147" s="5">
        <v>0</v>
      </c>
      <c r="H147" s="4">
        <v>0</v>
      </c>
    </row>
    <row r="148" spans="1:8" x14ac:dyDescent="0.2">
      <c r="A148" s="2" t="s">
        <v>44</v>
      </c>
      <c r="B148" s="4">
        <v>253</v>
      </c>
      <c r="C148" s="5">
        <v>14.66</v>
      </c>
      <c r="D148" s="4">
        <v>83</v>
      </c>
      <c r="E148" s="5">
        <v>8.7200000000000006</v>
      </c>
      <c r="F148" s="4">
        <v>170</v>
      </c>
      <c r="G148" s="5">
        <v>22.49</v>
      </c>
      <c r="H148" s="4">
        <v>0</v>
      </c>
    </row>
    <row r="149" spans="1:8" x14ac:dyDescent="0.2">
      <c r="A149" s="2" t="s">
        <v>45</v>
      </c>
      <c r="B149" s="4">
        <v>386</v>
      </c>
      <c r="C149" s="5">
        <v>22.36</v>
      </c>
      <c r="D149" s="4">
        <v>221</v>
      </c>
      <c r="E149" s="5">
        <v>23.21</v>
      </c>
      <c r="F149" s="4">
        <v>165</v>
      </c>
      <c r="G149" s="5">
        <v>21.83</v>
      </c>
      <c r="H149" s="4">
        <v>0</v>
      </c>
    </row>
    <row r="150" spans="1:8" x14ac:dyDescent="0.2">
      <c r="A150" s="2" t="s">
        <v>46</v>
      </c>
      <c r="B150" s="4">
        <v>4</v>
      </c>
      <c r="C150" s="5">
        <v>0.23</v>
      </c>
      <c r="D150" s="4">
        <v>0</v>
      </c>
      <c r="E150" s="5">
        <v>0</v>
      </c>
      <c r="F150" s="4">
        <v>3</v>
      </c>
      <c r="G150" s="5">
        <v>0.4</v>
      </c>
      <c r="H150" s="4">
        <v>0</v>
      </c>
    </row>
    <row r="151" spans="1:8" x14ac:dyDescent="0.2">
      <c r="A151" s="2" t="s">
        <v>47</v>
      </c>
      <c r="B151" s="4">
        <v>12</v>
      </c>
      <c r="C151" s="5">
        <v>0.7</v>
      </c>
      <c r="D151" s="4">
        <v>0</v>
      </c>
      <c r="E151" s="5">
        <v>0</v>
      </c>
      <c r="F151" s="4">
        <v>12</v>
      </c>
      <c r="G151" s="5">
        <v>1.59</v>
      </c>
      <c r="H151" s="4">
        <v>0</v>
      </c>
    </row>
    <row r="152" spans="1:8" x14ac:dyDescent="0.2">
      <c r="A152" s="2" t="s">
        <v>48</v>
      </c>
      <c r="B152" s="4">
        <v>16</v>
      </c>
      <c r="C152" s="5">
        <v>0.93</v>
      </c>
      <c r="D152" s="4">
        <v>0</v>
      </c>
      <c r="E152" s="5">
        <v>0</v>
      </c>
      <c r="F152" s="4">
        <v>16</v>
      </c>
      <c r="G152" s="5">
        <v>2.12</v>
      </c>
      <c r="H152" s="4">
        <v>0</v>
      </c>
    </row>
    <row r="153" spans="1:8" x14ac:dyDescent="0.2">
      <c r="A153" s="2" t="s">
        <v>49</v>
      </c>
      <c r="B153" s="4">
        <v>339</v>
      </c>
      <c r="C153" s="5">
        <v>19.64</v>
      </c>
      <c r="D153" s="4">
        <v>167</v>
      </c>
      <c r="E153" s="5">
        <v>17.54</v>
      </c>
      <c r="F153" s="4">
        <v>170</v>
      </c>
      <c r="G153" s="5">
        <v>22.49</v>
      </c>
      <c r="H153" s="4">
        <v>2</v>
      </c>
    </row>
    <row r="154" spans="1:8" x14ac:dyDescent="0.2">
      <c r="A154" s="2" t="s">
        <v>50</v>
      </c>
      <c r="B154" s="4">
        <v>14</v>
      </c>
      <c r="C154" s="5">
        <v>0.81</v>
      </c>
      <c r="D154" s="4">
        <v>3</v>
      </c>
      <c r="E154" s="5">
        <v>0.32</v>
      </c>
      <c r="F154" s="4">
        <v>11</v>
      </c>
      <c r="G154" s="5">
        <v>1.46</v>
      </c>
      <c r="H154" s="4">
        <v>0</v>
      </c>
    </row>
    <row r="155" spans="1:8" x14ac:dyDescent="0.2">
      <c r="A155" s="2" t="s">
        <v>51</v>
      </c>
      <c r="B155" s="4">
        <v>89</v>
      </c>
      <c r="C155" s="5">
        <v>5.16</v>
      </c>
      <c r="D155" s="4">
        <v>30</v>
      </c>
      <c r="E155" s="5">
        <v>3.15</v>
      </c>
      <c r="F155" s="4">
        <v>59</v>
      </c>
      <c r="G155" s="5">
        <v>7.8</v>
      </c>
      <c r="H155" s="4">
        <v>0</v>
      </c>
    </row>
    <row r="156" spans="1:8" x14ac:dyDescent="0.2">
      <c r="A156" s="2" t="s">
        <v>52</v>
      </c>
      <c r="B156" s="4">
        <v>75</v>
      </c>
      <c r="C156" s="5">
        <v>4.3499999999999996</v>
      </c>
      <c r="D156" s="4">
        <v>39</v>
      </c>
      <c r="E156" s="5">
        <v>4.0999999999999996</v>
      </c>
      <c r="F156" s="4">
        <v>35</v>
      </c>
      <c r="G156" s="5">
        <v>4.63</v>
      </c>
      <c r="H156" s="4">
        <v>0</v>
      </c>
    </row>
    <row r="157" spans="1:8" x14ac:dyDescent="0.2">
      <c r="A157" s="2" t="s">
        <v>53</v>
      </c>
      <c r="B157" s="4">
        <v>147</v>
      </c>
      <c r="C157" s="5">
        <v>8.52</v>
      </c>
      <c r="D157" s="4">
        <v>131</v>
      </c>
      <c r="E157" s="5">
        <v>13.76</v>
      </c>
      <c r="F157" s="4">
        <v>15</v>
      </c>
      <c r="G157" s="5">
        <v>1.98</v>
      </c>
      <c r="H157" s="4">
        <v>0</v>
      </c>
    </row>
    <row r="158" spans="1:8" x14ac:dyDescent="0.2">
      <c r="A158" s="2" t="s">
        <v>54</v>
      </c>
      <c r="B158" s="4">
        <v>175</v>
      </c>
      <c r="C158" s="5">
        <v>10.14</v>
      </c>
      <c r="D158" s="4">
        <v>135</v>
      </c>
      <c r="E158" s="5">
        <v>14.18</v>
      </c>
      <c r="F158" s="4">
        <v>39</v>
      </c>
      <c r="G158" s="5">
        <v>5.16</v>
      </c>
      <c r="H158" s="4">
        <v>0</v>
      </c>
    </row>
    <row r="159" spans="1:8" x14ac:dyDescent="0.2">
      <c r="A159" s="2" t="s">
        <v>55</v>
      </c>
      <c r="B159" s="4">
        <v>66</v>
      </c>
      <c r="C159" s="5">
        <v>3.82</v>
      </c>
      <c r="D159" s="4">
        <v>46</v>
      </c>
      <c r="E159" s="5">
        <v>4.83</v>
      </c>
      <c r="F159" s="4">
        <v>19</v>
      </c>
      <c r="G159" s="5">
        <v>2.5099999999999998</v>
      </c>
      <c r="H159" s="4">
        <v>0</v>
      </c>
    </row>
    <row r="160" spans="1:8" x14ac:dyDescent="0.2">
      <c r="A160" s="2" t="s">
        <v>56</v>
      </c>
      <c r="B160" s="4">
        <v>72</v>
      </c>
      <c r="C160" s="5">
        <v>4.17</v>
      </c>
      <c r="D160" s="4">
        <v>56</v>
      </c>
      <c r="E160" s="5">
        <v>5.88</v>
      </c>
      <c r="F160" s="4">
        <v>16</v>
      </c>
      <c r="G160" s="5">
        <v>2.12</v>
      </c>
      <c r="H160" s="4">
        <v>0</v>
      </c>
    </row>
    <row r="161" spans="1:8" x14ac:dyDescent="0.2">
      <c r="A161" s="2" t="s">
        <v>57</v>
      </c>
      <c r="B161" s="4">
        <v>78</v>
      </c>
      <c r="C161" s="5">
        <v>4.5199999999999996</v>
      </c>
      <c r="D161" s="4">
        <v>41</v>
      </c>
      <c r="E161" s="5">
        <v>4.3099999999999996</v>
      </c>
      <c r="F161" s="4">
        <v>26</v>
      </c>
      <c r="G161" s="5">
        <v>3.44</v>
      </c>
      <c r="H161" s="4">
        <v>9</v>
      </c>
    </row>
    <row r="162" spans="1:8" x14ac:dyDescent="0.2">
      <c r="A162" s="1" t="s">
        <v>10</v>
      </c>
      <c r="B162" s="4">
        <v>1467</v>
      </c>
      <c r="C162" s="5">
        <v>99.999999999999986</v>
      </c>
      <c r="D162" s="4">
        <v>871</v>
      </c>
      <c r="E162" s="5">
        <v>99.990000000000009</v>
      </c>
      <c r="F162" s="4">
        <v>563</v>
      </c>
      <c r="G162" s="5">
        <v>100.01</v>
      </c>
      <c r="H162" s="4">
        <v>6</v>
      </c>
    </row>
    <row r="163" spans="1:8" x14ac:dyDescent="0.2">
      <c r="A163" s="2" t="s">
        <v>43</v>
      </c>
      <c r="B163" s="4">
        <v>1</v>
      </c>
      <c r="C163" s="5">
        <v>7.0000000000000007E-2</v>
      </c>
      <c r="D163" s="4">
        <v>0</v>
      </c>
      <c r="E163" s="5">
        <v>0</v>
      </c>
      <c r="F163" s="4">
        <v>1</v>
      </c>
      <c r="G163" s="5">
        <v>0.18</v>
      </c>
      <c r="H163" s="4">
        <v>0</v>
      </c>
    </row>
    <row r="164" spans="1:8" x14ac:dyDescent="0.2">
      <c r="A164" s="2" t="s">
        <v>44</v>
      </c>
      <c r="B164" s="4">
        <v>217</v>
      </c>
      <c r="C164" s="5">
        <v>14.79</v>
      </c>
      <c r="D164" s="4">
        <v>116</v>
      </c>
      <c r="E164" s="5">
        <v>13.32</v>
      </c>
      <c r="F164" s="4">
        <v>101</v>
      </c>
      <c r="G164" s="5">
        <v>17.940000000000001</v>
      </c>
      <c r="H164" s="4">
        <v>0</v>
      </c>
    </row>
    <row r="165" spans="1:8" x14ac:dyDescent="0.2">
      <c r="A165" s="2" t="s">
        <v>45</v>
      </c>
      <c r="B165" s="4">
        <v>163</v>
      </c>
      <c r="C165" s="5">
        <v>11.11</v>
      </c>
      <c r="D165" s="4">
        <v>62</v>
      </c>
      <c r="E165" s="5">
        <v>7.12</v>
      </c>
      <c r="F165" s="4">
        <v>100</v>
      </c>
      <c r="G165" s="5">
        <v>17.760000000000002</v>
      </c>
      <c r="H165" s="4">
        <v>1</v>
      </c>
    </row>
    <row r="166" spans="1:8" x14ac:dyDescent="0.2">
      <c r="A166" s="2" t="s">
        <v>46</v>
      </c>
      <c r="B166" s="4">
        <v>2</v>
      </c>
      <c r="C166" s="5">
        <v>0.14000000000000001</v>
      </c>
      <c r="D166" s="4">
        <v>0</v>
      </c>
      <c r="E166" s="5">
        <v>0</v>
      </c>
      <c r="F166" s="4">
        <v>2</v>
      </c>
      <c r="G166" s="5">
        <v>0.36</v>
      </c>
      <c r="H166" s="4">
        <v>0</v>
      </c>
    </row>
    <row r="167" spans="1:8" x14ac:dyDescent="0.2">
      <c r="A167" s="2" t="s">
        <v>47</v>
      </c>
      <c r="B167" s="4">
        <v>4</v>
      </c>
      <c r="C167" s="5">
        <v>0.27</v>
      </c>
      <c r="D167" s="4">
        <v>1</v>
      </c>
      <c r="E167" s="5">
        <v>0.11</v>
      </c>
      <c r="F167" s="4">
        <v>3</v>
      </c>
      <c r="G167" s="5">
        <v>0.53</v>
      </c>
      <c r="H167" s="4">
        <v>0</v>
      </c>
    </row>
    <row r="168" spans="1:8" x14ac:dyDescent="0.2">
      <c r="A168" s="2" t="s">
        <v>48</v>
      </c>
      <c r="B168" s="4">
        <v>19</v>
      </c>
      <c r="C168" s="5">
        <v>1.3</v>
      </c>
      <c r="D168" s="4">
        <v>5</v>
      </c>
      <c r="E168" s="5">
        <v>0.56999999999999995</v>
      </c>
      <c r="F168" s="4">
        <v>14</v>
      </c>
      <c r="G168" s="5">
        <v>2.4900000000000002</v>
      </c>
      <c r="H168" s="4">
        <v>0</v>
      </c>
    </row>
    <row r="169" spans="1:8" x14ac:dyDescent="0.2">
      <c r="A169" s="2" t="s">
        <v>49</v>
      </c>
      <c r="B169" s="4">
        <v>336</v>
      </c>
      <c r="C169" s="5">
        <v>22.9</v>
      </c>
      <c r="D169" s="4">
        <v>186</v>
      </c>
      <c r="E169" s="5">
        <v>21.35</v>
      </c>
      <c r="F169" s="4">
        <v>149</v>
      </c>
      <c r="G169" s="5">
        <v>26.47</v>
      </c>
      <c r="H169" s="4">
        <v>1</v>
      </c>
    </row>
    <row r="170" spans="1:8" x14ac:dyDescent="0.2">
      <c r="A170" s="2" t="s">
        <v>50</v>
      </c>
      <c r="B170" s="4">
        <v>13</v>
      </c>
      <c r="C170" s="5">
        <v>0.89</v>
      </c>
      <c r="D170" s="4">
        <v>1</v>
      </c>
      <c r="E170" s="5">
        <v>0.11</v>
      </c>
      <c r="F170" s="4">
        <v>11</v>
      </c>
      <c r="G170" s="5">
        <v>1.95</v>
      </c>
      <c r="H170" s="4">
        <v>0</v>
      </c>
    </row>
    <row r="171" spans="1:8" x14ac:dyDescent="0.2">
      <c r="A171" s="2" t="s">
        <v>51</v>
      </c>
      <c r="B171" s="4">
        <v>90</v>
      </c>
      <c r="C171" s="5">
        <v>6.13</v>
      </c>
      <c r="D171" s="4">
        <v>47</v>
      </c>
      <c r="E171" s="5">
        <v>5.4</v>
      </c>
      <c r="F171" s="4">
        <v>43</v>
      </c>
      <c r="G171" s="5">
        <v>7.64</v>
      </c>
      <c r="H171" s="4">
        <v>0</v>
      </c>
    </row>
    <row r="172" spans="1:8" x14ac:dyDescent="0.2">
      <c r="A172" s="2" t="s">
        <v>52</v>
      </c>
      <c r="B172" s="4">
        <v>75</v>
      </c>
      <c r="C172" s="5">
        <v>5.1100000000000003</v>
      </c>
      <c r="D172" s="4">
        <v>42</v>
      </c>
      <c r="E172" s="5">
        <v>4.82</v>
      </c>
      <c r="F172" s="4">
        <v>30</v>
      </c>
      <c r="G172" s="5">
        <v>5.33</v>
      </c>
      <c r="H172" s="4">
        <v>0</v>
      </c>
    </row>
    <row r="173" spans="1:8" x14ac:dyDescent="0.2">
      <c r="A173" s="2" t="s">
        <v>53</v>
      </c>
      <c r="B173" s="4">
        <v>212</v>
      </c>
      <c r="C173" s="5">
        <v>14.45</v>
      </c>
      <c r="D173" s="4">
        <v>170</v>
      </c>
      <c r="E173" s="5">
        <v>19.52</v>
      </c>
      <c r="F173" s="4">
        <v>37</v>
      </c>
      <c r="G173" s="5">
        <v>6.57</v>
      </c>
      <c r="H173" s="4">
        <v>1</v>
      </c>
    </row>
    <row r="174" spans="1:8" x14ac:dyDescent="0.2">
      <c r="A174" s="2" t="s">
        <v>54</v>
      </c>
      <c r="B174" s="4">
        <v>166</v>
      </c>
      <c r="C174" s="5">
        <v>11.32</v>
      </c>
      <c r="D174" s="4">
        <v>139</v>
      </c>
      <c r="E174" s="5">
        <v>15.96</v>
      </c>
      <c r="F174" s="4">
        <v>26</v>
      </c>
      <c r="G174" s="5">
        <v>4.62</v>
      </c>
      <c r="H174" s="4">
        <v>1</v>
      </c>
    </row>
    <row r="175" spans="1:8" x14ac:dyDescent="0.2">
      <c r="A175" s="2" t="s">
        <v>55</v>
      </c>
      <c r="B175" s="4">
        <v>56</v>
      </c>
      <c r="C175" s="5">
        <v>3.82</v>
      </c>
      <c r="D175" s="4">
        <v>40</v>
      </c>
      <c r="E175" s="5">
        <v>4.59</v>
      </c>
      <c r="F175" s="4">
        <v>6</v>
      </c>
      <c r="G175" s="5">
        <v>1.07</v>
      </c>
      <c r="H175" s="4">
        <v>0</v>
      </c>
    </row>
    <row r="176" spans="1:8" x14ac:dyDescent="0.2">
      <c r="A176" s="2" t="s">
        <v>56</v>
      </c>
      <c r="B176" s="4">
        <v>65</v>
      </c>
      <c r="C176" s="5">
        <v>4.43</v>
      </c>
      <c r="D176" s="4">
        <v>43</v>
      </c>
      <c r="E176" s="5">
        <v>4.9400000000000004</v>
      </c>
      <c r="F176" s="4">
        <v>19</v>
      </c>
      <c r="G176" s="5">
        <v>3.37</v>
      </c>
      <c r="H176" s="4">
        <v>1</v>
      </c>
    </row>
    <row r="177" spans="1:8" x14ac:dyDescent="0.2">
      <c r="A177" s="2" t="s">
        <v>57</v>
      </c>
      <c r="B177" s="4">
        <v>48</v>
      </c>
      <c r="C177" s="5">
        <v>3.27</v>
      </c>
      <c r="D177" s="4">
        <v>19</v>
      </c>
      <c r="E177" s="5">
        <v>2.1800000000000002</v>
      </c>
      <c r="F177" s="4">
        <v>21</v>
      </c>
      <c r="G177" s="5">
        <v>3.73</v>
      </c>
      <c r="H177" s="4">
        <v>1</v>
      </c>
    </row>
    <row r="178" spans="1:8" x14ac:dyDescent="0.2">
      <c r="A178" s="1" t="s">
        <v>11</v>
      </c>
      <c r="B178" s="4">
        <v>1389</v>
      </c>
      <c r="C178" s="5">
        <v>99.999999999999986</v>
      </c>
      <c r="D178" s="4">
        <v>782</v>
      </c>
      <c r="E178" s="5">
        <v>99.999999999999986</v>
      </c>
      <c r="F178" s="4">
        <v>597</v>
      </c>
      <c r="G178" s="5">
        <v>100.00999999999999</v>
      </c>
      <c r="H178" s="4">
        <v>1</v>
      </c>
    </row>
    <row r="179" spans="1:8" x14ac:dyDescent="0.2">
      <c r="A179" s="2" t="s">
        <v>43</v>
      </c>
      <c r="B179" s="4">
        <v>0</v>
      </c>
      <c r="C179" s="5">
        <v>0</v>
      </c>
      <c r="D179" s="4">
        <v>0</v>
      </c>
      <c r="E179" s="5">
        <v>0</v>
      </c>
      <c r="F179" s="4">
        <v>0</v>
      </c>
      <c r="G179" s="5">
        <v>0</v>
      </c>
      <c r="H179" s="4">
        <v>0</v>
      </c>
    </row>
    <row r="180" spans="1:8" x14ac:dyDescent="0.2">
      <c r="A180" s="2" t="s">
        <v>44</v>
      </c>
      <c r="B180" s="4">
        <v>201</v>
      </c>
      <c r="C180" s="5">
        <v>14.47</v>
      </c>
      <c r="D180" s="4">
        <v>66</v>
      </c>
      <c r="E180" s="5">
        <v>8.44</v>
      </c>
      <c r="F180" s="4">
        <v>135</v>
      </c>
      <c r="G180" s="5">
        <v>22.61</v>
      </c>
      <c r="H180" s="4">
        <v>0</v>
      </c>
    </row>
    <row r="181" spans="1:8" x14ac:dyDescent="0.2">
      <c r="A181" s="2" t="s">
        <v>45</v>
      </c>
      <c r="B181" s="4">
        <v>157</v>
      </c>
      <c r="C181" s="5">
        <v>11.3</v>
      </c>
      <c r="D181" s="4">
        <v>64</v>
      </c>
      <c r="E181" s="5">
        <v>8.18</v>
      </c>
      <c r="F181" s="4">
        <v>93</v>
      </c>
      <c r="G181" s="5">
        <v>15.58</v>
      </c>
      <c r="H181" s="4">
        <v>0</v>
      </c>
    </row>
    <row r="182" spans="1:8" x14ac:dyDescent="0.2">
      <c r="A182" s="2" t="s">
        <v>46</v>
      </c>
      <c r="B182" s="4">
        <v>3</v>
      </c>
      <c r="C182" s="5">
        <v>0.22</v>
      </c>
      <c r="D182" s="4">
        <v>0</v>
      </c>
      <c r="E182" s="5">
        <v>0</v>
      </c>
      <c r="F182" s="4">
        <v>3</v>
      </c>
      <c r="G182" s="5">
        <v>0.5</v>
      </c>
      <c r="H182" s="4">
        <v>0</v>
      </c>
    </row>
    <row r="183" spans="1:8" x14ac:dyDescent="0.2">
      <c r="A183" s="2" t="s">
        <v>47</v>
      </c>
      <c r="B183" s="4">
        <v>11</v>
      </c>
      <c r="C183" s="5">
        <v>0.79</v>
      </c>
      <c r="D183" s="4">
        <v>1</v>
      </c>
      <c r="E183" s="5">
        <v>0.13</v>
      </c>
      <c r="F183" s="4">
        <v>10</v>
      </c>
      <c r="G183" s="5">
        <v>1.68</v>
      </c>
      <c r="H183" s="4">
        <v>0</v>
      </c>
    </row>
    <row r="184" spans="1:8" x14ac:dyDescent="0.2">
      <c r="A184" s="2" t="s">
        <v>48</v>
      </c>
      <c r="B184" s="4">
        <v>19</v>
      </c>
      <c r="C184" s="5">
        <v>1.37</v>
      </c>
      <c r="D184" s="4">
        <v>8</v>
      </c>
      <c r="E184" s="5">
        <v>1.02</v>
      </c>
      <c r="F184" s="4">
        <v>11</v>
      </c>
      <c r="G184" s="5">
        <v>1.84</v>
      </c>
      <c r="H184" s="4">
        <v>0</v>
      </c>
    </row>
    <row r="185" spans="1:8" x14ac:dyDescent="0.2">
      <c r="A185" s="2" t="s">
        <v>49</v>
      </c>
      <c r="B185" s="4">
        <v>297</v>
      </c>
      <c r="C185" s="5">
        <v>21.38</v>
      </c>
      <c r="D185" s="4">
        <v>156</v>
      </c>
      <c r="E185" s="5">
        <v>19.95</v>
      </c>
      <c r="F185" s="4">
        <v>141</v>
      </c>
      <c r="G185" s="5">
        <v>23.62</v>
      </c>
      <c r="H185" s="4">
        <v>0</v>
      </c>
    </row>
    <row r="186" spans="1:8" x14ac:dyDescent="0.2">
      <c r="A186" s="2" t="s">
        <v>50</v>
      </c>
      <c r="B186" s="4">
        <v>12</v>
      </c>
      <c r="C186" s="5">
        <v>0.86</v>
      </c>
      <c r="D186" s="4">
        <v>1</v>
      </c>
      <c r="E186" s="5">
        <v>0.13</v>
      </c>
      <c r="F186" s="4">
        <v>11</v>
      </c>
      <c r="G186" s="5">
        <v>1.84</v>
      </c>
      <c r="H186" s="4">
        <v>0</v>
      </c>
    </row>
    <row r="187" spans="1:8" x14ac:dyDescent="0.2">
      <c r="A187" s="2" t="s">
        <v>51</v>
      </c>
      <c r="B187" s="4">
        <v>109</v>
      </c>
      <c r="C187" s="5">
        <v>7.85</v>
      </c>
      <c r="D187" s="4">
        <v>59</v>
      </c>
      <c r="E187" s="5">
        <v>7.54</v>
      </c>
      <c r="F187" s="4">
        <v>50</v>
      </c>
      <c r="G187" s="5">
        <v>8.3800000000000008</v>
      </c>
      <c r="H187" s="4">
        <v>0</v>
      </c>
    </row>
    <row r="188" spans="1:8" x14ac:dyDescent="0.2">
      <c r="A188" s="2" t="s">
        <v>52</v>
      </c>
      <c r="B188" s="4">
        <v>61</v>
      </c>
      <c r="C188" s="5">
        <v>4.3899999999999997</v>
      </c>
      <c r="D188" s="4">
        <v>31</v>
      </c>
      <c r="E188" s="5">
        <v>3.96</v>
      </c>
      <c r="F188" s="4">
        <v>29</v>
      </c>
      <c r="G188" s="5">
        <v>4.8600000000000003</v>
      </c>
      <c r="H188" s="4">
        <v>0</v>
      </c>
    </row>
    <row r="189" spans="1:8" x14ac:dyDescent="0.2">
      <c r="A189" s="2" t="s">
        <v>53</v>
      </c>
      <c r="B189" s="4">
        <v>174</v>
      </c>
      <c r="C189" s="5">
        <v>12.53</v>
      </c>
      <c r="D189" s="4">
        <v>141</v>
      </c>
      <c r="E189" s="5">
        <v>18.03</v>
      </c>
      <c r="F189" s="4">
        <v>32</v>
      </c>
      <c r="G189" s="5">
        <v>5.36</v>
      </c>
      <c r="H189" s="4">
        <v>0</v>
      </c>
    </row>
    <row r="190" spans="1:8" x14ac:dyDescent="0.2">
      <c r="A190" s="2" t="s">
        <v>54</v>
      </c>
      <c r="B190" s="4">
        <v>159</v>
      </c>
      <c r="C190" s="5">
        <v>11.45</v>
      </c>
      <c r="D190" s="4">
        <v>129</v>
      </c>
      <c r="E190" s="5">
        <v>16.5</v>
      </c>
      <c r="F190" s="4">
        <v>29</v>
      </c>
      <c r="G190" s="5">
        <v>4.8600000000000003</v>
      </c>
      <c r="H190" s="4">
        <v>0</v>
      </c>
    </row>
    <row r="191" spans="1:8" x14ac:dyDescent="0.2">
      <c r="A191" s="2" t="s">
        <v>55</v>
      </c>
      <c r="B191" s="4">
        <v>65</v>
      </c>
      <c r="C191" s="5">
        <v>4.68</v>
      </c>
      <c r="D191" s="4">
        <v>44</v>
      </c>
      <c r="E191" s="5">
        <v>5.63</v>
      </c>
      <c r="F191" s="4">
        <v>20</v>
      </c>
      <c r="G191" s="5">
        <v>3.35</v>
      </c>
      <c r="H191" s="4">
        <v>0</v>
      </c>
    </row>
    <row r="192" spans="1:8" x14ac:dyDescent="0.2">
      <c r="A192" s="2" t="s">
        <v>56</v>
      </c>
      <c r="B192" s="4">
        <v>74</v>
      </c>
      <c r="C192" s="5">
        <v>5.33</v>
      </c>
      <c r="D192" s="4">
        <v>53</v>
      </c>
      <c r="E192" s="5">
        <v>6.78</v>
      </c>
      <c r="F192" s="4">
        <v>18</v>
      </c>
      <c r="G192" s="5">
        <v>3.02</v>
      </c>
      <c r="H192" s="4">
        <v>0</v>
      </c>
    </row>
    <row r="193" spans="1:8" x14ac:dyDescent="0.2">
      <c r="A193" s="2" t="s">
        <v>57</v>
      </c>
      <c r="B193" s="4">
        <v>47</v>
      </c>
      <c r="C193" s="5">
        <v>3.38</v>
      </c>
      <c r="D193" s="4">
        <v>29</v>
      </c>
      <c r="E193" s="5">
        <v>3.71</v>
      </c>
      <c r="F193" s="4">
        <v>15</v>
      </c>
      <c r="G193" s="5">
        <v>2.5099999999999998</v>
      </c>
      <c r="H193" s="4">
        <v>1</v>
      </c>
    </row>
    <row r="194" spans="1:8" x14ac:dyDescent="0.2">
      <c r="A194" s="1" t="s">
        <v>12</v>
      </c>
      <c r="B194" s="4">
        <v>2012</v>
      </c>
      <c r="C194" s="5">
        <v>100.00000000000001</v>
      </c>
      <c r="D194" s="4">
        <v>1159</v>
      </c>
      <c r="E194" s="5">
        <v>100.00000000000001</v>
      </c>
      <c r="F194" s="4">
        <v>833</v>
      </c>
      <c r="G194" s="5">
        <v>99.989999999999966</v>
      </c>
      <c r="H194" s="4">
        <v>2</v>
      </c>
    </row>
    <row r="195" spans="1:8" x14ac:dyDescent="0.2">
      <c r="A195" s="2" t="s">
        <v>43</v>
      </c>
      <c r="B195" s="4">
        <v>0</v>
      </c>
      <c r="C195" s="5">
        <v>0</v>
      </c>
      <c r="D195" s="4">
        <v>0</v>
      </c>
      <c r="E195" s="5">
        <v>0</v>
      </c>
      <c r="F195" s="4">
        <v>0</v>
      </c>
      <c r="G195" s="5">
        <v>0</v>
      </c>
      <c r="H195" s="4">
        <v>0</v>
      </c>
    </row>
    <row r="196" spans="1:8" x14ac:dyDescent="0.2">
      <c r="A196" s="2" t="s">
        <v>44</v>
      </c>
      <c r="B196" s="4">
        <v>242</v>
      </c>
      <c r="C196" s="5">
        <v>12.03</v>
      </c>
      <c r="D196" s="4">
        <v>114</v>
      </c>
      <c r="E196" s="5">
        <v>9.84</v>
      </c>
      <c r="F196" s="4">
        <v>128</v>
      </c>
      <c r="G196" s="5">
        <v>15.37</v>
      </c>
      <c r="H196" s="4">
        <v>0</v>
      </c>
    </row>
    <row r="197" spans="1:8" x14ac:dyDescent="0.2">
      <c r="A197" s="2" t="s">
        <v>45</v>
      </c>
      <c r="B197" s="4">
        <v>630</v>
      </c>
      <c r="C197" s="5">
        <v>31.31</v>
      </c>
      <c r="D197" s="4">
        <v>355</v>
      </c>
      <c r="E197" s="5">
        <v>30.63</v>
      </c>
      <c r="F197" s="4">
        <v>275</v>
      </c>
      <c r="G197" s="5">
        <v>33.01</v>
      </c>
      <c r="H197" s="4">
        <v>0</v>
      </c>
    </row>
    <row r="198" spans="1:8" x14ac:dyDescent="0.2">
      <c r="A198" s="2" t="s">
        <v>46</v>
      </c>
      <c r="B198" s="4">
        <v>2</v>
      </c>
      <c r="C198" s="5">
        <v>0.1</v>
      </c>
      <c r="D198" s="4">
        <v>0</v>
      </c>
      <c r="E198" s="5">
        <v>0</v>
      </c>
      <c r="F198" s="4">
        <v>1</v>
      </c>
      <c r="G198" s="5">
        <v>0.12</v>
      </c>
      <c r="H198" s="4">
        <v>0</v>
      </c>
    </row>
    <row r="199" spans="1:8" x14ac:dyDescent="0.2">
      <c r="A199" s="2" t="s">
        <v>47</v>
      </c>
      <c r="B199" s="4">
        <v>5</v>
      </c>
      <c r="C199" s="5">
        <v>0.25</v>
      </c>
      <c r="D199" s="4">
        <v>0</v>
      </c>
      <c r="E199" s="5">
        <v>0</v>
      </c>
      <c r="F199" s="4">
        <v>5</v>
      </c>
      <c r="G199" s="5">
        <v>0.6</v>
      </c>
      <c r="H199" s="4">
        <v>0</v>
      </c>
    </row>
    <row r="200" spans="1:8" x14ac:dyDescent="0.2">
      <c r="A200" s="2" t="s">
        <v>48</v>
      </c>
      <c r="B200" s="4">
        <v>22</v>
      </c>
      <c r="C200" s="5">
        <v>1.0900000000000001</v>
      </c>
      <c r="D200" s="4">
        <v>6</v>
      </c>
      <c r="E200" s="5">
        <v>0.52</v>
      </c>
      <c r="F200" s="4">
        <v>15</v>
      </c>
      <c r="G200" s="5">
        <v>1.8</v>
      </c>
      <c r="H200" s="4">
        <v>1</v>
      </c>
    </row>
    <row r="201" spans="1:8" x14ac:dyDescent="0.2">
      <c r="A201" s="2" t="s">
        <v>49</v>
      </c>
      <c r="B201" s="4">
        <v>441</v>
      </c>
      <c r="C201" s="5">
        <v>21.92</v>
      </c>
      <c r="D201" s="4">
        <v>217</v>
      </c>
      <c r="E201" s="5">
        <v>18.72</v>
      </c>
      <c r="F201" s="4">
        <v>223</v>
      </c>
      <c r="G201" s="5">
        <v>26.77</v>
      </c>
      <c r="H201" s="4">
        <v>1</v>
      </c>
    </row>
    <row r="202" spans="1:8" x14ac:dyDescent="0.2">
      <c r="A202" s="2" t="s">
        <v>50</v>
      </c>
      <c r="B202" s="4">
        <v>5</v>
      </c>
      <c r="C202" s="5">
        <v>0.25</v>
      </c>
      <c r="D202" s="4">
        <v>0</v>
      </c>
      <c r="E202" s="5">
        <v>0</v>
      </c>
      <c r="F202" s="4">
        <v>5</v>
      </c>
      <c r="G202" s="5">
        <v>0.6</v>
      </c>
      <c r="H202" s="4">
        <v>0</v>
      </c>
    </row>
    <row r="203" spans="1:8" x14ac:dyDescent="0.2">
      <c r="A203" s="2" t="s">
        <v>51</v>
      </c>
      <c r="B203" s="4">
        <v>72</v>
      </c>
      <c r="C203" s="5">
        <v>3.58</v>
      </c>
      <c r="D203" s="4">
        <v>16</v>
      </c>
      <c r="E203" s="5">
        <v>1.38</v>
      </c>
      <c r="F203" s="4">
        <v>55</v>
      </c>
      <c r="G203" s="5">
        <v>6.6</v>
      </c>
      <c r="H203" s="4">
        <v>0</v>
      </c>
    </row>
    <row r="204" spans="1:8" x14ac:dyDescent="0.2">
      <c r="A204" s="2" t="s">
        <v>52</v>
      </c>
      <c r="B204" s="4">
        <v>62</v>
      </c>
      <c r="C204" s="5">
        <v>3.08</v>
      </c>
      <c r="D204" s="4">
        <v>39</v>
      </c>
      <c r="E204" s="5">
        <v>3.36</v>
      </c>
      <c r="F204" s="4">
        <v>21</v>
      </c>
      <c r="G204" s="5">
        <v>2.52</v>
      </c>
      <c r="H204" s="4">
        <v>0</v>
      </c>
    </row>
    <row r="205" spans="1:8" x14ac:dyDescent="0.2">
      <c r="A205" s="2" t="s">
        <v>53</v>
      </c>
      <c r="B205" s="4">
        <v>187</v>
      </c>
      <c r="C205" s="5">
        <v>9.2899999999999991</v>
      </c>
      <c r="D205" s="4">
        <v>161</v>
      </c>
      <c r="E205" s="5">
        <v>13.89</v>
      </c>
      <c r="F205" s="4">
        <v>25</v>
      </c>
      <c r="G205" s="5">
        <v>3</v>
      </c>
      <c r="H205" s="4">
        <v>0</v>
      </c>
    </row>
    <row r="206" spans="1:8" x14ac:dyDescent="0.2">
      <c r="A206" s="2" t="s">
        <v>54</v>
      </c>
      <c r="B206" s="4">
        <v>176</v>
      </c>
      <c r="C206" s="5">
        <v>8.75</v>
      </c>
      <c r="D206" s="4">
        <v>147</v>
      </c>
      <c r="E206" s="5">
        <v>12.68</v>
      </c>
      <c r="F206" s="4">
        <v>28</v>
      </c>
      <c r="G206" s="5">
        <v>3.36</v>
      </c>
      <c r="H206" s="4">
        <v>0</v>
      </c>
    </row>
    <row r="207" spans="1:8" x14ac:dyDescent="0.2">
      <c r="A207" s="2" t="s">
        <v>55</v>
      </c>
      <c r="B207" s="4">
        <v>51</v>
      </c>
      <c r="C207" s="5">
        <v>2.5299999999999998</v>
      </c>
      <c r="D207" s="4">
        <v>32</v>
      </c>
      <c r="E207" s="5">
        <v>2.76</v>
      </c>
      <c r="F207" s="4">
        <v>9</v>
      </c>
      <c r="G207" s="5">
        <v>1.08</v>
      </c>
      <c r="H207" s="4">
        <v>0</v>
      </c>
    </row>
    <row r="208" spans="1:8" x14ac:dyDescent="0.2">
      <c r="A208" s="2" t="s">
        <v>56</v>
      </c>
      <c r="B208" s="4">
        <v>79</v>
      </c>
      <c r="C208" s="5">
        <v>3.93</v>
      </c>
      <c r="D208" s="4">
        <v>52</v>
      </c>
      <c r="E208" s="5">
        <v>4.49</v>
      </c>
      <c r="F208" s="4">
        <v>25</v>
      </c>
      <c r="G208" s="5">
        <v>3</v>
      </c>
      <c r="H208" s="4">
        <v>0</v>
      </c>
    </row>
    <row r="209" spans="1:8" x14ac:dyDescent="0.2">
      <c r="A209" s="2" t="s">
        <v>57</v>
      </c>
      <c r="B209" s="4">
        <v>38</v>
      </c>
      <c r="C209" s="5">
        <v>1.89</v>
      </c>
      <c r="D209" s="4">
        <v>20</v>
      </c>
      <c r="E209" s="5">
        <v>1.73</v>
      </c>
      <c r="F209" s="4">
        <v>18</v>
      </c>
      <c r="G209" s="5">
        <v>2.16</v>
      </c>
      <c r="H209" s="4">
        <v>0</v>
      </c>
    </row>
    <row r="210" spans="1:8" x14ac:dyDescent="0.2">
      <c r="A210" s="1" t="s">
        <v>13</v>
      </c>
      <c r="B210" s="4">
        <v>3125</v>
      </c>
      <c r="C210" s="5">
        <v>100.00000000000001</v>
      </c>
      <c r="D210" s="4">
        <v>1613</v>
      </c>
      <c r="E210" s="5">
        <v>100</v>
      </c>
      <c r="F210" s="4">
        <v>1499</v>
      </c>
      <c r="G210" s="5">
        <v>100.00999999999998</v>
      </c>
      <c r="H210" s="4">
        <v>4</v>
      </c>
    </row>
    <row r="211" spans="1:8" x14ac:dyDescent="0.2">
      <c r="A211" s="2" t="s">
        <v>43</v>
      </c>
      <c r="B211" s="4">
        <v>1</v>
      </c>
      <c r="C211" s="5">
        <v>0.03</v>
      </c>
      <c r="D211" s="4">
        <v>0</v>
      </c>
      <c r="E211" s="5">
        <v>0</v>
      </c>
      <c r="F211" s="4">
        <v>1</v>
      </c>
      <c r="G211" s="5">
        <v>7.0000000000000007E-2</v>
      </c>
      <c r="H211" s="4">
        <v>0</v>
      </c>
    </row>
    <row r="212" spans="1:8" x14ac:dyDescent="0.2">
      <c r="A212" s="2" t="s">
        <v>44</v>
      </c>
      <c r="B212" s="4">
        <v>406</v>
      </c>
      <c r="C212" s="5">
        <v>12.99</v>
      </c>
      <c r="D212" s="4">
        <v>108</v>
      </c>
      <c r="E212" s="5">
        <v>6.7</v>
      </c>
      <c r="F212" s="4">
        <v>298</v>
      </c>
      <c r="G212" s="5">
        <v>19.88</v>
      </c>
      <c r="H212" s="4">
        <v>0</v>
      </c>
    </row>
    <row r="213" spans="1:8" x14ac:dyDescent="0.2">
      <c r="A213" s="2" t="s">
        <v>45</v>
      </c>
      <c r="B213" s="4">
        <v>535</v>
      </c>
      <c r="C213" s="5">
        <v>17.12</v>
      </c>
      <c r="D213" s="4">
        <v>236</v>
      </c>
      <c r="E213" s="5">
        <v>14.63</v>
      </c>
      <c r="F213" s="4">
        <v>299</v>
      </c>
      <c r="G213" s="5">
        <v>19.95</v>
      </c>
      <c r="H213" s="4">
        <v>0</v>
      </c>
    </row>
    <row r="214" spans="1:8" x14ac:dyDescent="0.2">
      <c r="A214" s="2" t="s">
        <v>46</v>
      </c>
      <c r="B214" s="4">
        <v>1</v>
      </c>
      <c r="C214" s="5">
        <v>0.03</v>
      </c>
      <c r="D214" s="4">
        <v>0</v>
      </c>
      <c r="E214" s="5">
        <v>0</v>
      </c>
      <c r="F214" s="4">
        <v>1</v>
      </c>
      <c r="G214" s="5">
        <v>7.0000000000000007E-2</v>
      </c>
      <c r="H214" s="4">
        <v>0</v>
      </c>
    </row>
    <row r="215" spans="1:8" x14ac:dyDescent="0.2">
      <c r="A215" s="2" t="s">
        <v>47</v>
      </c>
      <c r="B215" s="4">
        <v>16</v>
      </c>
      <c r="C215" s="5">
        <v>0.51</v>
      </c>
      <c r="D215" s="4">
        <v>3</v>
      </c>
      <c r="E215" s="5">
        <v>0.19</v>
      </c>
      <c r="F215" s="4">
        <v>13</v>
      </c>
      <c r="G215" s="5">
        <v>0.87</v>
      </c>
      <c r="H215" s="4">
        <v>0</v>
      </c>
    </row>
    <row r="216" spans="1:8" x14ac:dyDescent="0.2">
      <c r="A216" s="2" t="s">
        <v>48</v>
      </c>
      <c r="B216" s="4">
        <v>30</v>
      </c>
      <c r="C216" s="5">
        <v>0.96</v>
      </c>
      <c r="D216" s="4">
        <v>4</v>
      </c>
      <c r="E216" s="5">
        <v>0.25</v>
      </c>
      <c r="F216" s="4">
        <v>26</v>
      </c>
      <c r="G216" s="5">
        <v>1.73</v>
      </c>
      <c r="H216" s="4">
        <v>0</v>
      </c>
    </row>
    <row r="217" spans="1:8" x14ac:dyDescent="0.2">
      <c r="A217" s="2" t="s">
        <v>49</v>
      </c>
      <c r="B217" s="4">
        <v>657</v>
      </c>
      <c r="C217" s="5">
        <v>21.02</v>
      </c>
      <c r="D217" s="4">
        <v>305</v>
      </c>
      <c r="E217" s="5">
        <v>18.91</v>
      </c>
      <c r="F217" s="4">
        <v>350</v>
      </c>
      <c r="G217" s="5">
        <v>23.35</v>
      </c>
      <c r="H217" s="4">
        <v>2</v>
      </c>
    </row>
    <row r="218" spans="1:8" x14ac:dyDescent="0.2">
      <c r="A218" s="2" t="s">
        <v>50</v>
      </c>
      <c r="B218" s="4">
        <v>20</v>
      </c>
      <c r="C218" s="5">
        <v>0.64</v>
      </c>
      <c r="D218" s="4">
        <v>3</v>
      </c>
      <c r="E218" s="5">
        <v>0.19</v>
      </c>
      <c r="F218" s="4">
        <v>17</v>
      </c>
      <c r="G218" s="5">
        <v>1.1299999999999999</v>
      </c>
      <c r="H218" s="4">
        <v>0</v>
      </c>
    </row>
    <row r="219" spans="1:8" x14ac:dyDescent="0.2">
      <c r="A219" s="2" t="s">
        <v>51</v>
      </c>
      <c r="B219" s="4">
        <v>168</v>
      </c>
      <c r="C219" s="5">
        <v>5.38</v>
      </c>
      <c r="D219" s="4">
        <v>37</v>
      </c>
      <c r="E219" s="5">
        <v>2.29</v>
      </c>
      <c r="F219" s="4">
        <v>130</v>
      </c>
      <c r="G219" s="5">
        <v>8.67</v>
      </c>
      <c r="H219" s="4">
        <v>0</v>
      </c>
    </row>
    <row r="220" spans="1:8" x14ac:dyDescent="0.2">
      <c r="A220" s="2" t="s">
        <v>52</v>
      </c>
      <c r="B220" s="4">
        <v>154</v>
      </c>
      <c r="C220" s="5">
        <v>4.93</v>
      </c>
      <c r="D220" s="4">
        <v>79</v>
      </c>
      <c r="E220" s="5">
        <v>4.9000000000000004</v>
      </c>
      <c r="F220" s="4">
        <v>74</v>
      </c>
      <c r="G220" s="5">
        <v>4.9400000000000004</v>
      </c>
      <c r="H220" s="4">
        <v>0</v>
      </c>
    </row>
    <row r="221" spans="1:8" x14ac:dyDescent="0.2">
      <c r="A221" s="2" t="s">
        <v>53</v>
      </c>
      <c r="B221" s="4">
        <v>328</v>
      </c>
      <c r="C221" s="5">
        <v>10.5</v>
      </c>
      <c r="D221" s="4">
        <v>269</v>
      </c>
      <c r="E221" s="5">
        <v>16.68</v>
      </c>
      <c r="F221" s="4">
        <v>58</v>
      </c>
      <c r="G221" s="5">
        <v>3.87</v>
      </c>
      <c r="H221" s="4">
        <v>0</v>
      </c>
    </row>
    <row r="222" spans="1:8" x14ac:dyDescent="0.2">
      <c r="A222" s="2" t="s">
        <v>54</v>
      </c>
      <c r="B222" s="4">
        <v>383</v>
      </c>
      <c r="C222" s="5">
        <v>12.26</v>
      </c>
      <c r="D222" s="4">
        <v>293</v>
      </c>
      <c r="E222" s="5">
        <v>18.16</v>
      </c>
      <c r="F222" s="4">
        <v>87</v>
      </c>
      <c r="G222" s="5">
        <v>5.8</v>
      </c>
      <c r="H222" s="4">
        <v>0</v>
      </c>
    </row>
    <row r="223" spans="1:8" x14ac:dyDescent="0.2">
      <c r="A223" s="2" t="s">
        <v>55</v>
      </c>
      <c r="B223" s="4">
        <v>146</v>
      </c>
      <c r="C223" s="5">
        <v>4.67</v>
      </c>
      <c r="D223" s="4">
        <v>102</v>
      </c>
      <c r="E223" s="5">
        <v>6.32</v>
      </c>
      <c r="F223" s="4">
        <v>43</v>
      </c>
      <c r="G223" s="5">
        <v>2.87</v>
      </c>
      <c r="H223" s="4">
        <v>0</v>
      </c>
    </row>
    <row r="224" spans="1:8" x14ac:dyDescent="0.2">
      <c r="A224" s="2" t="s">
        <v>56</v>
      </c>
      <c r="B224" s="4">
        <v>155</v>
      </c>
      <c r="C224" s="5">
        <v>4.96</v>
      </c>
      <c r="D224" s="4">
        <v>122</v>
      </c>
      <c r="E224" s="5">
        <v>7.56</v>
      </c>
      <c r="F224" s="4">
        <v>31</v>
      </c>
      <c r="G224" s="5">
        <v>2.0699999999999998</v>
      </c>
      <c r="H224" s="4">
        <v>0</v>
      </c>
    </row>
    <row r="225" spans="1:8" x14ac:dyDescent="0.2">
      <c r="A225" s="2" t="s">
        <v>57</v>
      </c>
      <c r="B225" s="4">
        <v>125</v>
      </c>
      <c r="C225" s="5">
        <v>4</v>
      </c>
      <c r="D225" s="4">
        <v>52</v>
      </c>
      <c r="E225" s="5">
        <v>3.22</v>
      </c>
      <c r="F225" s="4">
        <v>71</v>
      </c>
      <c r="G225" s="5">
        <v>4.74</v>
      </c>
      <c r="H225" s="4">
        <v>2</v>
      </c>
    </row>
    <row r="226" spans="1:8" x14ac:dyDescent="0.2">
      <c r="A226" s="1" t="s">
        <v>14</v>
      </c>
      <c r="B226" s="4">
        <v>1818</v>
      </c>
      <c r="C226" s="5">
        <v>100.04</v>
      </c>
      <c r="D226" s="4">
        <v>968</v>
      </c>
      <c r="E226" s="5">
        <v>100</v>
      </c>
      <c r="F226" s="4">
        <v>829</v>
      </c>
      <c r="G226" s="5">
        <v>99.989999999999981</v>
      </c>
      <c r="H226" s="4">
        <v>1</v>
      </c>
    </row>
    <row r="227" spans="1:8" x14ac:dyDescent="0.2">
      <c r="A227" s="2" t="s">
        <v>43</v>
      </c>
      <c r="B227" s="4">
        <v>0</v>
      </c>
      <c r="C227" s="5">
        <v>0</v>
      </c>
      <c r="D227" s="4">
        <v>0</v>
      </c>
      <c r="E227" s="5">
        <v>0</v>
      </c>
      <c r="F227" s="4">
        <v>0</v>
      </c>
      <c r="G227" s="5">
        <v>0</v>
      </c>
      <c r="H227" s="4">
        <v>0</v>
      </c>
    </row>
    <row r="228" spans="1:8" x14ac:dyDescent="0.2">
      <c r="A228" s="2" t="s">
        <v>44</v>
      </c>
      <c r="B228" s="4">
        <v>296</v>
      </c>
      <c r="C228" s="5">
        <v>16.28</v>
      </c>
      <c r="D228" s="4">
        <v>83</v>
      </c>
      <c r="E228" s="5">
        <v>8.57</v>
      </c>
      <c r="F228" s="4">
        <v>213</v>
      </c>
      <c r="G228" s="5">
        <v>25.69</v>
      </c>
      <c r="H228" s="4">
        <v>0</v>
      </c>
    </row>
    <row r="229" spans="1:8" x14ac:dyDescent="0.2">
      <c r="A229" s="2" t="s">
        <v>45</v>
      </c>
      <c r="B229" s="4">
        <v>133</v>
      </c>
      <c r="C229" s="5">
        <v>7.32</v>
      </c>
      <c r="D229" s="4">
        <v>46</v>
      </c>
      <c r="E229" s="5">
        <v>4.75</v>
      </c>
      <c r="F229" s="4">
        <v>87</v>
      </c>
      <c r="G229" s="5">
        <v>10.49</v>
      </c>
      <c r="H229" s="4">
        <v>0</v>
      </c>
    </row>
    <row r="230" spans="1:8" x14ac:dyDescent="0.2">
      <c r="A230" s="2" t="s">
        <v>46</v>
      </c>
      <c r="B230" s="4">
        <v>3</v>
      </c>
      <c r="C230" s="5">
        <v>0.17</v>
      </c>
      <c r="D230" s="4">
        <v>0</v>
      </c>
      <c r="E230" s="5">
        <v>0</v>
      </c>
      <c r="F230" s="4">
        <v>3</v>
      </c>
      <c r="G230" s="5">
        <v>0.36</v>
      </c>
      <c r="H230" s="4">
        <v>0</v>
      </c>
    </row>
    <row r="231" spans="1:8" x14ac:dyDescent="0.2">
      <c r="A231" s="2" t="s">
        <v>47</v>
      </c>
      <c r="B231" s="4">
        <v>13</v>
      </c>
      <c r="C231" s="5">
        <v>0.72</v>
      </c>
      <c r="D231" s="4">
        <v>2</v>
      </c>
      <c r="E231" s="5">
        <v>0.21</v>
      </c>
      <c r="F231" s="4">
        <v>11</v>
      </c>
      <c r="G231" s="5">
        <v>1.33</v>
      </c>
      <c r="H231" s="4">
        <v>0</v>
      </c>
    </row>
    <row r="232" spans="1:8" x14ac:dyDescent="0.2">
      <c r="A232" s="2" t="s">
        <v>48</v>
      </c>
      <c r="B232" s="4">
        <v>18</v>
      </c>
      <c r="C232" s="5">
        <v>0.99</v>
      </c>
      <c r="D232" s="4">
        <v>3</v>
      </c>
      <c r="E232" s="5">
        <v>0.31</v>
      </c>
      <c r="F232" s="4">
        <v>15</v>
      </c>
      <c r="G232" s="5">
        <v>1.81</v>
      </c>
      <c r="H232" s="4">
        <v>0</v>
      </c>
    </row>
    <row r="233" spans="1:8" x14ac:dyDescent="0.2">
      <c r="A233" s="2" t="s">
        <v>49</v>
      </c>
      <c r="B233" s="4">
        <v>343</v>
      </c>
      <c r="C233" s="5">
        <v>18.87</v>
      </c>
      <c r="D233" s="4">
        <v>167</v>
      </c>
      <c r="E233" s="5">
        <v>17.25</v>
      </c>
      <c r="F233" s="4">
        <v>176</v>
      </c>
      <c r="G233" s="5">
        <v>21.23</v>
      </c>
      <c r="H233" s="4">
        <v>0</v>
      </c>
    </row>
    <row r="234" spans="1:8" x14ac:dyDescent="0.2">
      <c r="A234" s="2" t="s">
        <v>50</v>
      </c>
      <c r="B234" s="4">
        <v>13</v>
      </c>
      <c r="C234" s="5">
        <v>0.72</v>
      </c>
      <c r="D234" s="4">
        <v>3</v>
      </c>
      <c r="E234" s="5">
        <v>0.31</v>
      </c>
      <c r="F234" s="4">
        <v>10</v>
      </c>
      <c r="G234" s="5">
        <v>1.21</v>
      </c>
      <c r="H234" s="4">
        <v>0</v>
      </c>
    </row>
    <row r="235" spans="1:8" x14ac:dyDescent="0.2">
      <c r="A235" s="2" t="s">
        <v>51</v>
      </c>
      <c r="B235" s="4">
        <v>129</v>
      </c>
      <c r="C235" s="5">
        <v>7.1</v>
      </c>
      <c r="D235" s="4">
        <v>38</v>
      </c>
      <c r="E235" s="5">
        <v>3.93</v>
      </c>
      <c r="F235" s="4">
        <v>91</v>
      </c>
      <c r="G235" s="5">
        <v>10.98</v>
      </c>
      <c r="H235" s="4">
        <v>0</v>
      </c>
    </row>
    <row r="236" spans="1:8" x14ac:dyDescent="0.2">
      <c r="A236" s="2" t="s">
        <v>52</v>
      </c>
      <c r="B236" s="4">
        <v>124</v>
      </c>
      <c r="C236" s="5">
        <v>6.82</v>
      </c>
      <c r="D236" s="4">
        <v>75</v>
      </c>
      <c r="E236" s="5">
        <v>7.75</v>
      </c>
      <c r="F236" s="4">
        <v>49</v>
      </c>
      <c r="G236" s="5">
        <v>5.91</v>
      </c>
      <c r="H236" s="4">
        <v>0</v>
      </c>
    </row>
    <row r="237" spans="1:8" x14ac:dyDescent="0.2">
      <c r="A237" s="2" t="s">
        <v>53</v>
      </c>
      <c r="B237" s="4">
        <v>225</v>
      </c>
      <c r="C237" s="5">
        <v>12.38</v>
      </c>
      <c r="D237" s="4">
        <v>187</v>
      </c>
      <c r="E237" s="5">
        <v>19.32</v>
      </c>
      <c r="F237" s="4">
        <v>37</v>
      </c>
      <c r="G237" s="5">
        <v>4.46</v>
      </c>
      <c r="H237" s="4">
        <v>0</v>
      </c>
    </row>
    <row r="238" spans="1:8" x14ac:dyDescent="0.2">
      <c r="A238" s="2" t="s">
        <v>54</v>
      </c>
      <c r="B238" s="4">
        <v>271</v>
      </c>
      <c r="C238" s="5">
        <v>14.91</v>
      </c>
      <c r="D238" s="4">
        <v>204</v>
      </c>
      <c r="E238" s="5">
        <v>21.07</v>
      </c>
      <c r="F238" s="4">
        <v>67</v>
      </c>
      <c r="G238" s="5">
        <v>8.08</v>
      </c>
      <c r="H238" s="4">
        <v>0</v>
      </c>
    </row>
    <row r="239" spans="1:8" x14ac:dyDescent="0.2">
      <c r="A239" s="2" t="s">
        <v>55</v>
      </c>
      <c r="B239" s="4">
        <v>109</v>
      </c>
      <c r="C239" s="5">
        <v>6</v>
      </c>
      <c r="D239" s="4">
        <v>70</v>
      </c>
      <c r="E239" s="5">
        <v>7.23</v>
      </c>
      <c r="F239" s="4">
        <v>24</v>
      </c>
      <c r="G239" s="5">
        <v>2.9</v>
      </c>
      <c r="H239" s="4">
        <v>0</v>
      </c>
    </row>
    <row r="240" spans="1:8" x14ac:dyDescent="0.2">
      <c r="A240" s="2" t="s">
        <v>56</v>
      </c>
      <c r="B240" s="4">
        <v>84</v>
      </c>
      <c r="C240" s="5">
        <v>4.62</v>
      </c>
      <c r="D240" s="4">
        <v>61</v>
      </c>
      <c r="E240" s="5">
        <v>6.3</v>
      </c>
      <c r="F240" s="4">
        <v>23</v>
      </c>
      <c r="G240" s="5">
        <v>2.77</v>
      </c>
      <c r="H240" s="4">
        <v>0</v>
      </c>
    </row>
    <row r="241" spans="1:8" x14ac:dyDescent="0.2">
      <c r="A241" s="2" t="s">
        <v>57</v>
      </c>
      <c r="B241" s="4">
        <v>57</v>
      </c>
      <c r="C241" s="5">
        <v>3.14</v>
      </c>
      <c r="D241" s="4">
        <v>29</v>
      </c>
      <c r="E241" s="5">
        <v>3</v>
      </c>
      <c r="F241" s="4">
        <v>23</v>
      </c>
      <c r="G241" s="5">
        <v>2.77</v>
      </c>
      <c r="H241" s="4">
        <v>1</v>
      </c>
    </row>
    <row r="242" spans="1:8" x14ac:dyDescent="0.2">
      <c r="A242" s="1" t="s">
        <v>15</v>
      </c>
      <c r="B242" s="4">
        <v>863</v>
      </c>
      <c r="C242" s="5">
        <v>99.990000000000009</v>
      </c>
      <c r="D242" s="4">
        <v>554</v>
      </c>
      <c r="E242" s="5">
        <v>100.01</v>
      </c>
      <c r="F242" s="4">
        <v>301</v>
      </c>
      <c r="G242" s="5">
        <v>99.989999999999981</v>
      </c>
      <c r="H242" s="4">
        <v>0</v>
      </c>
    </row>
    <row r="243" spans="1:8" x14ac:dyDescent="0.2">
      <c r="A243" s="2" t="s">
        <v>43</v>
      </c>
      <c r="B243" s="4">
        <v>0</v>
      </c>
      <c r="C243" s="5">
        <v>0</v>
      </c>
      <c r="D243" s="4">
        <v>0</v>
      </c>
      <c r="E243" s="5">
        <v>0</v>
      </c>
      <c r="F243" s="4">
        <v>0</v>
      </c>
      <c r="G243" s="5">
        <v>0</v>
      </c>
      <c r="H243" s="4">
        <v>0</v>
      </c>
    </row>
    <row r="244" spans="1:8" x14ac:dyDescent="0.2">
      <c r="A244" s="2" t="s">
        <v>44</v>
      </c>
      <c r="B244" s="4">
        <v>215</v>
      </c>
      <c r="C244" s="5">
        <v>24.91</v>
      </c>
      <c r="D244" s="4">
        <v>131</v>
      </c>
      <c r="E244" s="5">
        <v>23.65</v>
      </c>
      <c r="F244" s="4">
        <v>84</v>
      </c>
      <c r="G244" s="5">
        <v>27.91</v>
      </c>
      <c r="H244" s="4">
        <v>0</v>
      </c>
    </row>
    <row r="245" spans="1:8" x14ac:dyDescent="0.2">
      <c r="A245" s="2" t="s">
        <v>45</v>
      </c>
      <c r="B245" s="4">
        <v>229</v>
      </c>
      <c r="C245" s="5">
        <v>26.54</v>
      </c>
      <c r="D245" s="4">
        <v>129</v>
      </c>
      <c r="E245" s="5">
        <v>23.29</v>
      </c>
      <c r="F245" s="4">
        <v>100</v>
      </c>
      <c r="G245" s="5">
        <v>33.22</v>
      </c>
      <c r="H245" s="4">
        <v>0</v>
      </c>
    </row>
    <row r="246" spans="1:8" x14ac:dyDescent="0.2">
      <c r="A246" s="2" t="s">
        <v>46</v>
      </c>
      <c r="B246" s="4">
        <v>1</v>
      </c>
      <c r="C246" s="5">
        <v>0.12</v>
      </c>
      <c r="D246" s="4">
        <v>1</v>
      </c>
      <c r="E246" s="5">
        <v>0.18</v>
      </c>
      <c r="F246" s="4">
        <v>0</v>
      </c>
      <c r="G246" s="5">
        <v>0</v>
      </c>
      <c r="H246" s="4">
        <v>0</v>
      </c>
    </row>
    <row r="247" spans="1:8" x14ac:dyDescent="0.2">
      <c r="A247" s="2" t="s">
        <v>47</v>
      </c>
      <c r="B247" s="4">
        <v>4</v>
      </c>
      <c r="C247" s="5">
        <v>0.46</v>
      </c>
      <c r="D247" s="4">
        <v>2</v>
      </c>
      <c r="E247" s="5">
        <v>0.36</v>
      </c>
      <c r="F247" s="4">
        <v>2</v>
      </c>
      <c r="G247" s="5">
        <v>0.66</v>
      </c>
      <c r="H247" s="4">
        <v>0</v>
      </c>
    </row>
    <row r="248" spans="1:8" x14ac:dyDescent="0.2">
      <c r="A248" s="2" t="s">
        <v>48</v>
      </c>
      <c r="B248" s="4">
        <v>14</v>
      </c>
      <c r="C248" s="5">
        <v>1.62</v>
      </c>
      <c r="D248" s="4">
        <v>11</v>
      </c>
      <c r="E248" s="5">
        <v>1.99</v>
      </c>
      <c r="F248" s="4">
        <v>3</v>
      </c>
      <c r="G248" s="5">
        <v>1</v>
      </c>
      <c r="H248" s="4">
        <v>0</v>
      </c>
    </row>
    <row r="249" spans="1:8" x14ac:dyDescent="0.2">
      <c r="A249" s="2" t="s">
        <v>49</v>
      </c>
      <c r="B249" s="4">
        <v>159</v>
      </c>
      <c r="C249" s="5">
        <v>18.420000000000002</v>
      </c>
      <c r="D249" s="4">
        <v>103</v>
      </c>
      <c r="E249" s="5">
        <v>18.59</v>
      </c>
      <c r="F249" s="4">
        <v>56</v>
      </c>
      <c r="G249" s="5">
        <v>18.600000000000001</v>
      </c>
      <c r="H249" s="4">
        <v>0</v>
      </c>
    </row>
    <row r="250" spans="1:8" x14ac:dyDescent="0.2">
      <c r="A250" s="2" t="s">
        <v>50</v>
      </c>
      <c r="B250" s="4">
        <v>2</v>
      </c>
      <c r="C250" s="5">
        <v>0.23</v>
      </c>
      <c r="D250" s="4">
        <v>1</v>
      </c>
      <c r="E250" s="5">
        <v>0.18</v>
      </c>
      <c r="F250" s="4">
        <v>1</v>
      </c>
      <c r="G250" s="5">
        <v>0.33</v>
      </c>
      <c r="H250" s="4">
        <v>0</v>
      </c>
    </row>
    <row r="251" spans="1:8" x14ac:dyDescent="0.2">
      <c r="A251" s="2" t="s">
        <v>51</v>
      </c>
      <c r="B251" s="4">
        <v>14</v>
      </c>
      <c r="C251" s="5">
        <v>1.62</v>
      </c>
      <c r="D251" s="4">
        <v>2</v>
      </c>
      <c r="E251" s="5">
        <v>0.36</v>
      </c>
      <c r="F251" s="4">
        <v>12</v>
      </c>
      <c r="G251" s="5">
        <v>3.99</v>
      </c>
      <c r="H251" s="4">
        <v>0</v>
      </c>
    </row>
    <row r="252" spans="1:8" x14ac:dyDescent="0.2">
      <c r="A252" s="2" t="s">
        <v>52</v>
      </c>
      <c r="B252" s="4">
        <v>29</v>
      </c>
      <c r="C252" s="5">
        <v>3.36</v>
      </c>
      <c r="D252" s="4">
        <v>18</v>
      </c>
      <c r="E252" s="5">
        <v>3.25</v>
      </c>
      <c r="F252" s="4">
        <v>11</v>
      </c>
      <c r="G252" s="5">
        <v>3.65</v>
      </c>
      <c r="H252" s="4">
        <v>0</v>
      </c>
    </row>
    <row r="253" spans="1:8" x14ac:dyDescent="0.2">
      <c r="A253" s="2" t="s">
        <v>53</v>
      </c>
      <c r="B253" s="4">
        <v>53</v>
      </c>
      <c r="C253" s="5">
        <v>6.14</v>
      </c>
      <c r="D253" s="4">
        <v>49</v>
      </c>
      <c r="E253" s="5">
        <v>8.84</v>
      </c>
      <c r="F253" s="4">
        <v>4</v>
      </c>
      <c r="G253" s="5">
        <v>1.33</v>
      </c>
      <c r="H253" s="4">
        <v>0</v>
      </c>
    </row>
    <row r="254" spans="1:8" x14ac:dyDescent="0.2">
      <c r="A254" s="2" t="s">
        <v>54</v>
      </c>
      <c r="B254" s="4">
        <v>71</v>
      </c>
      <c r="C254" s="5">
        <v>8.23</v>
      </c>
      <c r="D254" s="4">
        <v>57</v>
      </c>
      <c r="E254" s="5">
        <v>10.29</v>
      </c>
      <c r="F254" s="4">
        <v>14</v>
      </c>
      <c r="G254" s="5">
        <v>4.6500000000000004</v>
      </c>
      <c r="H254" s="4">
        <v>0</v>
      </c>
    </row>
    <row r="255" spans="1:8" x14ac:dyDescent="0.2">
      <c r="A255" s="2" t="s">
        <v>55</v>
      </c>
      <c r="B255" s="4">
        <v>27</v>
      </c>
      <c r="C255" s="5">
        <v>3.13</v>
      </c>
      <c r="D255" s="4">
        <v>20</v>
      </c>
      <c r="E255" s="5">
        <v>3.61</v>
      </c>
      <c r="F255" s="4">
        <v>4</v>
      </c>
      <c r="G255" s="5">
        <v>1.33</v>
      </c>
      <c r="H255" s="4">
        <v>0</v>
      </c>
    </row>
    <row r="256" spans="1:8" x14ac:dyDescent="0.2">
      <c r="A256" s="2" t="s">
        <v>56</v>
      </c>
      <c r="B256" s="4">
        <v>21</v>
      </c>
      <c r="C256" s="5">
        <v>2.4300000000000002</v>
      </c>
      <c r="D256" s="4">
        <v>17</v>
      </c>
      <c r="E256" s="5">
        <v>3.07</v>
      </c>
      <c r="F256" s="4">
        <v>2</v>
      </c>
      <c r="G256" s="5">
        <v>0.66</v>
      </c>
      <c r="H256" s="4">
        <v>0</v>
      </c>
    </row>
    <row r="257" spans="1:8" x14ac:dyDescent="0.2">
      <c r="A257" s="2" t="s">
        <v>57</v>
      </c>
      <c r="B257" s="4">
        <v>24</v>
      </c>
      <c r="C257" s="5">
        <v>2.78</v>
      </c>
      <c r="D257" s="4">
        <v>13</v>
      </c>
      <c r="E257" s="5">
        <v>2.35</v>
      </c>
      <c r="F257" s="4">
        <v>8</v>
      </c>
      <c r="G257" s="5">
        <v>2.66</v>
      </c>
      <c r="H257" s="4">
        <v>0</v>
      </c>
    </row>
    <row r="258" spans="1:8" x14ac:dyDescent="0.2">
      <c r="A258" s="1" t="s">
        <v>16</v>
      </c>
      <c r="B258" s="4">
        <v>1034</v>
      </c>
      <c r="C258" s="5">
        <v>100.00999999999999</v>
      </c>
      <c r="D258" s="4">
        <v>521</v>
      </c>
      <c r="E258" s="5">
        <v>100</v>
      </c>
      <c r="F258" s="4">
        <v>512</v>
      </c>
      <c r="G258" s="5">
        <v>100.00000000000001</v>
      </c>
      <c r="H258" s="4">
        <v>1</v>
      </c>
    </row>
    <row r="259" spans="1:8" x14ac:dyDescent="0.2">
      <c r="A259" s="2" t="s">
        <v>43</v>
      </c>
      <c r="B259" s="4">
        <v>0</v>
      </c>
      <c r="C259" s="5">
        <v>0</v>
      </c>
      <c r="D259" s="4">
        <v>0</v>
      </c>
      <c r="E259" s="5">
        <v>0</v>
      </c>
      <c r="F259" s="4">
        <v>0</v>
      </c>
      <c r="G259" s="5">
        <v>0</v>
      </c>
      <c r="H259" s="4">
        <v>0</v>
      </c>
    </row>
    <row r="260" spans="1:8" x14ac:dyDescent="0.2">
      <c r="A260" s="2" t="s">
        <v>44</v>
      </c>
      <c r="B260" s="4">
        <v>145</v>
      </c>
      <c r="C260" s="5">
        <v>14.02</v>
      </c>
      <c r="D260" s="4">
        <v>36</v>
      </c>
      <c r="E260" s="5">
        <v>6.91</v>
      </c>
      <c r="F260" s="4">
        <v>109</v>
      </c>
      <c r="G260" s="5">
        <v>21.29</v>
      </c>
      <c r="H260" s="4">
        <v>0</v>
      </c>
    </row>
    <row r="261" spans="1:8" x14ac:dyDescent="0.2">
      <c r="A261" s="2" t="s">
        <v>45</v>
      </c>
      <c r="B261" s="4">
        <v>129</v>
      </c>
      <c r="C261" s="5">
        <v>12.48</v>
      </c>
      <c r="D261" s="4">
        <v>50</v>
      </c>
      <c r="E261" s="5">
        <v>9.6</v>
      </c>
      <c r="F261" s="4">
        <v>79</v>
      </c>
      <c r="G261" s="5">
        <v>15.43</v>
      </c>
      <c r="H261" s="4">
        <v>0</v>
      </c>
    </row>
    <row r="262" spans="1:8" x14ac:dyDescent="0.2">
      <c r="A262" s="2" t="s">
        <v>46</v>
      </c>
      <c r="B262" s="4">
        <v>11</v>
      </c>
      <c r="C262" s="5">
        <v>1.06</v>
      </c>
      <c r="D262" s="4">
        <v>1</v>
      </c>
      <c r="E262" s="5">
        <v>0.19</v>
      </c>
      <c r="F262" s="4">
        <v>10</v>
      </c>
      <c r="G262" s="5">
        <v>1.95</v>
      </c>
      <c r="H262" s="4">
        <v>0</v>
      </c>
    </row>
    <row r="263" spans="1:8" x14ac:dyDescent="0.2">
      <c r="A263" s="2" t="s">
        <v>47</v>
      </c>
      <c r="B263" s="4">
        <v>4</v>
      </c>
      <c r="C263" s="5">
        <v>0.39</v>
      </c>
      <c r="D263" s="4">
        <v>0</v>
      </c>
      <c r="E263" s="5">
        <v>0</v>
      </c>
      <c r="F263" s="4">
        <v>4</v>
      </c>
      <c r="G263" s="5">
        <v>0.78</v>
      </c>
      <c r="H263" s="4">
        <v>0</v>
      </c>
    </row>
    <row r="264" spans="1:8" x14ac:dyDescent="0.2">
      <c r="A264" s="2" t="s">
        <v>48</v>
      </c>
      <c r="B264" s="4">
        <v>10</v>
      </c>
      <c r="C264" s="5">
        <v>0.97</v>
      </c>
      <c r="D264" s="4">
        <v>3</v>
      </c>
      <c r="E264" s="5">
        <v>0.57999999999999996</v>
      </c>
      <c r="F264" s="4">
        <v>7</v>
      </c>
      <c r="G264" s="5">
        <v>1.37</v>
      </c>
      <c r="H264" s="4">
        <v>0</v>
      </c>
    </row>
    <row r="265" spans="1:8" x14ac:dyDescent="0.2">
      <c r="A265" s="2" t="s">
        <v>49</v>
      </c>
      <c r="B265" s="4">
        <v>199</v>
      </c>
      <c r="C265" s="5">
        <v>19.25</v>
      </c>
      <c r="D265" s="4">
        <v>81</v>
      </c>
      <c r="E265" s="5">
        <v>15.55</v>
      </c>
      <c r="F265" s="4">
        <v>118</v>
      </c>
      <c r="G265" s="5">
        <v>23.05</v>
      </c>
      <c r="H265" s="4">
        <v>0</v>
      </c>
    </row>
    <row r="266" spans="1:8" x14ac:dyDescent="0.2">
      <c r="A266" s="2" t="s">
        <v>50</v>
      </c>
      <c r="B266" s="4">
        <v>8</v>
      </c>
      <c r="C266" s="5">
        <v>0.77</v>
      </c>
      <c r="D266" s="4">
        <v>1</v>
      </c>
      <c r="E266" s="5">
        <v>0.19</v>
      </c>
      <c r="F266" s="4">
        <v>7</v>
      </c>
      <c r="G266" s="5">
        <v>1.37</v>
      </c>
      <c r="H266" s="4">
        <v>0</v>
      </c>
    </row>
    <row r="267" spans="1:8" x14ac:dyDescent="0.2">
      <c r="A267" s="2" t="s">
        <v>51</v>
      </c>
      <c r="B267" s="4">
        <v>135</v>
      </c>
      <c r="C267" s="5">
        <v>13.06</v>
      </c>
      <c r="D267" s="4">
        <v>75</v>
      </c>
      <c r="E267" s="5">
        <v>14.4</v>
      </c>
      <c r="F267" s="4">
        <v>60</v>
      </c>
      <c r="G267" s="5">
        <v>11.72</v>
      </c>
      <c r="H267" s="4">
        <v>0</v>
      </c>
    </row>
    <row r="268" spans="1:8" x14ac:dyDescent="0.2">
      <c r="A268" s="2" t="s">
        <v>52</v>
      </c>
      <c r="B268" s="4">
        <v>56</v>
      </c>
      <c r="C268" s="5">
        <v>5.42</v>
      </c>
      <c r="D268" s="4">
        <v>26</v>
      </c>
      <c r="E268" s="5">
        <v>4.99</v>
      </c>
      <c r="F268" s="4">
        <v>30</v>
      </c>
      <c r="G268" s="5">
        <v>5.86</v>
      </c>
      <c r="H268" s="4">
        <v>0</v>
      </c>
    </row>
    <row r="269" spans="1:8" x14ac:dyDescent="0.2">
      <c r="A269" s="2" t="s">
        <v>53</v>
      </c>
      <c r="B269" s="4">
        <v>85</v>
      </c>
      <c r="C269" s="5">
        <v>8.2200000000000006</v>
      </c>
      <c r="D269" s="4">
        <v>71</v>
      </c>
      <c r="E269" s="5">
        <v>13.63</v>
      </c>
      <c r="F269" s="4">
        <v>14</v>
      </c>
      <c r="G269" s="5">
        <v>2.73</v>
      </c>
      <c r="H269" s="4">
        <v>0</v>
      </c>
    </row>
    <row r="270" spans="1:8" x14ac:dyDescent="0.2">
      <c r="A270" s="2" t="s">
        <v>54</v>
      </c>
      <c r="B270" s="4">
        <v>114</v>
      </c>
      <c r="C270" s="5">
        <v>11.03</v>
      </c>
      <c r="D270" s="4">
        <v>95</v>
      </c>
      <c r="E270" s="5">
        <v>18.23</v>
      </c>
      <c r="F270" s="4">
        <v>19</v>
      </c>
      <c r="G270" s="5">
        <v>3.71</v>
      </c>
      <c r="H270" s="4">
        <v>0</v>
      </c>
    </row>
    <row r="271" spans="1:8" x14ac:dyDescent="0.2">
      <c r="A271" s="2" t="s">
        <v>55</v>
      </c>
      <c r="B271" s="4">
        <v>42</v>
      </c>
      <c r="C271" s="5">
        <v>4.0599999999999996</v>
      </c>
      <c r="D271" s="4">
        <v>26</v>
      </c>
      <c r="E271" s="5">
        <v>4.99</v>
      </c>
      <c r="F271" s="4">
        <v>15</v>
      </c>
      <c r="G271" s="5">
        <v>2.93</v>
      </c>
      <c r="H271" s="4">
        <v>1</v>
      </c>
    </row>
    <row r="272" spans="1:8" x14ac:dyDescent="0.2">
      <c r="A272" s="2" t="s">
        <v>56</v>
      </c>
      <c r="B272" s="4">
        <v>51</v>
      </c>
      <c r="C272" s="5">
        <v>4.93</v>
      </c>
      <c r="D272" s="4">
        <v>38</v>
      </c>
      <c r="E272" s="5">
        <v>7.29</v>
      </c>
      <c r="F272" s="4">
        <v>13</v>
      </c>
      <c r="G272" s="5">
        <v>2.54</v>
      </c>
      <c r="H272" s="4">
        <v>0</v>
      </c>
    </row>
    <row r="273" spans="1:8" x14ac:dyDescent="0.2">
      <c r="A273" s="2" t="s">
        <v>57</v>
      </c>
      <c r="B273" s="4">
        <v>45</v>
      </c>
      <c r="C273" s="5">
        <v>4.3499999999999996</v>
      </c>
      <c r="D273" s="4">
        <v>18</v>
      </c>
      <c r="E273" s="5">
        <v>3.45</v>
      </c>
      <c r="F273" s="4">
        <v>27</v>
      </c>
      <c r="G273" s="5">
        <v>5.27</v>
      </c>
      <c r="H273" s="4">
        <v>0</v>
      </c>
    </row>
    <row r="274" spans="1:8" x14ac:dyDescent="0.2">
      <c r="A274" s="1" t="s">
        <v>17</v>
      </c>
      <c r="B274" s="4">
        <v>908</v>
      </c>
      <c r="C274" s="5">
        <v>100.00000000000001</v>
      </c>
      <c r="D274" s="4">
        <v>599</v>
      </c>
      <c r="E274" s="5">
        <v>100</v>
      </c>
      <c r="F274" s="4">
        <v>294</v>
      </c>
      <c r="G274" s="5">
        <v>99.990000000000009</v>
      </c>
      <c r="H274" s="4">
        <v>1</v>
      </c>
    </row>
    <row r="275" spans="1:8" x14ac:dyDescent="0.2">
      <c r="A275" s="2" t="s">
        <v>43</v>
      </c>
      <c r="B275" s="4">
        <v>0</v>
      </c>
      <c r="C275" s="5">
        <v>0</v>
      </c>
      <c r="D275" s="4">
        <v>0</v>
      </c>
      <c r="E275" s="5">
        <v>0</v>
      </c>
      <c r="F275" s="4">
        <v>0</v>
      </c>
      <c r="G275" s="5">
        <v>0</v>
      </c>
      <c r="H275" s="4">
        <v>0</v>
      </c>
    </row>
    <row r="276" spans="1:8" x14ac:dyDescent="0.2">
      <c r="A276" s="2" t="s">
        <v>44</v>
      </c>
      <c r="B276" s="4">
        <v>133</v>
      </c>
      <c r="C276" s="5">
        <v>14.65</v>
      </c>
      <c r="D276" s="4">
        <v>62</v>
      </c>
      <c r="E276" s="5">
        <v>10.35</v>
      </c>
      <c r="F276" s="4">
        <v>71</v>
      </c>
      <c r="G276" s="5">
        <v>24.15</v>
      </c>
      <c r="H276" s="4">
        <v>0</v>
      </c>
    </row>
    <row r="277" spans="1:8" x14ac:dyDescent="0.2">
      <c r="A277" s="2" t="s">
        <v>45</v>
      </c>
      <c r="B277" s="4">
        <v>86</v>
      </c>
      <c r="C277" s="5">
        <v>9.4700000000000006</v>
      </c>
      <c r="D277" s="4">
        <v>38</v>
      </c>
      <c r="E277" s="5">
        <v>6.34</v>
      </c>
      <c r="F277" s="4">
        <v>48</v>
      </c>
      <c r="G277" s="5">
        <v>16.329999999999998</v>
      </c>
      <c r="H277" s="4">
        <v>0</v>
      </c>
    </row>
    <row r="278" spans="1:8" x14ac:dyDescent="0.2">
      <c r="A278" s="2" t="s">
        <v>46</v>
      </c>
      <c r="B278" s="4">
        <v>8</v>
      </c>
      <c r="C278" s="5">
        <v>0.88</v>
      </c>
      <c r="D278" s="4">
        <v>0</v>
      </c>
      <c r="E278" s="5">
        <v>0</v>
      </c>
      <c r="F278" s="4">
        <v>5</v>
      </c>
      <c r="G278" s="5">
        <v>1.7</v>
      </c>
      <c r="H278" s="4">
        <v>0</v>
      </c>
    </row>
    <row r="279" spans="1:8" x14ac:dyDescent="0.2">
      <c r="A279" s="2" t="s">
        <v>47</v>
      </c>
      <c r="B279" s="4">
        <v>3</v>
      </c>
      <c r="C279" s="5">
        <v>0.33</v>
      </c>
      <c r="D279" s="4">
        <v>0</v>
      </c>
      <c r="E279" s="5">
        <v>0</v>
      </c>
      <c r="F279" s="4">
        <v>3</v>
      </c>
      <c r="G279" s="5">
        <v>1.02</v>
      </c>
      <c r="H279" s="4">
        <v>0</v>
      </c>
    </row>
    <row r="280" spans="1:8" x14ac:dyDescent="0.2">
      <c r="A280" s="2" t="s">
        <v>48</v>
      </c>
      <c r="B280" s="4">
        <v>6</v>
      </c>
      <c r="C280" s="5">
        <v>0.66</v>
      </c>
      <c r="D280" s="4">
        <v>0</v>
      </c>
      <c r="E280" s="5">
        <v>0</v>
      </c>
      <c r="F280" s="4">
        <v>6</v>
      </c>
      <c r="G280" s="5">
        <v>2.04</v>
      </c>
      <c r="H280" s="4">
        <v>0</v>
      </c>
    </row>
    <row r="281" spans="1:8" x14ac:dyDescent="0.2">
      <c r="A281" s="2" t="s">
        <v>49</v>
      </c>
      <c r="B281" s="4">
        <v>207</v>
      </c>
      <c r="C281" s="5">
        <v>22.8</v>
      </c>
      <c r="D281" s="4">
        <v>132</v>
      </c>
      <c r="E281" s="5">
        <v>22.04</v>
      </c>
      <c r="F281" s="4">
        <v>75</v>
      </c>
      <c r="G281" s="5">
        <v>25.51</v>
      </c>
      <c r="H281" s="4">
        <v>0</v>
      </c>
    </row>
    <row r="282" spans="1:8" x14ac:dyDescent="0.2">
      <c r="A282" s="2" t="s">
        <v>50</v>
      </c>
      <c r="B282" s="4">
        <v>6</v>
      </c>
      <c r="C282" s="5">
        <v>0.66</v>
      </c>
      <c r="D282" s="4">
        <v>1</v>
      </c>
      <c r="E282" s="5">
        <v>0.17</v>
      </c>
      <c r="F282" s="4">
        <v>5</v>
      </c>
      <c r="G282" s="5">
        <v>1.7</v>
      </c>
      <c r="H282" s="4">
        <v>0</v>
      </c>
    </row>
    <row r="283" spans="1:8" x14ac:dyDescent="0.2">
      <c r="A283" s="2" t="s">
        <v>51</v>
      </c>
      <c r="B283" s="4">
        <v>20</v>
      </c>
      <c r="C283" s="5">
        <v>2.2000000000000002</v>
      </c>
      <c r="D283" s="4">
        <v>10</v>
      </c>
      <c r="E283" s="5">
        <v>1.67</v>
      </c>
      <c r="F283" s="4">
        <v>10</v>
      </c>
      <c r="G283" s="5">
        <v>3.4</v>
      </c>
      <c r="H283" s="4">
        <v>0</v>
      </c>
    </row>
    <row r="284" spans="1:8" x14ac:dyDescent="0.2">
      <c r="A284" s="2" t="s">
        <v>52</v>
      </c>
      <c r="B284" s="4">
        <v>42</v>
      </c>
      <c r="C284" s="5">
        <v>4.63</v>
      </c>
      <c r="D284" s="4">
        <v>19</v>
      </c>
      <c r="E284" s="5">
        <v>3.17</v>
      </c>
      <c r="F284" s="4">
        <v>22</v>
      </c>
      <c r="G284" s="5">
        <v>7.48</v>
      </c>
      <c r="H284" s="4">
        <v>0</v>
      </c>
    </row>
    <row r="285" spans="1:8" x14ac:dyDescent="0.2">
      <c r="A285" s="2" t="s">
        <v>53</v>
      </c>
      <c r="B285" s="4">
        <v>162</v>
      </c>
      <c r="C285" s="5">
        <v>17.84</v>
      </c>
      <c r="D285" s="4">
        <v>148</v>
      </c>
      <c r="E285" s="5">
        <v>24.71</v>
      </c>
      <c r="F285" s="4">
        <v>13</v>
      </c>
      <c r="G285" s="5">
        <v>4.42</v>
      </c>
      <c r="H285" s="4">
        <v>0</v>
      </c>
    </row>
    <row r="286" spans="1:8" x14ac:dyDescent="0.2">
      <c r="A286" s="2" t="s">
        <v>54</v>
      </c>
      <c r="B286" s="4">
        <v>110</v>
      </c>
      <c r="C286" s="5">
        <v>12.11</v>
      </c>
      <c r="D286" s="4">
        <v>95</v>
      </c>
      <c r="E286" s="5">
        <v>15.86</v>
      </c>
      <c r="F286" s="4">
        <v>15</v>
      </c>
      <c r="G286" s="5">
        <v>5.0999999999999996</v>
      </c>
      <c r="H286" s="4">
        <v>0</v>
      </c>
    </row>
    <row r="287" spans="1:8" x14ac:dyDescent="0.2">
      <c r="A287" s="2" t="s">
        <v>55</v>
      </c>
      <c r="B287" s="4">
        <v>53</v>
      </c>
      <c r="C287" s="5">
        <v>5.84</v>
      </c>
      <c r="D287" s="4">
        <v>44</v>
      </c>
      <c r="E287" s="5">
        <v>7.35</v>
      </c>
      <c r="F287" s="4">
        <v>5</v>
      </c>
      <c r="G287" s="5">
        <v>1.7</v>
      </c>
      <c r="H287" s="4">
        <v>0</v>
      </c>
    </row>
    <row r="288" spans="1:8" x14ac:dyDescent="0.2">
      <c r="A288" s="2" t="s">
        <v>56</v>
      </c>
      <c r="B288" s="4">
        <v>54</v>
      </c>
      <c r="C288" s="5">
        <v>5.95</v>
      </c>
      <c r="D288" s="4">
        <v>41</v>
      </c>
      <c r="E288" s="5">
        <v>6.84</v>
      </c>
      <c r="F288" s="4">
        <v>8</v>
      </c>
      <c r="G288" s="5">
        <v>2.72</v>
      </c>
      <c r="H288" s="4">
        <v>0</v>
      </c>
    </row>
    <row r="289" spans="1:8" x14ac:dyDescent="0.2">
      <c r="A289" s="2" t="s">
        <v>57</v>
      </c>
      <c r="B289" s="4">
        <v>18</v>
      </c>
      <c r="C289" s="5">
        <v>1.98</v>
      </c>
      <c r="D289" s="4">
        <v>9</v>
      </c>
      <c r="E289" s="5">
        <v>1.5</v>
      </c>
      <c r="F289" s="4">
        <v>8</v>
      </c>
      <c r="G289" s="5">
        <v>2.72</v>
      </c>
      <c r="H289" s="4">
        <v>1</v>
      </c>
    </row>
    <row r="290" spans="1:8" x14ac:dyDescent="0.2">
      <c r="A290" s="1" t="s">
        <v>18</v>
      </c>
      <c r="B290" s="4">
        <v>695</v>
      </c>
      <c r="C290" s="5">
        <v>99.99</v>
      </c>
      <c r="D290" s="4">
        <v>333</v>
      </c>
      <c r="E290" s="5">
        <v>100.01</v>
      </c>
      <c r="F290" s="4">
        <v>350</v>
      </c>
      <c r="G290" s="5">
        <v>100.02000000000002</v>
      </c>
      <c r="H290" s="4">
        <v>2</v>
      </c>
    </row>
    <row r="291" spans="1:8" x14ac:dyDescent="0.2">
      <c r="A291" s="2" t="s">
        <v>43</v>
      </c>
      <c r="B291" s="4">
        <v>0</v>
      </c>
      <c r="C291" s="5">
        <v>0</v>
      </c>
      <c r="D291" s="4">
        <v>0</v>
      </c>
      <c r="E291" s="5">
        <v>0</v>
      </c>
      <c r="F291" s="4">
        <v>0</v>
      </c>
      <c r="G291" s="5">
        <v>0</v>
      </c>
      <c r="H291" s="4">
        <v>0</v>
      </c>
    </row>
    <row r="292" spans="1:8" x14ac:dyDescent="0.2">
      <c r="A292" s="2" t="s">
        <v>44</v>
      </c>
      <c r="B292" s="4">
        <v>156</v>
      </c>
      <c r="C292" s="5">
        <v>22.45</v>
      </c>
      <c r="D292" s="4">
        <v>50</v>
      </c>
      <c r="E292" s="5">
        <v>15.02</v>
      </c>
      <c r="F292" s="4">
        <v>106</v>
      </c>
      <c r="G292" s="5">
        <v>30.29</v>
      </c>
      <c r="H292" s="4">
        <v>0</v>
      </c>
    </row>
    <row r="293" spans="1:8" x14ac:dyDescent="0.2">
      <c r="A293" s="2" t="s">
        <v>45</v>
      </c>
      <c r="B293" s="4">
        <v>89</v>
      </c>
      <c r="C293" s="5">
        <v>12.81</v>
      </c>
      <c r="D293" s="4">
        <v>31</v>
      </c>
      <c r="E293" s="5">
        <v>9.31</v>
      </c>
      <c r="F293" s="4">
        <v>58</v>
      </c>
      <c r="G293" s="5">
        <v>16.57</v>
      </c>
      <c r="H293" s="4">
        <v>0</v>
      </c>
    </row>
    <row r="294" spans="1:8" x14ac:dyDescent="0.2">
      <c r="A294" s="2" t="s">
        <v>46</v>
      </c>
      <c r="B294" s="4">
        <v>0</v>
      </c>
      <c r="C294" s="5">
        <v>0</v>
      </c>
      <c r="D294" s="4">
        <v>0</v>
      </c>
      <c r="E294" s="5">
        <v>0</v>
      </c>
      <c r="F294" s="4">
        <v>0</v>
      </c>
      <c r="G294" s="5">
        <v>0</v>
      </c>
      <c r="H294" s="4">
        <v>0</v>
      </c>
    </row>
    <row r="295" spans="1:8" x14ac:dyDescent="0.2">
      <c r="A295" s="2" t="s">
        <v>47</v>
      </c>
      <c r="B295" s="4">
        <v>6</v>
      </c>
      <c r="C295" s="5">
        <v>0.86</v>
      </c>
      <c r="D295" s="4">
        <v>1</v>
      </c>
      <c r="E295" s="5">
        <v>0.3</v>
      </c>
      <c r="F295" s="4">
        <v>5</v>
      </c>
      <c r="G295" s="5">
        <v>1.43</v>
      </c>
      <c r="H295" s="4">
        <v>0</v>
      </c>
    </row>
    <row r="296" spans="1:8" x14ac:dyDescent="0.2">
      <c r="A296" s="2" t="s">
        <v>48</v>
      </c>
      <c r="B296" s="4">
        <v>4</v>
      </c>
      <c r="C296" s="5">
        <v>0.57999999999999996</v>
      </c>
      <c r="D296" s="4">
        <v>1</v>
      </c>
      <c r="E296" s="5">
        <v>0.3</v>
      </c>
      <c r="F296" s="4">
        <v>1</v>
      </c>
      <c r="G296" s="5">
        <v>0.28999999999999998</v>
      </c>
      <c r="H296" s="4">
        <v>2</v>
      </c>
    </row>
    <row r="297" spans="1:8" x14ac:dyDescent="0.2">
      <c r="A297" s="2" t="s">
        <v>49</v>
      </c>
      <c r="B297" s="4">
        <v>140</v>
      </c>
      <c r="C297" s="5">
        <v>20.14</v>
      </c>
      <c r="D297" s="4">
        <v>52</v>
      </c>
      <c r="E297" s="5">
        <v>15.62</v>
      </c>
      <c r="F297" s="4">
        <v>88</v>
      </c>
      <c r="G297" s="5">
        <v>25.14</v>
      </c>
      <c r="H297" s="4">
        <v>0</v>
      </c>
    </row>
    <row r="298" spans="1:8" x14ac:dyDescent="0.2">
      <c r="A298" s="2" t="s">
        <v>50</v>
      </c>
      <c r="B298" s="4">
        <v>3</v>
      </c>
      <c r="C298" s="5">
        <v>0.43</v>
      </c>
      <c r="D298" s="4">
        <v>0</v>
      </c>
      <c r="E298" s="5">
        <v>0</v>
      </c>
      <c r="F298" s="4">
        <v>3</v>
      </c>
      <c r="G298" s="5">
        <v>0.86</v>
      </c>
      <c r="H298" s="4">
        <v>0</v>
      </c>
    </row>
    <row r="299" spans="1:8" x14ac:dyDescent="0.2">
      <c r="A299" s="2" t="s">
        <v>51</v>
      </c>
      <c r="B299" s="4">
        <v>29</v>
      </c>
      <c r="C299" s="5">
        <v>4.17</v>
      </c>
      <c r="D299" s="4">
        <v>14</v>
      </c>
      <c r="E299" s="5">
        <v>4.2</v>
      </c>
      <c r="F299" s="4">
        <v>15</v>
      </c>
      <c r="G299" s="5">
        <v>4.29</v>
      </c>
      <c r="H299" s="4">
        <v>0</v>
      </c>
    </row>
    <row r="300" spans="1:8" x14ac:dyDescent="0.2">
      <c r="A300" s="2" t="s">
        <v>52</v>
      </c>
      <c r="B300" s="4">
        <v>19</v>
      </c>
      <c r="C300" s="5">
        <v>2.73</v>
      </c>
      <c r="D300" s="4">
        <v>4</v>
      </c>
      <c r="E300" s="5">
        <v>1.2</v>
      </c>
      <c r="F300" s="4">
        <v>15</v>
      </c>
      <c r="G300" s="5">
        <v>4.29</v>
      </c>
      <c r="H300" s="4">
        <v>0</v>
      </c>
    </row>
    <row r="301" spans="1:8" x14ac:dyDescent="0.2">
      <c r="A301" s="2" t="s">
        <v>53</v>
      </c>
      <c r="B301" s="4">
        <v>83</v>
      </c>
      <c r="C301" s="5">
        <v>11.94</v>
      </c>
      <c r="D301" s="4">
        <v>67</v>
      </c>
      <c r="E301" s="5">
        <v>20.12</v>
      </c>
      <c r="F301" s="4">
        <v>16</v>
      </c>
      <c r="G301" s="5">
        <v>4.57</v>
      </c>
      <c r="H301" s="4">
        <v>0</v>
      </c>
    </row>
    <row r="302" spans="1:8" x14ac:dyDescent="0.2">
      <c r="A302" s="2" t="s">
        <v>54</v>
      </c>
      <c r="B302" s="4">
        <v>73</v>
      </c>
      <c r="C302" s="5">
        <v>10.5</v>
      </c>
      <c r="D302" s="4">
        <v>52</v>
      </c>
      <c r="E302" s="5">
        <v>15.62</v>
      </c>
      <c r="F302" s="4">
        <v>20</v>
      </c>
      <c r="G302" s="5">
        <v>5.71</v>
      </c>
      <c r="H302" s="4">
        <v>0</v>
      </c>
    </row>
    <row r="303" spans="1:8" x14ac:dyDescent="0.2">
      <c r="A303" s="2" t="s">
        <v>55</v>
      </c>
      <c r="B303" s="4">
        <v>21</v>
      </c>
      <c r="C303" s="5">
        <v>3.02</v>
      </c>
      <c r="D303" s="4">
        <v>16</v>
      </c>
      <c r="E303" s="5">
        <v>4.8</v>
      </c>
      <c r="F303" s="4">
        <v>1</v>
      </c>
      <c r="G303" s="5">
        <v>0.28999999999999998</v>
      </c>
      <c r="H303" s="4">
        <v>0</v>
      </c>
    </row>
    <row r="304" spans="1:8" x14ac:dyDescent="0.2">
      <c r="A304" s="2" t="s">
        <v>56</v>
      </c>
      <c r="B304" s="4">
        <v>39</v>
      </c>
      <c r="C304" s="5">
        <v>5.61</v>
      </c>
      <c r="D304" s="4">
        <v>26</v>
      </c>
      <c r="E304" s="5">
        <v>7.81</v>
      </c>
      <c r="F304" s="4">
        <v>10</v>
      </c>
      <c r="G304" s="5">
        <v>2.86</v>
      </c>
      <c r="H304" s="4">
        <v>0</v>
      </c>
    </row>
    <row r="305" spans="1:8" x14ac:dyDescent="0.2">
      <c r="A305" s="2" t="s">
        <v>57</v>
      </c>
      <c r="B305" s="4">
        <v>33</v>
      </c>
      <c r="C305" s="5">
        <v>4.75</v>
      </c>
      <c r="D305" s="4">
        <v>19</v>
      </c>
      <c r="E305" s="5">
        <v>5.71</v>
      </c>
      <c r="F305" s="4">
        <v>12</v>
      </c>
      <c r="G305" s="5">
        <v>3.43</v>
      </c>
      <c r="H305" s="4">
        <v>0</v>
      </c>
    </row>
    <row r="306" spans="1:8" x14ac:dyDescent="0.2">
      <c r="A306" s="1" t="s">
        <v>19</v>
      </c>
      <c r="B306" s="4">
        <v>1800</v>
      </c>
      <c r="C306" s="5">
        <v>99.99</v>
      </c>
      <c r="D306" s="4">
        <v>1235</v>
      </c>
      <c r="E306" s="5">
        <v>99.990000000000009</v>
      </c>
      <c r="F306" s="4">
        <v>527</v>
      </c>
      <c r="G306" s="5">
        <v>100.02</v>
      </c>
      <c r="H306" s="4">
        <v>7</v>
      </c>
    </row>
    <row r="307" spans="1:8" x14ac:dyDescent="0.2">
      <c r="A307" s="2" t="s">
        <v>43</v>
      </c>
      <c r="B307" s="4">
        <v>1</v>
      </c>
      <c r="C307" s="5">
        <v>0.06</v>
      </c>
      <c r="D307" s="4">
        <v>0</v>
      </c>
      <c r="E307" s="5">
        <v>0</v>
      </c>
      <c r="F307" s="4">
        <v>1</v>
      </c>
      <c r="G307" s="5">
        <v>0.19</v>
      </c>
      <c r="H307" s="4">
        <v>0</v>
      </c>
    </row>
    <row r="308" spans="1:8" x14ac:dyDescent="0.2">
      <c r="A308" s="2" t="s">
        <v>44</v>
      </c>
      <c r="B308" s="4">
        <v>317</v>
      </c>
      <c r="C308" s="5">
        <v>17.61</v>
      </c>
      <c r="D308" s="4">
        <v>183</v>
      </c>
      <c r="E308" s="5">
        <v>14.82</v>
      </c>
      <c r="F308" s="4">
        <v>134</v>
      </c>
      <c r="G308" s="5">
        <v>25.43</v>
      </c>
      <c r="H308" s="4">
        <v>0</v>
      </c>
    </row>
    <row r="309" spans="1:8" x14ac:dyDescent="0.2">
      <c r="A309" s="2" t="s">
        <v>45</v>
      </c>
      <c r="B309" s="4">
        <v>227</v>
      </c>
      <c r="C309" s="5">
        <v>12.61</v>
      </c>
      <c r="D309" s="4">
        <v>132</v>
      </c>
      <c r="E309" s="5">
        <v>10.69</v>
      </c>
      <c r="F309" s="4">
        <v>95</v>
      </c>
      <c r="G309" s="5">
        <v>18.03</v>
      </c>
      <c r="H309" s="4">
        <v>0</v>
      </c>
    </row>
    <row r="310" spans="1:8" x14ac:dyDescent="0.2">
      <c r="A310" s="2" t="s">
        <v>46</v>
      </c>
      <c r="B310" s="4">
        <v>1</v>
      </c>
      <c r="C310" s="5">
        <v>0.06</v>
      </c>
      <c r="D310" s="4">
        <v>0</v>
      </c>
      <c r="E310" s="5">
        <v>0</v>
      </c>
      <c r="F310" s="4">
        <v>1</v>
      </c>
      <c r="G310" s="5">
        <v>0.19</v>
      </c>
      <c r="H310" s="4">
        <v>0</v>
      </c>
    </row>
    <row r="311" spans="1:8" x14ac:dyDescent="0.2">
      <c r="A311" s="2" t="s">
        <v>47</v>
      </c>
      <c r="B311" s="4">
        <v>5</v>
      </c>
      <c r="C311" s="5">
        <v>0.28000000000000003</v>
      </c>
      <c r="D311" s="4">
        <v>0</v>
      </c>
      <c r="E311" s="5">
        <v>0</v>
      </c>
      <c r="F311" s="4">
        <v>5</v>
      </c>
      <c r="G311" s="5">
        <v>0.95</v>
      </c>
      <c r="H311" s="4">
        <v>0</v>
      </c>
    </row>
    <row r="312" spans="1:8" x14ac:dyDescent="0.2">
      <c r="A312" s="2" t="s">
        <v>48</v>
      </c>
      <c r="B312" s="4">
        <v>11</v>
      </c>
      <c r="C312" s="5">
        <v>0.61</v>
      </c>
      <c r="D312" s="4">
        <v>2</v>
      </c>
      <c r="E312" s="5">
        <v>0.16</v>
      </c>
      <c r="F312" s="4">
        <v>8</v>
      </c>
      <c r="G312" s="5">
        <v>1.52</v>
      </c>
      <c r="H312" s="4">
        <v>1</v>
      </c>
    </row>
    <row r="313" spans="1:8" x14ac:dyDescent="0.2">
      <c r="A313" s="2" t="s">
        <v>49</v>
      </c>
      <c r="B313" s="4">
        <v>377</v>
      </c>
      <c r="C313" s="5">
        <v>20.94</v>
      </c>
      <c r="D313" s="4">
        <v>240</v>
      </c>
      <c r="E313" s="5">
        <v>19.43</v>
      </c>
      <c r="F313" s="4">
        <v>135</v>
      </c>
      <c r="G313" s="5">
        <v>25.62</v>
      </c>
      <c r="H313" s="4">
        <v>2</v>
      </c>
    </row>
    <row r="314" spans="1:8" x14ac:dyDescent="0.2">
      <c r="A314" s="2" t="s">
        <v>50</v>
      </c>
      <c r="B314" s="4">
        <v>6</v>
      </c>
      <c r="C314" s="5">
        <v>0.33</v>
      </c>
      <c r="D314" s="4">
        <v>2</v>
      </c>
      <c r="E314" s="5">
        <v>0.16</v>
      </c>
      <c r="F314" s="4">
        <v>3</v>
      </c>
      <c r="G314" s="5">
        <v>0.56999999999999995</v>
      </c>
      <c r="H314" s="4">
        <v>1</v>
      </c>
    </row>
    <row r="315" spans="1:8" x14ac:dyDescent="0.2">
      <c r="A315" s="2" t="s">
        <v>51</v>
      </c>
      <c r="B315" s="4">
        <v>46</v>
      </c>
      <c r="C315" s="5">
        <v>2.56</v>
      </c>
      <c r="D315" s="4">
        <v>22</v>
      </c>
      <c r="E315" s="5">
        <v>1.78</v>
      </c>
      <c r="F315" s="4">
        <v>24</v>
      </c>
      <c r="G315" s="5">
        <v>4.55</v>
      </c>
      <c r="H315" s="4">
        <v>0</v>
      </c>
    </row>
    <row r="316" spans="1:8" x14ac:dyDescent="0.2">
      <c r="A316" s="2" t="s">
        <v>52</v>
      </c>
      <c r="B316" s="4">
        <v>61</v>
      </c>
      <c r="C316" s="5">
        <v>3.39</v>
      </c>
      <c r="D316" s="4">
        <v>44</v>
      </c>
      <c r="E316" s="5">
        <v>3.56</v>
      </c>
      <c r="F316" s="4">
        <v>16</v>
      </c>
      <c r="G316" s="5">
        <v>3.04</v>
      </c>
      <c r="H316" s="4">
        <v>0</v>
      </c>
    </row>
    <row r="317" spans="1:8" x14ac:dyDescent="0.2">
      <c r="A317" s="2" t="s">
        <v>53</v>
      </c>
      <c r="B317" s="4">
        <v>353</v>
      </c>
      <c r="C317" s="5">
        <v>19.61</v>
      </c>
      <c r="D317" s="4">
        <v>313</v>
      </c>
      <c r="E317" s="5">
        <v>25.34</v>
      </c>
      <c r="F317" s="4">
        <v>37</v>
      </c>
      <c r="G317" s="5">
        <v>7.02</v>
      </c>
      <c r="H317" s="4">
        <v>3</v>
      </c>
    </row>
    <row r="318" spans="1:8" x14ac:dyDescent="0.2">
      <c r="A318" s="2" t="s">
        <v>54</v>
      </c>
      <c r="B318" s="4">
        <v>197</v>
      </c>
      <c r="C318" s="5">
        <v>10.94</v>
      </c>
      <c r="D318" s="4">
        <v>169</v>
      </c>
      <c r="E318" s="5">
        <v>13.68</v>
      </c>
      <c r="F318" s="4">
        <v>26</v>
      </c>
      <c r="G318" s="5">
        <v>4.93</v>
      </c>
      <c r="H318" s="4">
        <v>0</v>
      </c>
    </row>
    <row r="319" spans="1:8" x14ac:dyDescent="0.2">
      <c r="A319" s="2" t="s">
        <v>55</v>
      </c>
      <c r="B319" s="4">
        <v>80</v>
      </c>
      <c r="C319" s="5">
        <v>4.4400000000000004</v>
      </c>
      <c r="D319" s="4">
        <v>57</v>
      </c>
      <c r="E319" s="5">
        <v>4.62</v>
      </c>
      <c r="F319" s="4">
        <v>5</v>
      </c>
      <c r="G319" s="5">
        <v>0.95</v>
      </c>
      <c r="H319" s="4">
        <v>0</v>
      </c>
    </row>
    <row r="320" spans="1:8" x14ac:dyDescent="0.2">
      <c r="A320" s="2" t="s">
        <v>56</v>
      </c>
      <c r="B320" s="4">
        <v>71</v>
      </c>
      <c r="C320" s="5">
        <v>3.94</v>
      </c>
      <c r="D320" s="4">
        <v>49</v>
      </c>
      <c r="E320" s="5">
        <v>3.97</v>
      </c>
      <c r="F320" s="4">
        <v>17</v>
      </c>
      <c r="G320" s="5">
        <v>3.23</v>
      </c>
      <c r="H320" s="4">
        <v>0</v>
      </c>
    </row>
    <row r="321" spans="1:8" x14ac:dyDescent="0.2">
      <c r="A321" s="2" t="s">
        <v>57</v>
      </c>
      <c r="B321" s="4">
        <v>47</v>
      </c>
      <c r="C321" s="5">
        <v>2.61</v>
      </c>
      <c r="D321" s="4">
        <v>22</v>
      </c>
      <c r="E321" s="5">
        <v>1.78</v>
      </c>
      <c r="F321" s="4">
        <v>20</v>
      </c>
      <c r="G321" s="5">
        <v>3.8</v>
      </c>
      <c r="H321" s="4">
        <v>0</v>
      </c>
    </row>
    <row r="322" spans="1:8" x14ac:dyDescent="0.2">
      <c r="A322" s="1" t="s">
        <v>20</v>
      </c>
      <c r="B322" s="4">
        <v>1359</v>
      </c>
      <c r="C322" s="5">
        <v>100.01</v>
      </c>
      <c r="D322" s="4">
        <v>868</v>
      </c>
      <c r="E322" s="5">
        <v>100</v>
      </c>
      <c r="F322" s="4">
        <v>479</v>
      </c>
      <c r="G322" s="5">
        <v>100.00999999999999</v>
      </c>
      <c r="H322" s="4">
        <v>3</v>
      </c>
    </row>
    <row r="323" spans="1:8" x14ac:dyDescent="0.2">
      <c r="A323" s="2" t="s">
        <v>43</v>
      </c>
      <c r="B323" s="4">
        <v>1</v>
      </c>
      <c r="C323" s="5">
        <v>7.0000000000000007E-2</v>
      </c>
      <c r="D323" s="4">
        <v>0</v>
      </c>
      <c r="E323" s="5">
        <v>0</v>
      </c>
      <c r="F323" s="4">
        <v>1</v>
      </c>
      <c r="G323" s="5">
        <v>0.21</v>
      </c>
      <c r="H323" s="4">
        <v>0</v>
      </c>
    </row>
    <row r="324" spans="1:8" x14ac:dyDescent="0.2">
      <c r="A324" s="2" t="s">
        <v>44</v>
      </c>
      <c r="B324" s="4">
        <v>230</v>
      </c>
      <c r="C324" s="5">
        <v>16.920000000000002</v>
      </c>
      <c r="D324" s="4">
        <v>116</v>
      </c>
      <c r="E324" s="5">
        <v>13.36</v>
      </c>
      <c r="F324" s="4">
        <v>114</v>
      </c>
      <c r="G324" s="5">
        <v>23.8</v>
      </c>
      <c r="H324" s="4">
        <v>0</v>
      </c>
    </row>
    <row r="325" spans="1:8" x14ac:dyDescent="0.2">
      <c r="A325" s="2" t="s">
        <v>45</v>
      </c>
      <c r="B325" s="4">
        <v>127</v>
      </c>
      <c r="C325" s="5">
        <v>9.35</v>
      </c>
      <c r="D325" s="4">
        <v>66</v>
      </c>
      <c r="E325" s="5">
        <v>7.6</v>
      </c>
      <c r="F325" s="4">
        <v>60</v>
      </c>
      <c r="G325" s="5">
        <v>12.53</v>
      </c>
      <c r="H325" s="4">
        <v>1</v>
      </c>
    </row>
    <row r="326" spans="1:8" x14ac:dyDescent="0.2">
      <c r="A326" s="2" t="s">
        <v>46</v>
      </c>
      <c r="B326" s="4">
        <v>2</v>
      </c>
      <c r="C326" s="5">
        <v>0.15</v>
      </c>
      <c r="D326" s="4">
        <v>0</v>
      </c>
      <c r="E326" s="5">
        <v>0</v>
      </c>
      <c r="F326" s="4">
        <v>2</v>
      </c>
      <c r="G326" s="5">
        <v>0.42</v>
      </c>
      <c r="H326" s="4">
        <v>0</v>
      </c>
    </row>
    <row r="327" spans="1:8" x14ac:dyDescent="0.2">
      <c r="A327" s="2" t="s">
        <v>47</v>
      </c>
      <c r="B327" s="4">
        <v>10</v>
      </c>
      <c r="C327" s="5">
        <v>0.74</v>
      </c>
      <c r="D327" s="4">
        <v>2</v>
      </c>
      <c r="E327" s="5">
        <v>0.23</v>
      </c>
      <c r="F327" s="4">
        <v>8</v>
      </c>
      <c r="G327" s="5">
        <v>1.67</v>
      </c>
      <c r="H327" s="4">
        <v>0</v>
      </c>
    </row>
    <row r="328" spans="1:8" x14ac:dyDescent="0.2">
      <c r="A328" s="2" t="s">
        <v>48</v>
      </c>
      <c r="B328" s="4">
        <v>15</v>
      </c>
      <c r="C328" s="5">
        <v>1.1000000000000001</v>
      </c>
      <c r="D328" s="4">
        <v>5</v>
      </c>
      <c r="E328" s="5">
        <v>0.57999999999999996</v>
      </c>
      <c r="F328" s="4">
        <v>8</v>
      </c>
      <c r="G328" s="5">
        <v>1.67</v>
      </c>
      <c r="H328" s="4">
        <v>2</v>
      </c>
    </row>
    <row r="329" spans="1:8" x14ac:dyDescent="0.2">
      <c r="A329" s="2" t="s">
        <v>49</v>
      </c>
      <c r="B329" s="4">
        <v>303</v>
      </c>
      <c r="C329" s="5">
        <v>22.3</v>
      </c>
      <c r="D329" s="4">
        <v>159</v>
      </c>
      <c r="E329" s="5">
        <v>18.32</v>
      </c>
      <c r="F329" s="4">
        <v>144</v>
      </c>
      <c r="G329" s="5">
        <v>30.06</v>
      </c>
      <c r="H329" s="4">
        <v>0</v>
      </c>
    </row>
    <row r="330" spans="1:8" x14ac:dyDescent="0.2">
      <c r="A330" s="2" t="s">
        <v>50</v>
      </c>
      <c r="B330" s="4">
        <v>7</v>
      </c>
      <c r="C330" s="5">
        <v>0.52</v>
      </c>
      <c r="D330" s="4">
        <v>3</v>
      </c>
      <c r="E330" s="5">
        <v>0.35</v>
      </c>
      <c r="F330" s="4">
        <v>4</v>
      </c>
      <c r="G330" s="5">
        <v>0.84</v>
      </c>
      <c r="H330" s="4">
        <v>0</v>
      </c>
    </row>
    <row r="331" spans="1:8" x14ac:dyDescent="0.2">
      <c r="A331" s="2" t="s">
        <v>51</v>
      </c>
      <c r="B331" s="4">
        <v>70</v>
      </c>
      <c r="C331" s="5">
        <v>5.15</v>
      </c>
      <c r="D331" s="4">
        <v>51</v>
      </c>
      <c r="E331" s="5">
        <v>5.88</v>
      </c>
      <c r="F331" s="4">
        <v>19</v>
      </c>
      <c r="G331" s="5">
        <v>3.97</v>
      </c>
      <c r="H331" s="4">
        <v>0</v>
      </c>
    </row>
    <row r="332" spans="1:8" x14ac:dyDescent="0.2">
      <c r="A332" s="2" t="s">
        <v>52</v>
      </c>
      <c r="B332" s="4">
        <v>54</v>
      </c>
      <c r="C332" s="5">
        <v>3.97</v>
      </c>
      <c r="D332" s="4">
        <v>27</v>
      </c>
      <c r="E332" s="5">
        <v>3.11</v>
      </c>
      <c r="F332" s="4">
        <v>25</v>
      </c>
      <c r="G332" s="5">
        <v>5.22</v>
      </c>
      <c r="H332" s="4">
        <v>0</v>
      </c>
    </row>
    <row r="333" spans="1:8" x14ac:dyDescent="0.2">
      <c r="A333" s="2" t="s">
        <v>53</v>
      </c>
      <c r="B333" s="4">
        <v>215</v>
      </c>
      <c r="C333" s="5">
        <v>15.82</v>
      </c>
      <c r="D333" s="4">
        <v>188</v>
      </c>
      <c r="E333" s="5">
        <v>21.66</v>
      </c>
      <c r="F333" s="4">
        <v>27</v>
      </c>
      <c r="G333" s="5">
        <v>5.64</v>
      </c>
      <c r="H333" s="4">
        <v>0</v>
      </c>
    </row>
    <row r="334" spans="1:8" x14ac:dyDescent="0.2">
      <c r="A334" s="2" t="s">
        <v>54</v>
      </c>
      <c r="B334" s="4">
        <v>178</v>
      </c>
      <c r="C334" s="5">
        <v>13.1</v>
      </c>
      <c r="D334" s="4">
        <v>157</v>
      </c>
      <c r="E334" s="5">
        <v>18.09</v>
      </c>
      <c r="F334" s="4">
        <v>21</v>
      </c>
      <c r="G334" s="5">
        <v>4.38</v>
      </c>
      <c r="H334" s="4">
        <v>0</v>
      </c>
    </row>
    <row r="335" spans="1:8" x14ac:dyDescent="0.2">
      <c r="A335" s="2" t="s">
        <v>55</v>
      </c>
      <c r="B335" s="4">
        <v>50</v>
      </c>
      <c r="C335" s="5">
        <v>3.68</v>
      </c>
      <c r="D335" s="4">
        <v>41</v>
      </c>
      <c r="E335" s="5">
        <v>4.72</v>
      </c>
      <c r="F335" s="4">
        <v>5</v>
      </c>
      <c r="G335" s="5">
        <v>1.04</v>
      </c>
      <c r="H335" s="4">
        <v>0</v>
      </c>
    </row>
    <row r="336" spans="1:8" x14ac:dyDescent="0.2">
      <c r="A336" s="2" t="s">
        <v>56</v>
      </c>
      <c r="B336" s="4">
        <v>69</v>
      </c>
      <c r="C336" s="5">
        <v>5.08</v>
      </c>
      <c r="D336" s="4">
        <v>41</v>
      </c>
      <c r="E336" s="5">
        <v>4.72</v>
      </c>
      <c r="F336" s="4">
        <v>26</v>
      </c>
      <c r="G336" s="5">
        <v>5.43</v>
      </c>
      <c r="H336" s="4">
        <v>0</v>
      </c>
    </row>
    <row r="337" spans="1:8" x14ac:dyDescent="0.2">
      <c r="A337" s="2" t="s">
        <v>57</v>
      </c>
      <c r="B337" s="4">
        <v>28</v>
      </c>
      <c r="C337" s="5">
        <v>2.06</v>
      </c>
      <c r="D337" s="4">
        <v>12</v>
      </c>
      <c r="E337" s="5">
        <v>1.38</v>
      </c>
      <c r="F337" s="4">
        <v>15</v>
      </c>
      <c r="G337" s="5">
        <v>3.13</v>
      </c>
      <c r="H337" s="4">
        <v>0</v>
      </c>
    </row>
    <row r="338" spans="1:8" x14ac:dyDescent="0.2">
      <c r="A338" s="1" t="s">
        <v>21</v>
      </c>
      <c r="B338" s="4">
        <v>876</v>
      </c>
      <c r="C338" s="5">
        <v>100.02000000000001</v>
      </c>
      <c r="D338" s="4">
        <v>519</v>
      </c>
      <c r="E338" s="5">
        <v>100</v>
      </c>
      <c r="F338" s="4">
        <v>336</v>
      </c>
      <c r="G338" s="5">
        <v>99.999999999999986</v>
      </c>
      <c r="H338" s="4">
        <v>0</v>
      </c>
    </row>
    <row r="339" spans="1:8" x14ac:dyDescent="0.2">
      <c r="A339" s="2" t="s">
        <v>43</v>
      </c>
      <c r="B339" s="4">
        <v>0</v>
      </c>
      <c r="C339" s="5">
        <v>0</v>
      </c>
      <c r="D339" s="4">
        <v>0</v>
      </c>
      <c r="E339" s="5">
        <v>0</v>
      </c>
      <c r="F339" s="4">
        <v>0</v>
      </c>
      <c r="G339" s="5">
        <v>0</v>
      </c>
      <c r="H339" s="4">
        <v>0</v>
      </c>
    </row>
    <row r="340" spans="1:8" x14ac:dyDescent="0.2">
      <c r="A340" s="2" t="s">
        <v>44</v>
      </c>
      <c r="B340" s="4">
        <v>121</v>
      </c>
      <c r="C340" s="5">
        <v>13.81</v>
      </c>
      <c r="D340" s="4">
        <v>54</v>
      </c>
      <c r="E340" s="5">
        <v>10.4</v>
      </c>
      <c r="F340" s="4">
        <v>67</v>
      </c>
      <c r="G340" s="5">
        <v>19.940000000000001</v>
      </c>
      <c r="H340" s="4">
        <v>0</v>
      </c>
    </row>
    <row r="341" spans="1:8" x14ac:dyDescent="0.2">
      <c r="A341" s="2" t="s">
        <v>45</v>
      </c>
      <c r="B341" s="4">
        <v>149</v>
      </c>
      <c r="C341" s="5">
        <v>17.010000000000002</v>
      </c>
      <c r="D341" s="4">
        <v>66</v>
      </c>
      <c r="E341" s="5">
        <v>12.72</v>
      </c>
      <c r="F341" s="4">
        <v>83</v>
      </c>
      <c r="G341" s="5">
        <v>24.7</v>
      </c>
      <c r="H341" s="4">
        <v>0</v>
      </c>
    </row>
    <row r="342" spans="1:8" x14ac:dyDescent="0.2">
      <c r="A342" s="2" t="s">
        <v>46</v>
      </c>
      <c r="B342" s="4">
        <v>3</v>
      </c>
      <c r="C342" s="5">
        <v>0.34</v>
      </c>
      <c r="D342" s="4">
        <v>0</v>
      </c>
      <c r="E342" s="5">
        <v>0</v>
      </c>
      <c r="F342" s="4">
        <v>1</v>
      </c>
      <c r="G342" s="5">
        <v>0.3</v>
      </c>
      <c r="H342" s="4">
        <v>0</v>
      </c>
    </row>
    <row r="343" spans="1:8" x14ac:dyDescent="0.2">
      <c r="A343" s="2" t="s">
        <v>47</v>
      </c>
      <c r="B343" s="4">
        <v>4</v>
      </c>
      <c r="C343" s="5">
        <v>0.46</v>
      </c>
      <c r="D343" s="4">
        <v>0</v>
      </c>
      <c r="E343" s="5">
        <v>0</v>
      </c>
      <c r="F343" s="4">
        <v>4</v>
      </c>
      <c r="G343" s="5">
        <v>1.19</v>
      </c>
      <c r="H343" s="4">
        <v>0</v>
      </c>
    </row>
    <row r="344" spans="1:8" x14ac:dyDescent="0.2">
      <c r="A344" s="2" t="s">
        <v>48</v>
      </c>
      <c r="B344" s="4">
        <v>11</v>
      </c>
      <c r="C344" s="5">
        <v>1.26</v>
      </c>
      <c r="D344" s="4">
        <v>3</v>
      </c>
      <c r="E344" s="5">
        <v>0.57999999999999996</v>
      </c>
      <c r="F344" s="4">
        <v>8</v>
      </c>
      <c r="G344" s="5">
        <v>2.38</v>
      </c>
      <c r="H344" s="4">
        <v>0</v>
      </c>
    </row>
    <row r="345" spans="1:8" x14ac:dyDescent="0.2">
      <c r="A345" s="2" t="s">
        <v>49</v>
      </c>
      <c r="B345" s="4">
        <v>259</v>
      </c>
      <c r="C345" s="5">
        <v>29.57</v>
      </c>
      <c r="D345" s="4">
        <v>167</v>
      </c>
      <c r="E345" s="5">
        <v>32.18</v>
      </c>
      <c r="F345" s="4">
        <v>92</v>
      </c>
      <c r="G345" s="5">
        <v>27.38</v>
      </c>
      <c r="H345" s="4">
        <v>0</v>
      </c>
    </row>
    <row r="346" spans="1:8" x14ac:dyDescent="0.2">
      <c r="A346" s="2" t="s">
        <v>50</v>
      </c>
      <c r="B346" s="4">
        <v>3</v>
      </c>
      <c r="C346" s="5">
        <v>0.34</v>
      </c>
      <c r="D346" s="4">
        <v>1</v>
      </c>
      <c r="E346" s="5">
        <v>0.19</v>
      </c>
      <c r="F346" s="4">
        <v>2</v>
      </c>
      <c r="G346" s="5">
        <v>0.6</v>
      </c>
      <c r="H346" s="4">
        <v>0</v>
      </c>
    </row>
    <row r="347" spans="1:8" x14ac:dyDescent="0.2">
      <c r="A347" s="2" t="s">
        <v>51</v>
      </c>
      <c r="B347" s="4">
        <v>28</v>
      </c>
      <c r="C347" s="5">
        <v>3.2</v>
      </c>
      <c r="D347" s="4">
        <v>13</v>
      </c>
      <c r="E347" s="5">
        <v>2.5</v>
      </c>
      <c r="F347" s="4">
        <v>15</v>
      </c>
      <c r="G347" s="5">
        <v>4.46</v>
      </c>
      <c r="H347" s="4">
        <v>0</v>
      </c>
    </row>
    <row r="348" spans="1:8" x14ac:dyDescent="0.2">
      <c r="A348" s="2" t="s">
        <v>52</v>
      </c>
      <c r="B348" s="4">
        <v>32</v>
      </c>
      <c r="C348" s="5">
        <v>3.65</v>
      </c>
      <c r="D348" s="4">
        <v>17</v>
      </c>
      <c r="E348" s="5">
        <v>3.28</v>
      </c>
      <c r="F348" s="4">
        <v>12</v>
      </c>
      <c r="G348" s="5">
        <v>3.57</v>
      </c>
      <c r="H348" s="4">
        <v>0</v>
      </c>
    </row>
    <row r="349" spans="1:8" x14ac:dyDescent="0.2">
      <c r="A349" s="2" t="s">
        <v>53</v>
      </c>
      <c r="B349" s="4">
        <v>76</v>
      </c>
      <c r="C349" s="5">
        <v>8.68</v>
      </c>
      <c r="D349" s="4">
        <v>63</v>
      </c>
      <c r="E349" s="5">
        <v>12.14</v>
      </c>
      <c r="F349" s="4">
        <v>13</v>
      </c>
      <c r="G349" s="5">
        <v>3.87</v>
      </c>
      <c r="H349" s="4">
        <v>0</v>
      </c>
    </row>
    <row r="350" spans="1:8" x14ac:dyDescent="0.2">
      <c r="A350" s="2" t="s">
        <v>54</v>
      </c>
      <c r="B350" s="4">
        <v>100</v>
      </c>
      <c r="C350" s="5">
        <v>11.42</v>
      </c>
      <c r="D350" s="4">
        <v>82</v>
      </c>
      <c r="E350" s="5">
        <v>15.8</v>
      </c>
      <c r="F350" s="4">
        <v>17</v>
      </c>
      <c r="G350" s="5">
        <v>5.0599999999999996</v>
      </c>
      <c r="H350" s="4">
        <v>0</v>
      </c>
    </row>
    <row r="351" spans="1:8" x14ac:dyDescent="0.2">
      <c r="A351" s="2" t="s">
        <v>55</v>
      </c>
      <c r="B351" s="4">
        <v>23</v>
      </c>
      <c r="C351" s="5">
        <v>2.63</v>
      </c>
      <c r="D351" s="4">
        <v>14</v>
      </c>
      <c r="E351" s="5">
        <v>2.7</v>
      </c>
      <c r="F351" s="4">
        <v>6</v>
      </c>
      <c r="G351" s="5">
        <v>1.79</v>
      </c>
      <c r="H351" s="4">
        <v>0</v>
      </c>
    </row>
    <row r="352" spans="1:8" x14ac:dyDescent="0.2">
      <c r="A352" s="2" t="s">
        <v>56</v>
      </c>
      <c r="B352" s="4">
        <v>44</v>
      </c>
      <c r="C352" s="5">
        <v>5.0199999999999996</v>
      </c>
      <c r="D352" s="4">
        <v>27</v>
      </c>
      <c r="E352" s="5">
        <v>5.2</v>
      </c>
      <c r="F352" s="4">
        <v>8</v>
      </c>
      <c r="G352" s="5">
        <v>2.38</v>
      </c>
      <c r="H352" s="4">
        <v>0</v>
      </c>
    </row>
    <row r="353" spans="1:8" x14ac:dyDescent="0.2">
      <c r="A353" s="2" t="s">
        <v>57</v>
      </c>
      <c r="B353" s="4">
        <v>23</v>
      </c>
      <c r="C353" s="5">
        <v>2.63</v>
      </c>
      <c r="D353" s="4">
        <v>12</v>
      </c>
      <c r="E353" s="5">
        <v>2.31</v>
      </c>
      <c r="F353" s="4">
        <v>8</v>
      </c>
      <c r="G353" s="5">
        <v>2.38</v>
      </c>
      <c r="H353" s="4">
        <v>0</v>
      </c>
    </row>
    <row r="354" spans="1:8" x14ac:dyDescent="0.2">
      <c r="A354" s="1" t="s">
        <v>22</v>
      </c>
      <c r="B354" s="4">
        <v>853</v>
      </c>
      <c r="C354" s="5">
        <v>100</v>
      </c>
      <c r="D354" s="4">
        <v>431</v>
      </c>
      <c r="E354" s="5">
        <v>99.990000000000023</v>
      </c>
      <c r="F354" s="4">
        <v>412</v>
      </c>
      <c r="G354" s="5">
        <v>99.999999999999986</v>
      </c>
      <c r="H354" s="4">
        <v>2</v>
      </c>
    </row>
    <row r="355" spans="1:8" x14ac:dyDescent="0.2">
      <c r="A355" s="2" t="s">
        <v>43</v>
      </c>
      <c r="B355" s="4">
        <v>0</v>
      </c>
      <c r="C355" s="5">
        <v>0</v>
      </c>
      <c r="D355" s="4">
        <v>0</v>
      </c>
      <c r="E355" s="5">
        <v>0</v>
      </c>
      <c r="F355" s="4">
        <v>0</v>
      </c>
      <c r="G355" s="5">
        <v>0</v>
      </c>
      <c r="H355" s="4">
        <v>0</v>
      </c>
    </row>
    <row r="356" spans="1:8" x14ac:dyDescent="0.2">
      <c r="A356" s="2" t="s">
        <v>44</v>
      </c>
      <c r="B356" s="4">
        <v>112</v>
      </c>
      <c r="C356" s="5">
        <v>13.13</v>
      </c>
      <c r="D356" s="4">
        <v>31</v>
      </c>
      <c r="E356" s="5">
        <v>7.19</v>
      </c>
      <c r="F356" s="4">
        <v>81</v>
      </c>
      <c r="G356" s="5">
        <v>19.66</v>
      </c>
      <c r="H356" s="4">
        <v>0</v>
      </c>
    </row>
    <row r="357" spans="1:8" x14ac:dyDescent="0.2">
      <c r="A357" s="2" t="s">
        <v>45</v>
      </c>
      <c r="B357" s="4">
        <v>176</v>
      </c>
      <c r="C357" s="5">
        <v>20.63</v>
      </c>
      <c r="D357" s="4">
        <v>62</v>
      </c>
      <c r="E357" s="5">
        <v>14.39</v>
      </c>
      <c r="F357" s="4">
        <v>114</v>
      </c>
      <c r="G357" s="5">
        <v>27.67</v>
      </c>
      <c r="H357" s="4">
        <v>0</v>
      </c>
    </row>
    <row r="358" spans="1:8" x14ac:dyDescent="0.2">
      <c r="A358" s="2" t="s">
        <v>46</v>
      </c>
      <c r="B358" s="4">
        <v>2</v>
      </c>
      <c r="C358" s="5">
        <v>0.23</v>
      </c>
      <c r="D358" s="4">
        <v>0</v>
      </c>
      <c r="E358" s="5">
        <v>0</v>
      </c>
      <c r="F358" s="4">
        <v>2</v>
      </c>
      <c r="G358" s="5">
        <v>0.49</v>
      </c>
      <c r="H358" s="4">
        <v>0</v>
      </c>
    </row>
    <row r="359" spans="1:8" x14ac:dyDescent="0.2">
      <c r="A359" s="2" t="s">
        <v>47</v>
      </c>
      <c r="B359" s="4">
        <v>4</v>
      </c>
      <c r="C359" s="5">
        <v>0.47</v>
      </c>
      <c r="D359" s="4">
        <v>1</v>
      </c>
      <c r="E359" s="5">
        <v>0.23</v>
      </c>
      <c r="F359" s="4">
        <v>3</v>
      </c>
      <c r="G359" s="5">
        <v>0.73</v>
      </c>
      <c r="H359" s="4">
        <v>0</v>
      </c>
    </row>
    <row r="360" spans="1:8" x14ac:dyDescent="0.2">
      <c r="A360" s="2" t="s">
        <v>48</v>
      </c>
      <c r="B360" s="4">
        <v>6</v>
      </c>
      <c r="C360" s="5">
        <v>0.7</v>
      </c>
      <c r="D360" s="4">
        <v>1</v>
      </c>
      <c r="E360" s="5">
        <v>0.23</v>
      </c>
      <c r="F360" s="4">
        <v>5</v>
      </c>
      <c r="G360" s="5">
        <v>1.21</v>
      </c>
      <c r="H360" s="4">
        <v>0</v>
      </c>
    </row>
    <row r="361" spans="1:8" x14ac:dyDescent="0.2">
      <c r="A361" s="2" t="s">
        <v>49</v>
      </c>
      <c r="B361" s="4">
        <v>153</v>
      </c>
      <c r="C361" s="5">
        <v>17.940000000000001</v>
      </c>
      <c r="D361" s="4">
        <v>62</v>
      </c>
      <c r="E361" s="5">
        <v>14.39</v>
      </c>
      <c r="F361" s="4">
        <v>91</v>
      </c>
      <c r="G361" s="5">
        <v>22.09</v>
      </c>
      <c r="H361" s="4">
        <v>0</v>
      </c>
    </row>
    <row r="362" spans="1:8" x14ac:dyDescent="0.2">
      <c r="A362" s="2" t="s">
        <v>50</v>
      </c>
      <c r="B362" s="4">
        <v>5</v>
      </c>
      <c r="C362" s="5">
        <v>0.59</v>
      </c>
      <c r="D362" s="4">
        <v>2</v>
      </c>
      <c r="E362" s="5">
        <v>0.46</v>
      </c>
      <c r="F362" s="4">
        <v>3</v>
      </c>
      <c r="G362" s="5">
        <v>0.73</v>
      </c>
      <c r="H362" s="4">
        <v>0</v>
      </c>
    </row>
    <row r="363" spans="1:8" x14ac:dyDescent="0.2">
      <c r="A363" s="2" t="s">
        <v>51</v>
      </c>
      <c r="B363" s="4">
        <v>134</v>
      </c>
      <c r="C363" s="5">
        <v>15.71</v>
      </c>
      <c r="D363" s="4">
        <v>92</v>
      </c>
      <c r="E363" s="5">
        <v>21.35</v>
      </c>
      <c r="F363" s="4">
        <v>42</v>
      </c>
      <c r="G363" s="5">
        <v>10.19</v>
      </c>
      <c r="H363" s="4">
        <v>0</v>
      </c>
    </row>
    <row r="364" spans="1:8" x14ac:dyDescent="0.2">
      <c r="A364" s="2" t="s">
        <v>52</v>
      </c>
      <c r="B364" s="4">
        <v>34</v>
      </c>
      <c r="C364" s="5">
        <v>3.99</v>
      </c>
      <c r="D364" s="4">
        <v>20</v>
      </c>
      <c r="E364" s="5">
        <v>4.6399999999999997</v>
      </c>
      <c r="F364" s="4">
        <v>14</v>
      </c>
      <c r="G364" s="5">
        <v>3.4</v>
      </c>
      <c r="H364" s="4">
        <v>0</v>
      </c>
    </row>
    <row r="365" spans="1:8" x14ac:dyDescent="0.2">
      <c r="A365" s="2" t="s">
        <v>53</v>
      </c>
      <c r="B365" s="4">
        <v>59</v>
      </c>
      <c r="C365" s="5">
        <v>6.92</v>
      </c>
      <c r="D365" s="4">
        <v>47</v>
      </c>
      <c r="E365" s="5">
        <v>10.9</v>
      </c>
      <c r="F365" s="4">
        <v>12</v>
      </c>
      <c r="G365" s="5">
        <v>2.91</v>
      </c>
      <c r="H365" s="4">
        <v>0</v>
      </c>
    </row>
    <row r="366" spans="1:8" x14ac:dyDescent="0.2">
      <c r="A366" s="2" t="s">
        <v>54</v>
      </c>
      <c r="B366" s="4">
        <v>71</v>
      </c>
      <c r="C366" s="5">
        <v>8.32</v>
      </c>
      <c r="D366" s="4">
        <v>52</v>
      </c>
      <c r="E366" s="5">
        <v>12.06</v>
      </c>
      <c r="F366" s="4">
        <v>19</v>
      </c>
      <c r="G366" s="5">
        <v>4.6100000000000003</v>
      </c>
      <c r="H366" s="4">
        <v>0</v>
      </c>
    </row>
    <row r="367" spans="1:8" x14ac:dyDescent="0.2">
      <c r="A367" s="2" t="s">
        <v>55</v>
      </c>
      <c r="B367" s="4">
        <v>19</v>
      </c>
      <c r="C367" s="5">
        <v>2.23</v>
      </c>
      <c r="D367" s="4">
        <v>15</v>
      </c>
      <c r="E367" s="5">
        <v>3.48</v>
      </c>
      <c r="F367" s="4">
        <v>4</v>
      </c>
      <c r="G367" s="5">
        <v>0.97</v>
      </c>
      <c r="H367" s="4">
        <v>0</v>
      </c>
    </row>
    <row r="368" spans="1:8" x14ac:dyDescent="0.2">
      <c r="A368" s="2" t="s">
        <v>56</v>
      </c>
      <c r="B368" s="4">
        <v>35</v>
      </c>
      <c r="C368" s="5">
        <v>4.0999999999999996</v>
      </c>
      <c r="D368" s="4">
        <v>26</v>
      </c>
      <c r="E368" s="5">
        <v>6.03</v>
      </c>
      <c r="F368" s="4">
        <v>6</v>
      </c>
      <c r="G368" s="5">
        <v>1.46</v>
      </c>
      <c r="H368" s="4">
        <v>0</v>
      </c>
    </row>
    <row r="369" spans="1:8" x14ac:dyDescent="0.2">
      <c r="A369" s="2" t="s">
        <v>57</v>
      </c>
      <c r="B369" s="4">
        <v>43</v>
      </c>
      <c r="C369" s="5">
        <v>5.04</v>
      </c>
      <c r="D369" s="4">
        <v>20</v>
      </c>
      <c r="E369" s="5">
        <v>4.6399999999999997</v>
      </c>
      <c r="F369" s="4">
        <v>16</v>
      </c>
      <c r="G369" s="5">
        <v>3.88</v>
      </c>
      <c r="H369" s="4">
        <v>2</v>
      </c>
    </row>
    <row r="370" spans="1:8" x14ac:dyDescent="0.2">
      <c r="A370" s="1" t="s">
        <v>23</v>
      </c>
      <c r="B370" s="4">
        <v>533</v>
      </c>
      <c r="C370" s="5">
        <v>100.00999999999999</v>
      </c>
      <c r="D370" s="4">
        <v>280</v>
      </c>
      <c r="E370" s="5">
        <v>100</v>
      </c>
      <c r="F370" s="4">
        <v>248</v>
      </c>
      <c r="G370" s="5">
        <v>100</v>
      </c>
      <c r="H370" s="4">
        <v>1</v>
      </c>
    </row>
    <row r="371" spans="1:8" x14ac:dyDescent="0.2">
      <c r="A371" s="2" t="s">
        <v>43</v>
      </c>
      <c r="B371" s="4">
        <v>0</v>
      </c>
      <c r="C371" s="5">
        <v>0</v>
      </c>
      <c r="D371" s="4">
        <v>0</v>
      </c>
      <c r="E371" s="5">
        <v>0</v>
      </c>
      <c r="F371" s="4">
        <v>0</v>
      </c>
      <c r="G371" s="5">
        <v>0</v>
      </c>
      <c r="H371" s="4">
        <v>0</v>
      </c>
    </row>
    <row r="372" spans="1:8" x14ac:dyDescent="0.2">
      <c r="A372" s="2" t="s">
        <v>44</v>
      </c>
      <c r="B372" s="4">
        <v>48</v>
      </c>
      <c r="C372" s="5">
        <v>9.01</v>
      </c>
      <c r="D372" s="4">
        <v>15</v>
      </c>
      <c r="E372" s="5">
        <v>5.36</v>
      </c>
      <c r="F372" s="4">
        <v>33</v>
      </c>
      <c r="G372" s="5">
        <v>13.31</v>
      </c>
      <c r="H372" s="4">
        <v>0</v>
      </c>
    </row>
    <row r="373" spans="1:8" x14ac:dyDescent="0.2">
      <c r="A373" s="2" t="s">
        <v>45</v>
      </c>
      <c r="B373" s="4">
        <v>102</v>
      </c>
      <c r="C373" s="5">
        <v>19.14</v>
      </c>
      <c r="D373" s="4">
        <v>45</v>
      </c>
      <c r="E373" s="5">
        <v>16.07</v>
      </c>
      <c r="F373" s="4">
        <v>57</v>
      </c>
      <c r="G373" s="5">
        <v>22.98</v>
      </c>
      <c r="H373" s="4">
        <v>0</v>
      </c>
    </row>
    <row r="374" spans="1:8" x14ac:dyDescent="0.2">
      <c r="A374" s="2" t="s">
        <v>46</v>
      </c>
      <c r="B374" s="4">
        <v>0</v>
      </c>
      <c r="C374" s="5">
        <v>0</v>
      </c>
      <c r="D374" s="4">
        <v>0</v>
      </c>
      <c r="E374" s="5">
        <v>0</v>
      </c>
      <c r="F374" s="4">
        <v>0</v>
      </c>
      <c r="G374" s="5">
        <v>0</v>
      </c>
      <c r="H374" s="4">
        <v>0</v>
      </c>
    </row>
    <row r="375" spans="1:8" x14ac:dyDescent="0.2">
      <c r="A375" s="2" t="s">
        <v>47</v>
      </c>
      <c r="B375" s="4">
        <v>5</v>
      </c>
      <c r="C375" s="5">
        <v>0.94</v>
      </c>
      <c r="D375" s="4">
        <v>0</v>
      </c>
      <c r="E375" s="5">
        <v>0</v>
      </c>
      <c r="F375" s="4">
        <v>5</v>
      </c>
      <c r="G375" s="5">
        <v>2.02</v>
      </c>
      <c r="H375" s="4">
        <v>0</v>
      </c>
    </row>
    <row r="376" spans="1:8" x14ac:dyDescent="0.2">
      <c r="A376" s="2" t="s">
        <v>48</v>
      </c>
      <c r="B376" s="4">
        <v>3</v>
      </c>
      <c r="C376" s="5">
        <v>0.56000000000000005</v>
      </c>
      <c r="D376" s="4">
        <v>0</v>
      </c>
      <c r="E376" s="5">
        <v>0</v>
      </c>
      <c r="F376" s="4">
        <v>3</v>
      </c>
      <c r="G376" s="5">
        <v>1.21</v>
      </c>
      <c r="H376" s="4">
        <v>0</v>
      </c>
    </row>
    <row r="377" spans="1:8" x14ac:dyDescent="0.2">
      <c r="A377" s="2" t="s">
        <v>49</v>
      </c>
      <c r="B377" s="4">
        <v>151</v>
      </c>
      <c r="C377" s="5">
        <v>28.33</v>
      </c>
      <c r="D377" s="4">
        <v>82</v>
      </c>
      <c r="E377" s="5">
        <v>29.29</v>
      </c>
      <c r="F377" s="4">
        <v>69</v>
      </c>
      <c r="G377" s="5">
        <v>27.82</v>
      </c>
      <c r="H377" s="4">
        <v>0</v>
      </c>
    </row>
    <row r="378" spans="1:8" x14ac:dyDescent="0.2">
      <c r="A378" s="2" t="s">
        <v>50</v>
      </c>
      <c r="B378" s="4">
        <v>1</v>
      </c>
      <c r="C378" s="5">
        <v>0.19</v>
      </c>
      <c r="D378" s="4">
        <v>0</v>
      </c>
      <c r="E378" s="5">
        <v>0</v>
      </c>
      <c r="F378" s="4">
        <v>1</v>
      </c>
      <c r="G378" s="5">
        <v>0.4</v>
      </c>
      <c r="H378" s="4">
        <v>0</v>
      </c>
    </row>
    <row r="379" spans="1:8" x14ac:dyDescent="0.2">
      <c r="A379" s="2" t="s">
        <v>51</v>
      </c>
      <c r="B379" s="4">
        <v>34</v>
      </c>
      <c r="C379" s="5">
        <v>6.38</v>
      </c>
      <c r="D379" s="4">
        <v>7</v>
      </c>
      <c r="E379" s="5">
        <v>2.5</v>
      </c>
      <c r="F379" s="4">
        <v>27</v>
      </c>
      <c r="G379" s="5">
        <v>10.89</v>
      </c>
      <c r="H379" s="4">
        <v>0</v>
      </c>
    </row>
    <row r="380" spans="1:8" x14ac:dyDescent="0.2">
      <c r="A380" s="2" t="s">
        <v>52</v>
      </c>
      <c r="B380" s="4">
        <v>21</v>
      </c>
      <c r="C380" s="5">
        <v>3.94</v>
      </c>
      <c r="D380" s="4">
        <v>9</v>
      </c>
      <c r="E380" s="5">
        <v>3.21</v>
      </c>
      <c r="F380" s="4">
        <v>12</v>
      </c>
      <c r="G380" s="5">
        <v>4.84</v>
      </c>
      <c r="H380" s="4">
        <v>0</v>
      </c>
    </row>
    <row r="381" spans="1:8" x14ac:dyDescent="0.2">
      <c r="A381" s="2" t="s">
        <v>53</v>
      </c>
      <c r="B381" s="4">
        <v>35</v>
      </c>
      <c r="C381" s="5">
        <v>6.57</v>
      </c>
      <c r="D381" s="4">
        <v>28</v>
      </c>
      <c r="E381" s="5">
        <v>10</v>
      </c>
      <c r="F381" s="4">
        <v>7</v>
      </c>
      <c r="G381" s="5">
        <v>2.82</v>
      </c>
      <c r="H381" s="4">
        <v>0</v>
      </c>
    </row>
    <row r="382" spans="1:8" x14ac:dyDescent="0.2">
      <c r="A382" s="2" t="s">
        <v>54</v>
      </c>
      <c r="B382" s="4">
        <v>59</v>
      </c>
      <c r="C382" s="5">
        <v>11.07</v>
      </c>
      <c r="D382" s="4">
        <v>49</v>
      </c>
      <c r="E382" s="5">
        <v>17.5</v>
      </c>
      <c r="F382" s="4">
        <v>10</v>
      </c>
      <c r="G382" s="5">
        <v>4.03</v>
      </c>
      <c r="H382" s="4">
        <v>0</v>
      </c>
    </row>
    <row r="383" spans="1:8" x14ac:dyDescent="0.2">
      <c r="A383" s="2" t="s">
        <v>55</v>
      </c>
      <c r="B383" s="4">
        <v>20</v>
      </c>
      <c r="C383" s="5">
        <v>3.75</v>
      </c>
      <c r="D383" s="4">
        <v>13</v>
      </c>
      <c r="E383" s="5">
        <v>4.6399999999999997</v>
      </c>
      <c r="F383" s="4">
        <v>5</v>
      </c>
      <c r="G383" s="5">
        <v>2.02</v>
      </c>
      <c r="H383" s="4">
        <v>0</v>
      </c>
    </row>
    <row r="384" spans="1:8" x14ac:dyDescent="0.2">
      <c r="A384" s="2" t="s">
        <v>56</v>
      </c>
      <c r="B384" s="4">
        <v>25</v>
      </c>
      <c r="C384" s="5">
        <v>4.6900000000000004</v>
      </c>
      <c r="D384" s="4">
        <v>18</v>
      </c>
      <c r="E384" s="5">
        <v>6.43</v>
      </c>
      <c r="F384" s="4">
        <v>6</v>
      </c>
      <c r="G384" s="5">
        <v>2.42</v>
      </c>
      <c r="H384" s="4">
        <v>0</v>
      </c>
    </row>
    <row r="385" spans="1:8" x14ac:dyDescent="0.2">
      <c r="A385" s="2" t="s">
        <v>57</v>
      </c>
      <c r="B385" s="4">
        <v>29</v>
      </c>
      <c r="C385" s="5">
        <v>5.44</v>
      </c>
      <c r="D385" s="4">
        <v>14</v>
      </c>
      <c r="E385" s="5">
        <v>5</v>
      </c>
      <c r="F385" s="4">
        <v>13</v>
      </c>
      <c r="G385" s="5">
        <v>5.24</v>
      </c>
      <c r="H385" s="4">
        <v>1</v>
      </c>
    </row>
    <row r="386" spans="1:8" x14ac:dyDescent="0.2">
      <c r="A386" s="1" t="s">
        <v>24</v>
      </c>
      <c r="B386" s="4">
        <v>587</v>
      </c>
      <c r="C386" s="5">
        <v>100.00000000000001</v>
      </c>
      <c r="D386" s="4">
        <v>327</v>
      </c>
      <c r="E386" s="5">
        <v>100</v>
      </c>
      <c r="F386" s="4">
        <v>246</v>
      </c>
      <c r="G386" s="5">
        <v>99.99</v>
      </c>
      <c r="H386" s="4">
        <v>2</v>
      </c>
    </row>
    <row r="387" spans="1:8" x14ac:dyDescent="0.2">
      <c r="A387" s="2" t="s">
        <v>43</v>
      </c>
      <c r="B387" s="4">
        <v>0</v>
      </c>
      <c r="C387" s="5">
        <v>0</v>
      </c>
      <c r="D387" s="4">
        <v>0</v>
      </c>
      <c r="E387" s="5">
        <v>0</v>
      </c>
      <c r="F387" s="4">
        <v>0</v>
      </c>
      <c r="G387" s="5">
        <v>0</v>
      </c>
      <c r="H387" s="4">
        <v>0</v>
      </c>
    </row>
    <row r="388" spans="1:8" x14ac:dyDescent="0.2">
      <c r="A388" s="2" t="s">
        <v>44</v>
      </c>
      <c r="B388" s="4">
        <v>122</v>
      </c>
      <c r="C388" s="5">
        <v>20.78</v>
      </c>
      <c r="D388" s="4">
        <v>51</v>
      </c>
      <c r="E388" s="5">
        <v>15.6</v>
      </c>
      <c r="F388" s="4">
        <v>71</v>
      </c>
      <c r="G388" s="5">
        <v>28.86</v>
      </c>
      <c r="H388" s="4">
        <v>0</v>
      </c>
    </row>
    <row r="389" spans="1:8" x14ac:dyDescent="0.2">
      <c r="A389" s="2" t="s">
        <v>45</v>
      </c>
      <c r="B389" s="4">
        <v>85</v>
      </c>
      <c r="C389" s="5">
        <v>14.48</v>
      </c>
      <c r="D389" s="4">
        <v>28</v>
      </c>
      <c r="E389" s="5">
        <v>8.56</v>
      </c>
      <c r="F389" s="4">
        <v>57</v>
      </c>
      <c r="G389" s="5">
        <v>23.17</v>
      </c>
      <c r="H389" s="4">
        <v>0</v>
      </c>
    </row>
    <row r="390" spans="1:8" x14ac:dyDescent="0.2">
      <c r="A390" s="2" t="s">
        <v>46</v>
      </c>
      <c r="B390" s="4">
        <v>1</v>
      </c>
      <c r="C390" s="5">
        <v>0.17</v>
      </c>
      <c r="D390" s="4">
        <v>0</v>
      </c>
      <c r="E390" s="5">
        <v>0</v>
      </c>
      <c r="F390" s="4">
        <v>1</v>
      </c>
      <c r="G390" s="5">
        <v>0.41</v>
      </c>
      <c r="H390" s="4">
        <v>0</v>
      </c>
    </row>
    <row r="391" spans="1:8" x14ac:dyDescent="0.2">
      <c r="A391" s="2" t="s">
        <v>47</v>
      </c>
      <c r="B391" s="4">
        <v>3</v>
      </c>
      <c r="C391" s="5">
        <v>0.51</v>
      </c>
      <c r="D391" s="4">
        <v>0</v>
      </c>
      <c r="E391" s="5">
        <v>0</v>
      </c>
      <c r="F391" s="4">
        <v>3</v>
      </c>
      <c r="G391" s="5">
        <v>1.22</v>
      </c>
      <c r="H391" s="4">
        <v>0</v>
      </c>
    </row>
    <row r="392" spans="1:8" x14ac:dyDescent="0.2">
      <c r="A392" s="2" t="s">
        <v>48</v>
      </c>
      <c r="B392" s="4">
        <v>6</v>
      </c>
      <c r="C392" s="5">
        <v>1.02</v>
      </c>
      <c r="D392" s="4">
        <v>1</v>
      </c>
      <c r="E392" s="5">
        <v>0.31</v>
      </c>
      <c r="F392" s="4">
        <v>5</v>
      </c>
      <c r="G392" s="5">
        <v>2.0299999999999998</v>
      </c>
      <c r="H392" s="4">
        <v>0</v>
      </c>
    </row>
    <row r="393" spans="1:8" x14ac:dyDescent="0.2">
      <c r="A393" s="2" t="s">
        <v>49</v>
      </c>
      <c r="B393" s="4">
        <v>168</v>
      </c>
      <c r="C393" s="5">
        <v>28.62</v>
      </c>
      <c r="D393" s="4">
        <v>111</v>
      </c>
      <c r="E393" s="5">
        <v>33.94</v>
      </c>
      <c r="F393" s="4">
        <v>57</v>
      </c>
      <c r="G393" s="5">
        <v>23.17</v>
      </c>
      <c r="H393" s="4">
        <v>0</v>
      </c>
    </row>
    <row r="394" spans="1:8" x14ac:dyDescent="0.2">
      <c r="A394" s="2" t="s">
        <v>50</v>
      </c>
      <c r="B394" s="4">
        <v>1</v>
      </c>
      <c r="C394" s="5">
        <v>0.17</v>
      </c>
      <c r="D394" s="4">
        <v>0</v>
      </c>
      <c r="E394" s="5">
        <v>0</v>
      </c>
      <c r="F394" s="4">
        <v>1</v>
      </c>
      <c r="G394" s="5">
        <v>0.41</v>
      </c>
      <c r="H394" s="4">
        <v>0</v>
      </c>
    </row>
    <row r="395" spans="1:8" x14ac:dyDescent="0.2">
      <c r="A395" s="2" t="s">
        <v>51</v>
      </c>
      <c r="B395" s="4">
        <v>11</v>
      </c>
      <c r="C395" s="5">
        <v>1.87</v>
      </c>
      <c r="D395" s="4">
        <v>0</v>
      </c>
      <c r="E395" s="5">
        <v>0</v>
      </c>
      <c r="F395" s="4">
        <v>11</v>
      </c>
      <c r="G395" s="5">
        <v>4.47</v>
      </c>
      <c r="H395" s="4">
        <v>0</v>
      </c>
    </row>
    <row r="396" spans="1:8" x14ac:dyDescent="0.2">
      <c r="A396" s="2" t="s">
        <v>52</v>
      </c>
      <c r="B396" s="4">
        <v>15</v>
      </c>
      <c r="C396" s="5">
        <v>2.56</v>
      </c>
      <c r="D396" s="4">
        <v>11</v>
      </c>
      <c r="E396" s="5">
        <v>3.36</v>
      </c>
      <c r="F396" s="4">
        <v>2</v>
      </c>
      <c r="G396" s="5">
        <v>0.81</v>
      </c>
      <c r="H396" s="4">
        <v>1</v>
      </c>
    </row>
    <row r="397" spans="1:8" x14ac:dyDescent="0.2">
      <c r="A397" s="2" t="s">
        <v>53</v>
      </c>
      <c r="B397" s="4">
        <v>52</v>
      </c>
      <c r="C397" s="5">
        <v>8.86</v>
      </c>
      <c r="D397" s="4">
        <v>43</v>
      </c>
      <c r="E397" s="5">
        <v>13.15</v>
      </c>
      <c r="F397" s="4">
        <v>8</v>
      </c>
      <c r="G397" s="5">
        <v>3.25</v>
      </c>
      <c r="H397" s="4">
        <v>0</v>
      </c>
    </row>
    <row r="398" spans="1:8" x14ac:dyDescent="0.2">
      <c r="A398" s="2" t="s">
        <v>54</v>
      </c>
      <c r="B398" s="4">
        <v>68</v>
      </c>
      <c r="C398" s="5">
        <v>11.58</v>
      </c>
      <c r="D398" s="4">
        <v>51</v>
      </c>
      <c r="E398" s="5">
        <v>15.6</v>
      </c>
      <c r="F398" s="4">
        <v>16</v>
      </c>
      <c r="G398" s="5">
        <v>6.5</v>
      </c>
      <c r="H398" s="4">
        <v>0</v>
      </c>
    </row>
    <row r="399" spans="1:8" x14ac:dyDescent="0.2">
      <c r="A399" s="2" t="s">
        <v>55</v>
      </c>
      <c r="B399" s="4">
        <v>22</v>
      </c>
      <c r="C399" s="5">
        <v>3.75</v>
      </c>
      <c r="D399" s="4">
        <v>7</v>
      </c>
      <c r="E399" s="5">
        <v>2.14</v>
      </c>
      <c r="F399" s="4">
        <v>6</v>
      </c>
      <c r="G399" s="5">
        <v>2.44</v>
      </c>
      <c r="H399" s="4">
        <v>0</v>
      </c>
    </row>
    <row r="400" spans="1:8" x14ac:dyDescent="0.2">
      <c r="A400" s="2" t="s">
        <v>56</v>
      </c>
      <c r="B400" s="4">
        <v>19</v>
      </c>
      <c r="C400" s="5">
        <v>3.24</v>
      </c>
      <c r="D400" s="4">
        <v>14</v>
      </c>
      <c r="E400" s="5">
        <v>4.28</v>
      </c>
      <c r="F400" s="4">
        <v>5</v>
      </c>
      <c r="G400" s="5">
        <v>2.0299999999999998</v>
      </c>
      <c r="H400" s="4">
        <v>0</v>
      </c>
    </row>
    <row r="401" spans="1:8" x14ac:dyDescent="0.2">
      <c r="A401" s="2" t="s">
        <v>57</v>
      </c>
      <c r="B401" s="4">
        <v>14</v>
      </c>
      <c r="C401" s="5">
        <v>2.39</v>
      </c>
      <c r="D401" s="4">
        <v>10</v>
      </c>
      <c r="E401" s="5">
        <v>3.06</v>
      </c>
      <c r="F401" s="4">
        <v>3</v>
      </c>
      <c r="G401" s="5">
        <v>1.22</v>
      </c>
      <c r="H401" s="4">
        <v>1</v>
      </c>
    </row>
    <row r="402" spans="1:8" x14ac:dyDescent="0.2">
      <c r="A402" s="1" t="s">
        <v>25</v>
      </c>
      <c r="B402" s="4">
        <v>509</v>
      </c>
      <c r="C402" s="5">
        <v>100</v>
      </c>
      <c r="D402" s="4">
        <v>275</v>
      </c>
      <c r="E402" s="5">
        <v>99.99</v>
      </c>
      <c r="F402" s="4">
        <v>215</v>
      </c>
      <c r="G402" s="5">
        <v>100.02000000000002</v>
      </c>
      <c r="H402" s="4">
        <v>3</v>
      </c>
    </row>
    <row r="403" spans="1:8" x14ac:dyDescent="0.2">
      <c r="A403" s="2" t="s">
        <v>43</v>
      </c>
      <c r="B403" s="4">
        <v>0</v>
      </c>
      <c r="C403" s="5">
        <v>0</v>
      </c>
      <c r="D403" s="4">
        <v>0</v>
      </c>
      <c r="E403" s="5">
        <v>0</v>
      </c>
      <c r="F403" s="4">
        <v>0</v>
      </c>
      <c r="G403" s="5">
        <v>0</v>
      </c>
      <c r="H403" s="4">
        <v>0</v>
      </c>
    </row>
    <row r="404" spans="1:8" x14ac:dyDescent="0.2">
      <c r="A404" s="2" t="s">
        <v>44</v>
      </c>
      <c r="B404" s="4">
        <v>89</v>
      </c>
      <c r="C404" s="5">
        <v>17.489999999999998</v>
      </c>
      <c r="D404" s="4">
        <v>33</v>
      </c>
      <c r="E404" s="5">
        <v>12</v>
      </c>
      <c r="F404" s="4">
        <v>56</v>
      </c>
      <c r="G404" s="5">
        <v>26.05</v>
      </c>
      <c r="H404" s="4">
        <v>0</v>
      </c>
    </row>
    <row r="405" spans="1:8" x14ac:dyDescent="0.2">
      <c r="A405" s="2" t="s">
        <v>45</v>
      </c>
      <c r="B405" s="4">
        <v>77</v>
      </c>
      <c r="C405" s="5">
        <v>15.13</v>
      </c>
      <c r="D405" s="4">
        <v>27</v>
      </c>
      <c r="E405" s="5">
        <v>9.82</v>
      </c>
      <c r="F405" s="4">
        <v>50</v>
      </c>
      <c r="G405" s="5">
        <v>23.26</v>
      </c>
      <c r="H405" s="4">
        <v>0</v>
      </c>
    </row>
    <row r="406" spans="1:8" x14ac:dyDescent="0.2">
      <c r="A406" s="2" t="s">
        <v>46</v>
      </c>
      <c r="B406" s="4">
        <v>1</v>
      </c>
      <c r="C406" s="5">
        <v>0.2</v>
      </c>
      <c r="D406" s="4">
        <v>0</v>
      </c>
      <c r="E406" s="5">
        <v>0</v>
      </c>
      <c r="F406" s="4">
        <v>0</v>
      </c>
      <c r="G406" s="5">
        <v>0</v>
      </c>
      <c r="H406" s="4">
        <v>1</v>
      </c>
    </row>
    <row r="407" spans="1:8" x14ac:dyDescent="0.2">
      <c r="A407" s="2" t="s">
        <v>47</v>
      </c>
      <c r="B407" s="4">
        <v>1</v>
      </c>
      <c r="C407" s="5">
        <v>0.2</v>
      </c>
      <c r="D407" s="4">
        <v>0</v>
      </c>
      <c r="E407" s="5">
        <v>0</v>
      </c>
      <c r="F407" s="4">
        <v>1</v>
      </c>
      <c r="G407" s="5">
        <v>0.47</v>
      </c>
      <c r="H407" s="4">
        <v>0</v>
      </c>
    </row>
    <row r="408" spans="1:8" x14ac:dyDescent="0.2">
      <c r="A408" s="2" t="s">
        <v>48</v>
      </c>
      <c r="B408" s="4">
        <v>5</v>
      </c>
      <c r="C408" s="5">
        <v>0.98</v>
      </c>
      <c r="D408" s="4">
        <v>0</v>
      </c>
      <c r="E408" s="5">
        <v>0</v>
      </c>
      <c r="F408" s="4">
        <v>5</v>
      </c>
      <c r="G408" s="5">
        <v>2.33</v>
      </c>
      <c r="H408" s="4">
        <v>0</v>
      </c>
    </row>
    <row r="409" spans="1:8" x14ac:dyDescent="0.2">
      <c r="A409" s="2" t="s">
        <v>49</v>
      </c>
      <c r="B409" s="4">
        <v>100</v>
      </c>
      <c r="C409" s="5">
        <v>19.649999999999999</v>
      </c>
      <c r="D409" s="4">
        <v>49</v>
      </c>
      <c r="E409" s="5">
        <v>17.82</v>
      </c>
      <c r="F409" s="4">
        <v>49</v>
      </c>
      <c r="G409" s="5">
        <v>22.79</v>
      </c>
      <c r="H409" s="4">
        <v>2</v>
      </c>
    </row>
    <row r="410" spans="1:8" x14ac:dyDescent="0.2">
      <c r="A410" s="2" t="s">
        <v>50</v>
      </c>
      <c r="B410" s="4">
        <v>2</v>
      </c>
      <c r="C410" s="5">
        <v>0.39</v>
      </c>
      <c r="D410" s="4">
        <v>0</v>
      </c>
      <c r="E410" s="5">
        <v>0</v>
      </c>
      <c r="F410" s="4">
        <v>2</v>
      </c>
      <c r="G410" s="5">
        <v>0.93</v>
      </c>
      <c r="H410" s="4">
        <v>0</v>
      </c>
    </row>
    <row r="411" spans="1:8" x14ac:dyDescent="0.2">
      <c r="A411" s="2" t="s">
        <v>51</v>
      </c>
      <c r="B411" s="4">
        <v>13</v>
      </c>
      <c r="C411" s="5">
        <v>2.5499999999999998</v>
      </c>
      <c r="D411" s="4">
        <v>4</v>
      </c>
      <c r="E411" s="5">
        <v>1.45</v>
      </c>
      <c r="F411" s="4">
        <v>9</v>
      </c>
      <c r="G411" s="5">
        <v>4.1900000000000004</v>
      </c>
      <c r="H411" s="4">
        <v>0</v>
      </c>
    </row>
    <row r="412" spans="1:8" x14ac:dyDescent="0.2">
      <c r="A412" s="2" t="s">
        <v>52</v>
      </c>
      <c r="B412" s="4">
        <v>26</v>
      </c>
      <c r="C412" s="5">
        <v>5.1100000000000003</v>
      </c>
      <c r="D412" s="4">
        <v>17</v>
      </c>
      <c r="E412" s="5">
        <v>6.18</v>
      </c>
      <c r="F412" s="4">
        <v>9</v>
      </c>
      <c r="G412" s="5">
        <v>4.1900000000000004</v>
      </c>
      <c r="H412" s="4">
        <v>0</v>
      </c>
    </row>
    <row r="413" spans="1:8" x14ac:dyDescent="0.2">
      <c r="A413" s="2" t="s">
        <v>53</v>
      </c>
      <c r="B413" s="4">
        <v>47</v>
      </c>
      <c r="C413" s="5">
        <v>9.23</v>
      </c>
      <c r="D413" s="4">
        <v>41</v>
      </c>
      <c r="E413" s="5">
        <v>14.91</v>
      </c>
      <c r="F413" s="4">
        <v>6</v>
      </c>
      <c r="G413" s="5">
        <v>2.79</v>
      </c>
      <c r="H413" s="4">
        <v>0</v>
      </c>
    </row>
    <row r="414" spans="1:8" x14ac:dyDescent="0.2">
      <c r="A414" s="2" t="s">
        <v>54</v>
      </c>
      <c r="B414" s="4">
        <v>78</v>
      </c>
      <c r="C414" s="5">
        <v>15.32</v>
      </c>
      <c r="D414" s="4">
        <v>66</v>
      </c>
      <c r="E414" s="5">
        <v>24</v>
      </c>
      <c r="F414" s="4">
        <v>10</v>
      </c>
      <c r="G414" s="5">
        <v>4.6500000000000004</v>
      </c>
      <c r="H414" s="4">
        <v>0</v>
      </c>
    </row>
    <row r="415" spans="1:8" x14ac:dyDescent="0.2">
      <c r="A415" s="2" t="s">
        <v>55</v>
      </c>
      <c r="B415" s="4">
        <v>27</v>
      </c>
      <c r="C415" s="5">
        <v>5.3</v>
      </c>
      <c r="D415" s="4">
        <v>12</v>
      </c>
      <c r="E415" s="5">
        <v>4.3600000000000003</v>
      </c>
      <c r="F415" s="4">
        <v>6</v>
      </c>
      <c r="G415" s="5">
        <v>2.79</v>
      </c>
      <c r="H415" s="4">
        <v>0</v>
      </c>
    </row>
    <row r="416" spans="1:8" x14ac:dyDescent="0.2">
      <c r="A416" s="2" t="s">
        <v>56</v>
      </c>
      <c r="B416" s="4">
        <v>24</v>
      </c>
      <c r="C416" s="5">
        <v>4.72</v>
      </c>
      <c r="D416" s="4">
        <v>17</v>
      </c>
      <c r="E416" s="5">
        <v>6.18</v>
      </c>
      <c r="F416" s="4">
        <v>4</v>
      </c>
      <c r="G416" s="5">
        <v>1.86</v>
      </c>
      <c r="H416" s="4">
        <v>0</v>
      </c>
    </row>
    <row r="417" spans="1:8" x14ac:dyDescent="0.2">
      <c r="A417" s="2" t="s">
        <v>57</v>
      </c>
      <c r="B417" s="4">
        <v>19</v>
      </c>
      <c r="C417" s="5">
        <v>3.73</v>
      </c>
      <c r="D417" s="4">
        <v>9</v>
      </c>
      <c r="E417" s="5">
        <v>3.27</v>
      </c>
      <c r="F417" s="4">
        <v>8</v>
      </c>
      <c r="G417" s="5">
        <v>3.72</v>
      </c>
      <c r="H417" s="4">
        <v>0</v>
      </c>
    </row>
    <row r="418" spans="1:8" x14ac:dyDescent="0.2">
      <c r="A418" s="1" t="s">
        <v>26</v>
      </c>
      <c r="B418" s="4">
        <v>181</v>
      </c>
      <c r="C418" s="5">
        <v>99.97999999999999</v>
      </c>
      <c r="D418" s="4">
        <v>111</v>
      </c>
      <c r="E418" s="5">
        <v>99.99</v>
      </c>
      <c r="F418" s="4">
        <v>63</v>
      </c>
      <c r="G418" s="5">
        <v>100.01000000000003</v>
      </c>
      <c r="H418" s="4">
        <v>1</v>
      </c>
    </row>
    <row r="419" spans="1:8" x14ac:dyDescent="0.2">
      <c r="A419" s="2" t="s">
        <v>43</v>
      </c>
      <c r="B419" s="4">
        <v>0</v>
      </c>
      <c r="C419" s="5">
        <v>0</v>
      </c>
      <c r="D419" s="4">
        <v>0</v>
      </c>
      <c r="E419" s="5">
        <v>0</v>
      </c>
      <c r="F419" s="4">
        <v>0</v>
      </c>
      <c r="G419" s="5">
        <v>0</v>
      </c>
      <c r="H419" s="4">
        <v>0</v>
      </c>
    </row>
    <row r="420" spans="1:8" x14ac:dyDescent="0.2">
      <c r="A420" s="2" t="s">
        <v>44</v>
      </c>
      <c r="B420" s="4">
        <v>32</v>
      </c>
      <c r="C420" s="5">
        <v>17.68</v>
      </c>
      <c r="D420" s="4">
        <v>16</v>
      </c>
      <c r="E420" s="5">
        <v>14.41</v>
      </c>
      <c r="F420" s="4">
        <v>16</v>
      </c>
      <c r="G420" s="5">
        <v>25.4</v>
      </c>
      <c r="H420" s="4">
        <v>0</v>
      </c>
    </row>
    <row r="421" spans="1:8" x14ac:dyDescent="0.2">
      <c r="A421" s="2" t="s">
        <v>45</v>
      </c>
      <c r="B421" s="4">
        <v>37</v>
      </c>
      <c r="C421" s="5">
        <v>20.440000000000001</v>
      </c>
      <c r="D421" s="4">
        <v>17</v>
      </c>
      <c r="E421" s="5">
        <v>15.32</v>
      </c>
      <c r="F421" s="4">
        <v>20</v>
      </c>
      <c r="G421" s="5">
        <v>31.75</v>
      </c>
      <c r="H421" s="4">
        <v>0</v>
      </c>
    </row>
    <row r="422" spans="1:8" x14ac:dyDescent="0.2">
      <c r="A422" s="2" t="s">
        <v>46</v>
      </c>
      <c r="B422" s="4">
        <v>1</v>
      </c>
      <c r="C422" s="5">
        <v>0.55000000000000004</v>
      </c>
      <c r="D422" s="4">
        <v>0</v>
      </c>
      <c r="E422" s="5">
        <v>0</v>
      </c>
      <c r="F422" s="4">
        <v>1</v>
      </c>
      <c r="G422" s="5">
        <v>1.59</v>
      </c>
      <c r="H422" s="4">
        <v>0</v>
      </c>
    </row>
    <row r="423" spans="1:8" x14ac:dyDescent="0.2">
      <c r="A423" s="2" t="s">
        <v>47</v>
      </c>
      <c r="B423" s="4">
        <v>1</v>
      </c>
      <c r="C423" s="5">
        <v>0.55000000000000004</v>
      </c>
      <c r="D423" s="4">
        <v>1</v>
      </c>
      <c r="E423" s="5">
        <v>0.9</v>
      </c>
      <c r="F423" s="4">
        <v>0</v>
      </c>
      <c r="G423" s="5">
        <v>0</v>
      </c>
      <c r="H423" s="4">
        <v>0</v>
      </c>
    </row>
    <row r="424" spans="1:8" x14ac:dyDescent="0.2">
      <c r="A424" s="2" t="s">
        <v>48</v>
      </c>
      <c r="B424" s="4">
        <v>1</v>
      </c>
      <c r="C424" s="5">
        <v>0.55000000000000004</v>
      </c>
      <c r="D424" s="4">
        <v>0</v>
      </c>
      <c r="E424" s="5">
        <v>0</v>
      </c>
      <c r="F424" s="4">
        <v>1</v>
      </c>
      <c r="G424" s="5">
        <v>1.59</v>
      </c>
      <c r="H424" s="4">
        <v>0</v>
      </c>
    </row>
    <row r="425" spans="1:8" x14ac:dyDescent="0.2">
      <c r="A425" s="2" t="s">
        <v>49</v>
      </c>
      <c r="B425" s="4">
        <v>47</v>
      </c>
      <c r="C425" s="5">
        <v>25.97</v>
      </c>
      <c r="D425" s="4">
        <v>33</v>
      </c>
      <c r="E425" s="5">
        <v>29.73</v>
      </c>
      <c r="F425" s="4">
        <v>14</v>
      </c>
      <c r="G425" s="5">
        <v>22.22</v>
      </c>
      <c r="H425" s="4">
        <v>0</v>
      </c>
    </row>
    <row r="426" spans="1:8" x14ac:dyDescent="0.2">
      <c r="A426" s="2" t="s">
        <v>50</v>
      </c>
      <c r="B426" s="4">
        <v>1</v>
      </c>
      <c r="C426" s="5">
        <v>0.55000000000000004</v>
      </c>
      <c r="D426" s="4">
        <v>0</v>
      </c>
      <c r="E426" s="5">
        <v>0</v>
      </c>
      <c r="F426" s="4">
        <v>1</v>
      </c>
      <c r="G426" s="5">
        <v>1.59</v>
      </c>
      <c r="H426" s="4">
        <v>0</v>
      </c>
    </row>
    <row r="427" spans="1:8" x14ac:dyDescent="0.2">
      <c r="A427" s="2" t="s">
        <v>51</v>
      </c>
      <c r="B427" s="4">
        <v>7</v>
      </c>
      <c r="C427" s="5">
        <v>3.87</v>
      </c>
      <c r="D427" s="4">
        <v>4</v>
      </c>
      <c r="E427" s="5">
        <v>3.6</v>
      </c>
      <c r="F427" s="4">
        <v>3</v>
      </c>
      <c r="G427" s="5">
        <v>4.76</v>
      </c>
      <c r="H427" s="4">
        <v>0</v>
      </c>
    </row>
    <row r="428" spans="1:8" x14ac:dyDescent="0.2">
      <c r="A428" s="2" t="s">
        <v>52</v>
      </c>
      <c r="B428" s="4">
        <v>3</v>
      </c>
      <c r="C428" s="5">
        <v>1.66</v>
      </c>
      <c r="D428" s="4">
        <v>2</v>
      </c>
      <c r="E428" s="5">
        <v>1.8</v>
      </c>
      <c r="F428" s="4">
        <v>1</v>
      </c>
      <c r="G428" s="5">
        <v>1.59</v>
      </c>
      <c r="H428" s="4">
        <v>0</v>
      </c>
    </row>
    <row r="429" spans="1:8" x14ac:dyDescent="0.2">
      <c r="A429" s="2" t="s">
        <v>53</v>
      </c>
      <c r="B429" s="4">
        <v>14</v>
      </c>
      <c r="C429" s="5">
        <v>7.73</v>
      </c>
      <c r="D429" s="4">
        <v>11</v>
      </c>
      <c r="E429" s="5">
        <v>9.91</v>
      </c>
      <c r="F429" s="4">
        <v>3</v>
      </c>
      <c r="G429" s="5">
        <v>4.76</v>
      </c>
      <c r="H429" s="4">
        <v>0</v>
      </c>
    </row>
    <row r="430" spans="1:8" x14ac:dyDescent="0.2">
      <c r="A430" s="2" t="s">
        <v>54</v>
      </c>
      <c r="B430" s="4">
        <v>14</v>
      </c>
      <c r="C430" s="5">
        <v>7.73</v>
      </c>
      <c r="D430" s="4">
        <v>14</v>
      </c>
      <c r="E430" s="5">
        <v>12.61</v>
      </c>
      <c r="F430" s="4">
        <v>0</v>
      </c>
      <c r="G430" s="5">
        <v>0</v>
      </c>
      <c r="H430" s="4">
        <v>0</v>
      </c>
    </row>
    <row r="431" spans="1:8" x14ac:dyDescent="0.2">
      <c r="A431" s="2" t="s">
        <v>55</v>
      </c>
      <c r="B431" s="4">
        <v>10</v>
      </c>
      <c r="C431" s="5">
        <v>5.52</v>
      </c>
      <c r="D431" s="4">
        <v>5</v>
      </c>
      <c r="E431" s="5">
        <v>4.5</v>
      </c>
      <c r="F431" s="4">
        <v>0</v>
      </c>
      <c r="G431" s="5">
        <v>0</v>
      </c>
      <c r="H431" s="4">
        <v>1</v>
      </c>
    </row>
    <row r="432" spans="1:8" x14ac:dyDescent="0.2">
      <c r="A432" s="2" t="s">
        <v>56</v>
      </c>
      <c r="B432" s="4">
        <v>9</v>
      </c>
      <c r="C432" s="5">
        <v>4.97</v>
      </c>
      <c r="D432" s="4">
        <v>6</v>
      </c>
      <c r="E432" s="5">
        <v>5.41</v>
      </c>
      <c r="F432" s="4">
        <v>2</v>
      </c>
      <c r="G432" s="5">
        <v>3.17</v>
      </c>
      <c r="H432" s="4">
        <v>0</v>
      </c>
    </row>
    <row r="433" spans="1:8" x14ac:dyDescent="0.2">
      <c r="A433" s="2" t="s">
        <v>57</v>
      </c>
      <c r="B433" s="4">
        <v>4</v>
      </c>
      <c r="C433" s="5">
        <v>2.21</v>
      </c>
      <c r="D433" s="4">
        <v>2</v>
      </c>
      <c r="E433" s="5">
        <v>1.8</v>
      </c>
      <c r="F433" s="4">
        <v>1</v>
      </c>
      <c r="G433" s="5">
        <v>1.59</v>
      </c>
      <c r="H433" s="4">
        <v>0</v>
      </c>
    </row>
    <row r="434" spans="1:8" x14ac:dyDescent="0.2">
      <c r="A434" s="1" t="s">
        <v>27</v>
      </c>
      <c r="B434" s="4">
        <v>440</v>
      </c>
      <c r="C434" s="5">
        <v>99.999999999999986</v>
      </c>
      <c r="D434" s="4">
        <v>265</v>
      </c>
      <c r="E434" s="5">
        <v>100.02</v>
      </c>
      <c r="F434" s="4">
        <v>172</v>
      </c>
      <c r="G434" s="5">
        <v>99.999999999999972</v>
      </c>
      <c r="H434" s="4">
        <v>1</v>
      </c>
    </row>
    <row r="435" spans="1:8" x14ac:dyDescent="0.2">
      <c r="A435" s="2" t="s">
        <v>43</v>
      </c>
      <c r="B435" s="4">
        <v>0</v>
      </c>
      <c r="C435" s="5">
        <v>0</v>
      </c>
      <c r="D435" s="4">
        <v>0</v>
      </c>
      <c r="E435" s="5">
        <v>0</v>
      </c>
      <c r="F435" s="4">
        <v>0</v>
      </c>
      <c r="G435" s="5">
        <v>0</v>
      </c>
      <c r="H435" s="4">
        <v>0</v>
      </c>
    </row>
    <row r="436" spans="1:8" x14ac:dyDescent="0.2">
      <c r="A436" s="2" t="s">
        <v>44</v>
      </c>
      <c r="B436" s="4">
        <v>65</v>
      </c>
      <c r="C436" s="5">
        <v>14.77</v>
      </c>
      <c r="D436" s="4">
        <v>24</v>
      </c>
      <c r="E436" s="5">
        <v>9.06</v>
      </c>
      <c r="F436" s="4">
        <v>41</v>
      </c>
      <c r="G436" s="5">
        <v>23.84</v>
      </c>
      <c r="H436" s="4">
        <v>0</v>
      </c>
    </row>
    <row r="437" spans="1:8" x14ac:dyDescent="0.2">
      <c r="A437" s="2" t="s">
        <v>45</v>
      </c>
      <c r="B437" s="4">
        <v>84</v>
      </c>
      <c r="C437" s="5">
        <v>19.09</v>
      </c>
      <c r="D437" s="4">
        <v>32</v>
      </c>
      <c r="E437" s="5">
        <v>12.08</v>
      </c>
      <c r="F437" s="4">
        <v>52</v>
      </c>
      <c r="G437" s="5">
        <v>30.23</v>
      </c>
      <c r="H437" s="4">
        <v>0</v>
      </c>
    </row>
    <row r="438" spans="1:8" x14ac:dyDescent="0.2">
      <c r="A438" s="2" t="s">
        <v>46</v>
      </c>
      <c r="B438" s="4">
        <v>0</v>
      </c>
      <c r="C438" s="5">
        <v>0</v>
      </c>
      <c r="D438" s="4">
        <v>0</v>
      </c>
      <c r="E438" s="5">
        <v>0</v>
      </c>
      <c r="F438" s="4">
        <v>0</v>
      </c>
      <c r="G438" s="5">
        <v>0</v>
      </c>
      <c r="H438" s="4">
        <v>0</v>
      </c>
    </row>
    <row r="439" spans="1:8" x14ac:dyDescent="0.2">
      <c r="A439" s="2" t="s">
        <v>47</v>
      </c>
      <c r="B439" s="4">
        <v>3</v>
      </c>
      <c r="C439" s="5">
        <v>0.68</v>
      </c>
      <c r="D439" s="4">
        <v>1</v>
      </c>
      <c r="E439" s="5">
        <v>0.38</v>
      </c>
      <c r="F439" s="4">
        <v>2</v>
      </c>
      <c r="G439" s="5">
        <v>1.1599999999999999</v>
      </c>
      <c r="H439" s="4">
        <v>0</v>
      </c>
    </row>
    <row r="440" spans="1:8" x14ac:dyDescent="0.2">
      <c r="A440" s="2" t="s">
        <v>48</v>
      </c>
      <c r="B440" s="4">
        <v>6</v>
      </c>
      <c r="C440" s="5">
        <v>1.36</v>
      </c>
      <c r="D440" s="4">
        <v>1</v>
      </c>
      <c r="E440" s="5">
        <v>0.38</v>
      </c>
      <c r="F440" s="4">
        <v>4</v>
      </c>
      <c r="G440" s="5">
        <v>2.33</v>
      </c>
      <c r="H440" s="4">
        <v>1</v>
      </c>
    </row>
    <row r="441" spans="1:8" x14ac:dyDescent="0.2">
      <c r="A441" s="2" t="s">
        <v>49</v>
      </c>
      <c r="B441" s="4">
        <v>81</v>
      </c>
      <c r="C441" s="5">
        <v>18.41</v>
      </c>
      <c r="D441" s="4">
        <v>48</v>
      </c>
      <c r="E441" s="5">
        <v>18.11</v>
      </c>
      <c r="F441" s="4">
        <v>33</v>
      </c>
      <c r="G441" s="5">
        <v>19.190000000000001</v>
      </c>
      <c r="H441" s="4">
        <v>0</v>
      </c>
    </row>
    <row r="442" spans="1:8" x14ac:dyDescent="0.2">
      <c r="A442" s="2" t="s">
        <v>50</v>
      </c>
      <c r="B442" s="4">
        <v>3</v>
      </c>
      <c r="C442" s="5">
        <v>0.68</v>
      </c>
      <c r="D442" s="4">
        <v>1</v>
      </c>
      <c r="E442" s="5">
        <v>0.38</v>
      </c>
      <c r="F442" s="4">
        <v>2</v>
      </c>
      <c r="G442" s="5">
        <v>1.1599999999999999</v>
      </c>
      <c r="H442" s="4">
        <v>0</v>
      </c>
    </row>
    <row r="443" spans="1:8" x14ac:dyDescent="0.2">
      <c r="A443" s="2" t="s">
        <v>51</v>
      </c>
      <c r="B443" s="4">
        <v>12</v>
      </c>
      <c r="C443" s="5">
        <v>2.73</v>
      </c>
      <c r="D443" s="4">
        <v>5</v>
      </c>
      <c r="E443" s="5">
        <v>1.89</v>
      </c>
      <c r="F443" s="4">
        <v>7</v>
      </c>
      <c r="G443" s="5">
        <v>4.07</v>
      </c>
      <c r="H443" s="4">
        <v>0</v>
      </c>
    </row>
    <row r="444" spans="1:8" x14ac:dyDescent="0.2">
      <c r="A444" s="2" t="s">
        <v>52</v>
      </c>
      <c r="B444" s="4">
        <v>20</v>
      </c>
      <c r="C444" s="5">
        <v>4.55</v>
      </c>
      <c r="D444" s="4">
        <v>17</v>
      </c>
      <c r="E444" s="5">
        <v>6.42</v>
      </c>
      <c r="F444" s="4">
        <v>3</v>
      </c>
      <c r="G444" s="5">
        <v>1.74</v>
      </c>
      <c r="H444" s="4">
        <v>0</v>
      </c>
    </row>
    <row r="445" spans="1:8" x14ac:dyDescent="0.2">
      <c r="A445" s="2" t="s">
        <v>53</v>
      </c>
      <c r="B445" s="4">
        <v>48</v>
      </c>
      <c r="C445" s="5">
        <v>10.91</v>
      </c>
      <c r="D445" s="4">
        <v>42</v>
      </c>
      <c r="E445" s="5">
        <v>15.85</v>
      </c>
      <c r="F445" s="4">
        <v>6</v>
      </c>
      <c r="G445" s="5">
        <v>3.49</v>
      </c>
      <c r="H445" s="4">
        <v>0</v>
      </c>
    </row>
    <row r="446" spans="1:8" x14ac:dyDescent="0.2">
      <c r="A446" s="2" t="s">
        <v>54</v>
      </c>
      <c r="B446" s="4">
        <v>53</v>
      </c>
      <c r="C446" s="5">
        <v>12.05</v>
      </c>
      <c r="D446" s="4">
        <v>46</v>
      </c>
      <c r="E446" s="5">
        <v>17.36</v>
      </c>
      <c r="F446" s="4">
        <v>7</v>
      </c>
      <c r="G446" s="5">
        <v>4.07</v>
      </c>
      <c r="H446" s="4">
        <v>0</v>
      </c>
    </row>
    <row r="447" spans="1:8" x14ac:dyDescent="0.2">
      <c r="A447" s="2" t="s">
        <v>55</v>
      </c>
      <c r="B447" s="4">
        <v>16</v>
      </c>
      <c r="C447" s="5">
        <v>3.64</v>
      </c>
      <c r="D447" s="4">
        <v>12</v>
      </c>
      <c r="E447" s="5">
        <v>4.53</v>
      </c>
      <c r="F447" s="4">
        <v>4</v>
      </c>
      <c r="G447" s="5">
        <v>2.33</v>
      </c>
      <c r="H447" s="4">
        <v>0</v>
      </c>
    </row>
    <row r="448" spans="1:8" x14ac:dyDescent="0.2">
      <c r="A448" s="2" t="s">
        <v>56</v>
      </c>
      <c r="B448" s="4">
        <v>25</v>
      </c>
      <c r="C448" s="5">
        <v>5.68</v>
      </c>
      <c r="D448" s="4">
        <v>21</v>
      </c>
      <c r="E448" s="5">
        <v>7.92</v>
      </c>
      <c r="F448" s="4">
        <v>2</v>
      </c>
      <c r="G448" s="5">
        <v>1.1599999999999999</v>
      </c>
      <c r="H448" s="4">
        <v>0</v>
      </c>
    </row>
    <row r="449" spans="1:8" x14ac:dyDescent="0.2">
      <c r="A449" s="2" t="s">
        <v>57</v>
      </c>
      <c r="B449" s="4">
        <v>24</v>
      </c>
      <c r="C449" s="5">
        <v>5.45</v>
      </c>
      <c r="D449" s="4">
        <v>15</v>
      </c>
      <c r="E449" s="5">
        <v>5.66</v>
      </c>
      <c r="F449" s="4">
        <v>9</v>
      </c>
      <c r="G449" s="5">
        <v>5.23</v>
      </c>
      <c r="H449" s="4">
        <v>0</v>
      </c>
    </row>
    <row r="450" spans="1:8" x14ac:dyDescent="0.2">
      <c r="A450" s="1" t="s">
        <v>28</v>
      </c>
      <c r="B450" s="4">
        <v>202</v>
      </c>
      <c r="C450" s="5">
        <v>100.03000000000002</v>
      </c>
      <c r="D450" s="4">
        <v>119</v>
      </c>
      <c r="E450" s="5">
        <v>99.990000000000023</v>
      </c>
      <c r="F450" s="4">
        <v>76</v>
      </c>
      <c r="G450" s="5">
        <v>100.01</v>
      </c>
      <c r="H450" s="4">
        <v>2</v>
      </c>
    </row>
    <row r="451" spans="1:8" x14ac:dyDescent="0.2">
      <c r="A451" s="2" t="s">
        <v>43</v>
      </c>
      <c r="B451" s="4">
        <v>0</v>
      </c>
      <c r="C451" s="5">
        <v>0</v>
      </c>
      <c r="D451" s="4">
        <v>0</v>
      </c>
      <c r="E451" s="5">
        <v>0</v>
      </c>
      <c r="F451" s="4">
        <v>0</v>
      </c>
      <c r="G451" s="5">
        <v>0</v>
      </c>
      <c r="H451" s="4">
        <v>0</v>
      </c>
    </row>
    <row r="452" spans="1:8" x14ac:dyDescent="0.2">
      <c r="A452" s="2" t="s">
        <v>44</v>
      </c>
      <c r="B452" s="4">
        <v>41</v>
      </c>
      <c r="C452" s="5">
        <v>20.3</v>
      </c>
      <c r="D452" s="4">
        <v>21</v>
      </c>
      <c r="E452" s="5">
        <v>17.649999999999999</v>
      </c>
      <c r="F452" s="4">
        <v>20</v>
      </c>
      <c r="G452" s="5">
        <v>26.32</v>
      </c>
      <c r="H452" s="4">
        <v>0</v>
      </c>
    </row>
    <row r="453" spans="1:8" x14ac:dyDescent="0.2">
      <c r="A453" s="2" t="s">
        <v>45</v>
      </c>
      <c r="B453" s="4">
        <v>43</v>
      </c>
      <c r="C453" s="5">
        <v>21.29</v>
      </c>
      <c r="D453" s="4">
        <v>16</v>
      </c>
      <c r="E453" s="5">
        <v>13.45</v>
      </c>
      <c r="F453" s="4">
        <v>27</v>
      </c>
      <c r="G453" s="5">
        <v>35.53</v>
      </c>
      <c r="H453" s="4">
        <v>0</v>
      </c>
    </row>
    <row r="454" spans="1:8" x14ac:dyDescent="0.2">
      <c r="A454" s="2" t="s">
        <v>46</v>
      </c>
      <c r="B454" s="4">
        <v>1</v>
      </c>
      <c r="C454" s="5">
        <v>0.5</v>
      </c>
      <c r="D454" s="4">
        <v>1</v>
      </c>
      <c r="E454" s="5">
        <v>0.84</v>
      </c>
      <c r="F454" s="4">
        <v>0</v>
      </c>
      <c r="G454" s="5">
        <v>0</v>
      </c>
      <c r="H454" s="4">
        <v>0</v>
      </c>
    </row>
    <row r="455" spans="1:8" x14ac:dyDescent="0.2">
      <c r="A455" s="2" t="s">
        <v>47</v>
      </c>
      <c r="B455" s="4">
        <v>0</v>
      </c>
      <c r="C455" s="5">
        <v>0</v>
      </c>
      <c r="D455" s="4">
        <v>0</v>
      </c>
      <c r="E455" s="5">
        <v>0</v>
      </c>
      <c r="F455" s="4">
        <v>0</v>
      </c>
      <c r="G455" s="5">
        <v>0</v>
      </c>
      <c r="H455" s="4">
        <v>0</v>
      </c>
    </row>
    <row r="456" spans="1:8" x14ac:dyDescent="0.2">
      <c r="A456" s="2" t="s">
        <v>48</v>
      </c>
      <c r="B456" s="4">
        <v>1</v>
      </c>
      <c r="C456" s="5">
        <v>0.5</v>
      </c>
      <c r="D456" s="4">
        <v>1</v>
      </c>
      <c r="E456" s="5">
        <v>0.84</v>
      </c>
      <c r="F456" s="4">
        <v>0</v>
      </c>
      <c r="G456" s="5">
        <v>0</v>
      </c>
      <c r="H456" s="4">
        <v>0</v>
      </c>
    </row>
    <row r="457" spans="1:8" x14ac:dyDescent="0.2">
      <c r="A457" s="2" t="s">
        <v>49</v>
      </c>
      <c r="B457" s="4">
        <v>46</v>
      </c>
      <c r="C457" s="5">
        <v>22.77</v>
      </c>
      <c r="D457" s="4">
        <v>30</v>
      </c>
      <c r="E457" s="5">
        <v>25.21</v>
      </c>
      <c r="F457" s="4">
        <v>14</v>
      </c>
      <c r="G457" s="5">
        <v>18.420000000000002</v>
      </c>
      <c r="H457" s="4">
        <v>2</v>
      </c>
    </row>
    <row r="458" spans="1:8" x14ac:dyDescent="0.2">
      <c r="A458" s="2" t="s">
        <v>50</v>
      </c>
      <c r="B458" s="4">
        <v>0</v>
      </c>
      <c r="C458" s="5">
        <v>0</v>
      </c>
      <c r="D458" s="4">
        <v>0</v>
      </c>
      <c r="E458" s="5">
        <v>0</v>
      </c>
      <c r="F458" s="4">
        <v>0</v>
      </c>
      <c r="G458" s="5">
        <v>0</v>
      </c>
      <c r="H458" s="4">
        <v>0</v>
      </c>
    </row>
    <row r="459" spans="1:8" x14ac:dyDescent="0.2">
      <c r="A459" s="2" t="s">
        <v>51</v>
      </c>
      <c r="B459" s="4">
        <v>7</v>
      </c>
      <c r="C459" s="5">
        <v>3.47</v>
      </c>
      <c r="D459" s="4">
        <v>2</v>
      </c>
      <c r="E459" s="5">
        <v>1.68</v>
      </c>
      <c r="F459" s="4">
        <v>5</v>
      </c>
      <c r="G459" s="5">
        <v>6.58</v>
      </c>
      <c r="H459" s="4">
        <v>0</v>
      </c>
    </row>
    <row r="460" spans="1:8" x14ac:dyDescent="0.2">
      <c r="A460" s="2" t="s">
        <v>52</v>
      </c>
      <c r="B460" s="4">
        <v>5</v>
      </c>
      <c r="C460" s="5">
        <v>2.48</v>
      </c>
      <c r="D460" s="4">
        <v>4</v>
      </c>
      <c r="E460" s="5">
        <v>3.36</v>
      </c>
      <c r="F460" s="4">
        <v>1</v>
      </c>
      <c r="G460" s="5">
        <v>1.32</v>
      </c>
      <c r="H460" s="4">
        <v>0</v>
      </c>
    </row>
    <row r="461" spans="1:8" x14ac:dyDescent="0.2">
      <c r="A461" s="2" t="s">
        <v>53</v>
      </c>
      <c r="B461" s="4">
        <v>15</v>
      </c>
      <c r="C461" s="5">
        <v>7.43</v>
      </c>
      <c r="D461" s="4">
        <v>14</v>
      </c>
      <c r="E461" s="5">
        <v>11.76</v>
      </c>
      <c r="F461" s="4">
        <v>0</v>
      </c>
      <c r="G461" s="5">
        <v>0</v>
      </c>
      <c r="H461" s="4">
        <v>0</v>
      </c>
    </row>
    <row r="462" spans="1:8" x14ac:dyDescent="0.2">
      <c r="A462" s="2" t="s">
        <v>54</v>
      </c>
      <c r="B462" s="4">
        <v>16</v>
      </c>
      <c r="C462" s="5">
        <v>7.92</v>
      </c>
      <c r="D462" s="4">
        <v>13</v>
      </c>
      <c r="E462" s="5">
        <v>10.92</v>
      </c>
      <c r="F462" s="4">
        <v>3</v>
      </c>
      <c r="G462" s="5">
        <v>3.95</v>
      </c>
      <c r="H462" s="4">
        <v>0</v>
      </c>
    </row>
    <row r="463" spans="1:8" x14ac:dyDescent="0.2">
      <c r="A463" s="2" t="s">
        <v>55</v>
      </c>
      <c r="B463" s="4">
        <v>6</v>
      </c>
      <c r="C463" s="5">
        <v>2.97</v>
      </c>
      <c r="D463" s="4">
        <v>5</v>
      </c>
      <c r="E463" s="5">
        <v>4.2</v>
      </c>
      <c r="F463" s="4">
        <v>0</v>
      </c>
      <c r="G463" s="5">
        <v>0</v>
      </c>
      <c r="H463" s="4">
        <v>0</v>
      </c>
    </row>
    <row r="464" spans="1:8" x14ac:dyDescent="0.2">
      <c r="A464" s="2" t="s">
        <v>56</v>
      </c>
      <c r="B464" s="4">
        <v>11</v>
      </c>
      <c r="C464" s="5">
        <v>5.45</v>
      </c>
      <c r="D464" s="4">
        <v>6</v>
      </c>
      <c r="E464" s="5">
        <v>5.04</v>
      </c>
      <c r="F464" s="4">
        <v>2</v>
      </c>
      <c r="G464" s="5">
        <v>2.63</v>
      </c>
      <c r="H464" s="4">
        <v>0</v>
      </c>
    </row>
    <row r="465" spans="1:8" x14ac:dyDescent="0.2">
      <c r="A465" s="2" t="s">
        <v>57</v>
      </c>
      <c r="B465" s="4">
        <v>10</v>
      </c>
      <c r="C465" s="5">
        <v>4.95</v>
      </c>
      <c r="D465" s="4">
        <v>6</v>
      </c>
      <c r="E465" s="5">
        <v>5.04</v>
      </c>
      <c r="F465" s="4">
        <v>4</v>
      </c>
      <c r="G465" s="5">
        <v>5.26</v>
      </c>
      <c r="H465" s="4">
        <v>0</v>
      </c>
    </row>
    <row r="466" spans="1:8" x14ac:dyDescent="0.2">
      <c r="A466" s="1" t="s">
        <v>29</v>
      </c>
      <c r="B466" s="4">
        <v>302</v>
      </c>
      <c r="C466" s="5">
        <v>99.989999999999981</v>
      </c>
      <c r="D466" s="4">
        <v>176</v>
      </c>
      <c r="E466" s="5">
        <v>100.01</v>
      </c>
      <c r="F466" s="4">
        <v>123</v>
      </c>
      <c r="G466" s="5">
        <v>100.02999999999997</v>
      </c>
      <c r="H466" s="4">
        <v>0</v>
      </c>
    </row>
    <row r="467" spans="1:8" x14ac:dyDescent="0.2">
      <c r="A467" s="2" t="s">
        <v>43</v>
      </c>
      <c r="B467" s="4">
        <v>0</v>
      </c>
      <c r="C467" s="5">
        <v>0</v>
      </c>
      <c r="D467" s="4">
        <v>0</v>
      </c>
      <c r="E467" s="5">
        <v>0</v>
      </c>
      <c r="F467" s="4">
        <v>0</v>
      </c>
      <c r="G467" s="5">
        <v>0</v>
      </c>
      <c r="H467" s="4">
        <v>0</v>
      </c>
    </row>
    <row r="468" spans="1:8" x14ac:dyDescent="0.2">
      <c r="A468" s="2" t="s">
        <v>44</v>
      </c>
      <c r="B468" s="4">
        <v>65</v>
      </c>
      <c r="C468" s="5">
        <v>21.52</v>
      </c>
      <c r="D468" s="4">
        <v>30</v>
      </c>
      <c r="E468" s="5">
        <v>17.05</v>
      </c>
      <c r="F468" s="4">
        <v>35</v>
      </c>
      <c r="G468" s="5">
        <v>28.46</v>
      </c>
      <c r="H468" s="4">
        <v>0</v>
      </c>
    </row>
    <row r="469" spans="1:8" x14ac:dyDescent="0.2">
      <c r="A469" s="2" t="s">
        <v>45</v>
      </c>
      <c r="B469" s="4">
        <v>79</v>
      </c>
      <c r="C469" s="5">
        <v>26.16</v>
      </c>
      <c r="D469" s="4">
        <v>44</v>
      </c>
      <c r="E469" s="5">
        <v>25</v>
      </c>
      <c r="F469" s="4">
        <v>35</v>
      </c>
      <c r="G469" s="5">
        <v>28.46</v>
      </c>
      <c r="H469" s="4">
        <v>0</v>
      </c>
    </row>
    <row r="470" spans="1:8" x14ac:dyDescent="0.2">
      <c r="A470" s="2" t="s">
        <v>46</v>
      </c>
      <c r="B470" s="4">
        <v>3</v>
      </c>
      <c r="C470" s="5">
        <v>0.99</v>
      </c>
      <c r="D470" s="4">
        <v>0</v>
      </c>
      <c r="E470" s="5">
        <v>0</v>
      </c>
      <c r="F470" s="4">
        <v>2</v>
      </c>
      <c r="G470" s="5">
        <v>1.63</v>
      </c>
      <c r="H470" s="4">
        <v>0</v>
      </c>
    </row>
    <row r="471" spans="1:8" x14ac:dyDescent="0.2">
      <c r="A471" s="2" t="s">
        <v>47</v>
      </c>
      <c r="B471" s="4">
        <v>0</v>
      </c>
      <c r="C471" s="5">
        <v>0</v>
      </c>
      <c r="D471" s="4">
        <v>0</v>
      </c>
      <c r="E471" s="5">
        <v>0</v>
      </c>
      <c r="F471" s="4">
        <v>0</v>
      </c>
      <c r="G471" s="5">
        <v>0</v>
      </c>
      <c r="H471" s="4">
        <v>0</v>
      </c>
    </row>
    <row r="472" spans="1:8" x14ac:dyDescent="0.2">
      <c r="A472" s="2" t="s">
        <v>48</v>
      </c>
      <c r="B472" s="4">
        <v>3</v>
      </c>
      <c r="C472" s="5">
        <v>0.99</v>
      </c>
      <c r="D472" s="4">
        <v>0</v>
      </c>
      <c r="E472" s="5">
        <v>0</v>
      </c>
      <c r="F472" s="4">
        <v>3</v>
      </c>
      <c r="G472" s="5">
        <v>2.44</v>
      </c>
      <c r="H472" s="4">
        <v>0</v>
      </c>
    </row>
    <row r="473" spans="1:8" x14ac:dyDescent="0.2">
      <c r="A473" s="2" t="s">
        <v>49</v>
      </c>
      <c r="B473" s="4">
        <v>49</v>
      </c>
      <c r="C473" s="5">
        <v>16.23</v>
      </c>
      <c r="D473" s="4">
        <v>29</v>
      </c>
      <c r="E473" s="5">
        <v>16.48</v>
      </c>
      <c r="F473" s="4">
        <v>20</v>
      </c>
      <c r="G473" s="5">
        <v>16.260000000000002</v>
      </c>
      <c r="H473" s="4">
        <v>0</v>
      </c>
    </row>
    <row r="474" spans="1:8" x14ac:dyDescent="0.2">
      <c r="A474" s="2" t="s">
        <v>50</v>
      </c>
      <c r="B474" s="4">
        <v>3</v>
      </c>
      <c r="C474" s="5">
        <v>0.99</v>
      </c>
      <c r="D474" s="4">
        <v>0</v>
      </c>
      <c r="E474" s="5">
        <v>0</v>
      </c>
      <c r="F474" s="4">
        <v>3</v>
      </c>
      <c r="G474" s="5">
        <v>2.44</v>
      </c>
      <c r="H474" s="4">
        <v>0</v>
      </c>
    </row>
    <row r="475" spans="1:8" x14ac:dyDescent="0.2">
      <c r="A475" s="2" t="s">
        <v>51</v>
      </c>
      <c r="B475" s="4">
        <v>10</v>
      </c>
      <c r="C475" s="5">
        <v>3.31</v>
      </c>
      <c r="D475" s="4">
        <v>4</v>
      </c>
      <c r="E475" s="5">
        <v>2.27</v>
      </c>
      <c r="F475" s="4">
        <v>6</v>
      </c>
      <c r="G475" s="5">
        <v>4.88</v>
      </c>
      <c r="H475" s="4">
        <v>0</v>
      </c>
    </row>
    <row r="476" spans="1:8" x14ac:dyDescent="0.2">
      <c r="A476" s="2" t="s">
        <v>52</v>
      </c>
      <c r="B476" s="4">
        <v>3</v>
      </c>
      <c r="C476" s="5">
        <v>0.99</v>
      </c>
      <c r="D476" s="4">
        <v>1</v>
      </c>
      <c r="E476" s="5">
        <v>0.56999999999999995</v>
      </c>
      <c r="F476" s="4">
        <v>2</v>
      </c>
      <c r="G476" s="5">
        <v>1.63</v>
      </c>
      <c r="H476" s="4">
        <v>0</v>
      </c>
    </row>
    <row r="477" spans="1:8" x14ac:dyDescent="0.2">
      <c r="A477" s="2" t="s">
        <v>53</v>
      </c>
      <c r="B477" s="4">
        <v>25</v>
      </c>
      <c r="C477" s="5">
        <v>8.2799999999999994</v>
      </c>
      <c r="D477" s="4">
        <v>23</v>
      </c>
      <c r="E477" s="5">
        <v>13.07</v>
      </c>
      <c r="F477" s="4">
        <v>2</v>
      </c>
      <c r="G477" s="5">
        <v>1.63</v>
      </c>
      <c r="H477" s="4">
        <v>0</v>
      </c>
    </row>
    <row r="478" spans="1:8" x14ac:dyDescent="0.2">
      <c r="A478" s="2" t="s">
        <v>54</v>
      </c>
      <c r="B478" s="4">
        <v>30</v>
      </c>
      <c r="C478" s="5">
        <v>9.93</v>
      </c>
      <c r="D478" s="4">
        <v>28</v>
      </c>
      <c r="E478" s="5">
        <v>15.91</v>
      </c>
      <c r="F478" s="4">
        <v>2</v>
      </c>
      <c r="G478" s="5">
        <v>1.63</v>
      </c>
      <c r="H478" s="4">
        <v>0</v>
      </c>
    </row>
    <row r="479" spans="1:8" x14ac:dyDescent="0.2">
      <c r="A479" s="2" t="s">
        <v>55</v>
      </c>
      <c r="B479" s="4">
        <v>3</v>
      </c>
      <c r="C479" s="5">
        <v>0.99</v>
      </c>
      <c r="D479" s="4">
        <v>0</v>
      </c>
      <c r="E479" s="5">
        <v>0</v>
      </c>
      <c r="F479" s="4">
        <v>3</v>
      </c>
      <c r="G479" s="5">
        <v>2.44</v>
      </c>
      <c r="H479" s="4">
        <v>0</v>
      </c>
    </row>
    <row r="480" spans="1:8" x14ac:dyDescent="0.2">
      <c r="A480" s="2" t="s">
        <v>56</v>
      </c>
      <c r="B480" s="4">
        <v>14</v>
      </c>
      <c r="C480" s="5">
        <v>4.6399999999999997</v>
      </c>
      <c r="D480" s="4">
        <v>10</v>
      </c>
      <c r="E480" s="5">
        <v>5.68</v>
      </c>
      <c r="F480" s="4">
        <v>2</v>
      </c>
      <c r="G480" s="5">
        <v>1.63</v>
      </c>
      <c r="H480" s="4">
        <v>0</v>
      </c>
    </row>
    <row r="481" spans="1:8" x14ac:dyDescent="0.2">
      <c r="A481" s="2" t="s">
        <v>57</v>
      </c>
      <c r="B481" s="4">
        <v>15</v>
      </c>
      <c r="C481" s="5">
        <v>4.97</v>
      </c>
      <c r="D481" s="4">
        <v>7</v>
      </c>
      <c r="E481" s="5">
        <v>3.98</v>
      </c>
      <c r="F481" s="4">
        <v>8</v>
      </c>
      <c r="G481" s="5">
        <v>6.5</v>
      </c>
      <c r="H481" s="4">
        <v>0</v>
      </c>
    </row>
    <row r="482" spans="1:8" x14ac:dyDescent="0.2">
      <c r="A482" s="1" t="s">
        <v>30</v>
      </c>
      <c r="B482" s="4">
        <v>579</v>
      </c>
      <c r="C482" s="5">
        <v>100.02000000000002</v>
      </c>
      <c r="D482" s="4">
        <v>338</v>
      </c>
      <c r="E482" s="5">
        <v>100.01</v>
      </c>
      <c r="F482" s="4">
        <v>215</v>
      </c>
      <c r="G482" s="5">
        <v>100.01</v>
      </c>
      <c r="H482" s="4">
        <v>3</v>
      </c>
    </row>
    <row r="483" spans="1:8" x14ac:dyDescent="0.2">
      <c r="A483" s="2" t="s">
        <v>43</v>
      </c>
      <c r="B483" s="4">
        <v>2</v>
      </c>
      <c r="C483" s="5">
        <v>0.35</v>
      </c>
      <c r="D483" s="4">
        <v>0</v>
      </c>
      <c r="E483" s="5">
        <v>0</v>
      </c>
      <c r="F483" s="4">
        <v>2</v>
      </c>
      <c r="G483" s="5">
        <v>0.93</v>
      </c>
      <c r="H483" s="4">
        <v>0</v>
      </c>
    </row>
    <row r="484" spans="1:8" x14ac:dyDescent="0.2">
      <c r="A484" s="2" t="s">
        <v>44</v>
      </c>
      <c r="B484" s="4">
        <v>157</v>
      </c>
      <c r="C484" s="5">
        <v>27.12</v>
      </c>
      <c r="D484" s="4">
        <v>68</v>
      </c>
      <c r="E484" s="5">
        <v>20.12</v>
      </c>
      <c r="F484" s="4">
        <v>89</v>
      </c>
      <c r="G484" s="5">
        <v>41.4</v>
      </c>
      <c r="H484" s="4">
        <v>0</v>
      </c>
    </row>
    <row r="485" spans="1:8" x14ac:dyDescent="0.2">
      <c r="A485" s="2" t="s">
        <v>45</v>
      </c>
      <c r="B485" s="4">
        <v>59</v>
      </c>
      <c r="C485" s="5">
        <v>10.19</v>
      </c>
      <c r="D485" s="4">
        <v>29</v>
      </c>
      <c r="E485" s="5">
        <v>8.58</v>
      </c>
      <c r="F485" s="4">
        <v>28</v>
      </c>
      <c r="G485" s="5">
        <v>13.02</v>
      </c>
      <c r="H485" s="4">
        <v>2</v>
      </c>
    </row>
    <row r="486" spans="1:8" x14ac:dyDescent="0.2">
      <c r="A486" s="2" t="s">
        <v>46</v>
      </c>
      <c r="B486" s="4">
        <v>2</v>
      </c>
      <c r="C486" s="5">
        <v>0.35</v>
      </c>
      <c r="D486" s="4">
        <v>0</v>
      </c>
      <c r="E486" s="5">
        <v>0</v>
      </c>
      <c r="F486" s="4">
        <v>2</v>
      </c>
      <c r="G486" s="5">
        <v>0.93</v>
      </c>
      <c r="H486" s="4">
        <v>0</v>
      </c>
    </row>
    <row r="487" spans="1:8" x14ac:dyDescent="0.2">
      <c r="A487" s="2" t="s">
        <v>47</v>
      </c>
      <c r="B487" s="4">
        <v>3</v>
      </c>
      <c r="C487" s="5">
        <v>0.52</v>
      </c>
      <c r="D487" s="4">
        <v>0</v>
      </c>
      <c r="E487" s="5">
        <v>0</v>
      </c>
      <c r="F487" s="4">
        <v>3</v>
      </c>
      <c r="G487" s="5">
        <v>1.4</v>
      </c>
      <c r="H487" s="4">
        <v>0</v>
      </c>
    </row>
    <row r="488" spans="1:8" x14ac:dyDescent="0.2">
      <c r="A488" s="2" t="s">
        <v>48</v>
      </c>
      <c r="B488" s="4">
        <v>3</v>
      </c>
      <c r="C488" s="5">
        <v>0.52</v>
      </c>
      <c r="D488" s="4">
        <v>1</v>
      </c>
      <c r="E488" s="5">
        <v>0.3</v>
      </c>
      <c r="F488" s="4">
        <v>2</v>
      </c>
      <c r="G488" s="5">
        <v>0.93</v>
      </c>
      <c r="H488" s="4">
        <v>0</v>
      </c>
    </row>
    <row r="489" spans="1:8" x14ac:dyDescent="0.2">
      <c r="A489" s="2" t="s">
        <v>49</v>
      </c>
      <c r="B489" s="4">
        <v>124</v>
      </c>
      <c r="C489" s="5">
        <v>21.42</v>
      </c>
      <c r="D489" s="4">
        <v>90</v>
      </c>
      <c r="E489" s="5">
        <v>26.63</v>
      </c>
      <c r="F489" s="4">
        <v>34</v>
      </c>
      <c r="G489" s="5">
        <v>15.81</v>
      </c>
      <c r="H489" s="4">
        <v>0</v>
      </c>
    </row>
    <row r="490" spans="1:8" x14ac:dyDescent="0.2">
      <c r="A490" s="2" t="s">
        <v>50</v>
      </c>
      <c r="B490" s="4">
        <v>1</v>
      </c>
      <c r="C490" s="5">
        <v>0.17</v>
      </c>
      <c r="D490" s="4">
        <v>1</v>
      </c>
      <c r="E490" s="5">
        <v>0.3</v>
      </c>
      <c r="F490" s="4">
        <v>0</v>
      </c>
      <c r="G490" s="5">
        <v>0</v>
      </c>
      <c r="H490" s="4">
        <v>0</v>
      </c>
    </row>
    <row r="491" spans="1:8" x14ac:dyDescent="0.2">
      <c r="A491" s="2" t="s">
        <v>51</v>
      </c>
      <c r="B491" s="4">
        <v>11</v>
      </c>
      <c r="C491" s="5">
        <v>1.9</v>
      </c>
      <c r="D491" s="4">
        <v>4</v>
      </c>
      <c r="E491" s="5">
        <v>1.18</v>
      </c>
      <c r="F491" s="4">
        <v>7</v>
      </c>
      <c r="G491" s="5">
        <v>3.26</v>
      </c>
      <c r="H491" s="4">
        <v>0</v>
      </c>
    </row>
    <row r="492" spans="1:8" x14ac:dyDescent="0.2">
      <c r="A492" s="2" t="s">
        <v>52</v>
      </c>
      <c r="B492" s="4">
        <v>21</v>
      </c>
      <c r="C492" s="5">
        <v>3.63</v>
      </c>
      <c r="D492" s="4">
        <v>12</v>
      </c>
      <c r="E492" s="5">
        <v>3.55</v>
      </c>
      <c r="F492" s="4">
        <v>8</v>
      </c>
      <c r="G492" s="5">
        <v>3.72</v>
      </c>
      <c r="H492" s="4">
        <v>0</v>
      </c>
    </row>
    <row r="493" spans="1:8" x14ac:dyDescent="0.2">
      <c r="A493" s="2" t="s">
        <v>53</v>
      </c>
      <c r="B493" s="4">
        <v>54</v>
      </c>
      <c r="C493" s="5">
        <v>9.33</v>
      </c>
      <c r="D493" s="4">
        <v>40</v>
      </c>
      <c r="E493" s="5">
        <v>11.83</v>
      </c>
      <c r="F493" s="4">
        <v>14</v>
      </c>
      <c r="G493" s="5">
        <v>6.51</v>
      </c>
      <c r="H493" s="4">
        <v>0</v>
      </c>
    </row>
    <row r="494" spans="1:8" x14ac:dyDescent="0.2">
      <c r="A494" s="2" t="s">
        <v>54</v>
      </c>
      <c r="B494" s="4">
        <v>67</v>
      </c>
      <c r="C494" s="5">
        <v>11.57</v>
      </c>
      <c r="D494" s="4">
        <v>54</v>
      </c>
      <c r="E494" s="5">
        <v>15.98</v>
      </c>
      <c r="F494" s="4">
        <v>11</v>
      </c>
      <c r="G494" s="5">
        <v>5.12</v>
      </c>
      <c r="H494" s="4">
        <v>1</v>
      </c>
    </row>
    <row r="495" spans="1:8" x14ac:dyDescent="0.2">
      <c r="A495" s="2" t="s">
        <v>55</v>
      </c>
      <c r="B495" s="4">
        <v>35</v>
      </c>
      <c r="C495" s="5">
        <v>6.04</v>
      </c>
      <c r="D495" s="4">
        <v>14</v>
      </c>
      <c r="E495" s="5">
        <v>4.1399999999999997</v>
      </c>
      <c r="F495" s="4">
        <v>4</v>
      </c>
      <c r="G495" s="5">
        <v>1.86</v>
      </c>
      <c r="H495" s="4">
        <v>0</v>
      </c>
    </row>
    <row r="496" spans="1:8" x14ac:dyDescent="0.2">
      <c r="A496" s="2" t="s">
        <v>56</v>
      </c>
      <c r="B496" s="4">
        <v>19</v>
      </c>
      <c r="C496" s="5">
        <v>3.28</v>
      </c>
      <c r="D496" s="4">
        <v>17</v>
      </c>
      <c r="E496" s="5">
        <v>5.03</v>
      </c>
      <c r="F496" s="4">
        <v>2</v>
      </c>
      <c r="G496" s="5">
        <v>0.93</v>
      </c>
      <c r="H496" s="4">
        <v>0</v>
      </c>
    </row>
    <row r="497" spans="1:8" x14ac:dyDescent="0.2">
      <c r="A497" s="2" t="s">
        <v>57</v>
      </c>
      <c r="B497" s="4">
        <v>21</v>
      </c>
      <c r="C497" s="5">
        <v>3.63</v>
      </c>
      <c r="D497" s="4">
        <v>8</v>
      </c>
      <c r="E497" s="5">
        <v>2.37</v>
      </c>
      <c r="F497" s="4">
        <v>9</v>
      </c>
      <c r="G497" s="5">
        <v>4.1900000000000004</v>
      </c>
      <c r="H497" s="4">
        <v>0</v>
      </c>
    </row>
    <row r="498" spans="1:8" x14ac:dyDescent="0.2">
      <c r="A498" s="1" t="s">
        <v>31</v>
      </c>
      <c r="B498" s="4">
        <v>449</v>
      </c>
      <c r="C498" s="5">
        <v>100.02000000000001</v>
      </c>
      <c r="D498" s="4">
        <v>247</v>
      </c>
      <c r="E498" s="5">
        <v>99.990000000000009</v>
      </c>
      <c r="F498" s="4">
        <v>186</v>
      </c>
      <c r="G498" s="5">
        <v>100.00999999999999</v>
      </c>
      <c r="H498" s="4">
        <v>2</v>
      </c>
    </row>
    <row r="499" spans="1:8" x14ac:dyDescent="0.2">
      <c r="A499" s="2" t="s">
        <v>43</v>
      </c>
      <c r="B499" s="4">
        <v>2</v>
      </c>
      <c r="C499" s="5">
        <v>0.45</v>
      </c>
      <c r="D499" s="4">
        <v>0</v>
      </c>
      <c r="E499" s="5">
        <v>0</v>
      </c>
      <c r="F499" s="4">
        <v>2</v>
      </c>
      <c r="G499" s="5">
        <v>1.08</v>
      </c>
      <c r="H499" s="4">
        <v>0</v>
      </c>
    </row>
    <row r="500" spans="1:8" x14ac:dyDescent="0.2">
      <c r="A500" s="2" t="s">
        <v>44</v>
      </c>
      <c r="B500" s="4">
        <v>98</v>
      </c>
      <c r="C500" s="5">
        <v>21.83</v>
      </c>
      <c r="D500" s="4">
        <v>42</v>
      </c>
      <c r="E500" s="5">
        <v>17</v>
      </c>
      <c r="F500" s="4">
        <v>56</v>
      </c>
      <c r="G500" s="5">
        <v>30.11</v>
      </c>
      <c r="H500" s="4">
        <v>0</v>
      </c>
    </row>
    <row r="501" spans="1:8" x14ac:dyDescent="0.2">
      <c r="A501" s="2" t="s">
        <v>45</v>
      </c>
      <c r="B501" s="4">
        <v>48</v>
      </c>
      <c r="C501" s="5">
        <v>10.69</v>
      </c>
      <c r="D501" s="4">
        <v>12</v>
      </c>
      <c r="E501" s="5">
        <v>4.8600000000000003</v>
      </c>
      <c r="F501" s="4">
        <v>36</v>
      </c>
      <c r="G501" s="5">
        <v>19.350000000000001</v>
      </c>
      <c r="H501" s="4">
        <v>0</v>
      </c>
    </row>
    <row r="502" spans="1:8" x14ac:dyDescent="0.2">
      <c r="A502" s="2" t="s">
        <v>46</v>
      </c>
      <c r="B502" s="4">
        <v>2</v>
      </c>
      <c r="C502" s="5">
        <v>0.45</v>
      </c>
      <c r="D502" s="4">
        <v>0</v>
      </c>
      <c r="E502" s="5">
        <v>0</v>
      </c>
      <c r="F502" s="4">
        <v>1</v>
      </c>
      <c r="G502" s="5">
        <v>0.54</v>
      </c>
      <c r="H502" s="4">
        <v>0</v>
      </c>
    </row>
    <row r="503" spans="1:8" x14ac:dyDescent="0.2">
      <c r="A503" s="2" t="s">
        <v>47</v>
      </c>
      <c r="B503" s="4">
        <v>1</v>
      </c>
      <c r="C503" s="5">
        <v>0.22</v>
      </c>
      <c r="D503" s="4">
        <v>0</v>
      </c>
      <c r="E503" s="5">
        <v>0</v>
      </c>
      <c r="F503" s="4">
        <v>1</v>
      </c>
      <c r="G503" s="5">
        <v>0.54</v>
      </c>
      <c r="H503" s="4">
        <v>0</v>
      </c>
    </row>
    <row r="504" spans="1:8" x14ac:dyDescent="0.2">
      <c r="A504" s="2" t="s">
        <v>48</v>
      </c>
      <c r="B504" s="4">
        <v>1</v>
      </c>
      <c r="C504" s="5">
        <v>0.22</v>
      </c>
      <c r="D504" s="4">
        <v>0</v>
      </c>
      <c r="E504" s="5">
        <v>0</v>
      </c>
      <c r="F504" s="4">
        <v>1</v>
      </c>
      <c r="G504" s="5">
        <v>0.54</v>
      </c>
      <c r="H504" s="4">
        <v>0</v>
      </c>
    </row>
    <row r="505" spans="1:8" x14ac:dyDescent="0.2">
      <c r="A505" s="2" t="s">
        <v>49</v>
      </c>
      <c r="B505" s="4">
        <v>103</v>
      </c>
      <c r="C505" s="5">
        <v>22.94</v>
      </c>
      <c r="D505" s="4">
        <v>60</v>
      </c>
      <c r="E505" s="5">
        <v>24.29</v>
      </c>
      <c r="F505" s="4">
        <v>41</v>
      </c>
      <c r="G505" s="5">
        <v>22.04</v>
      </c>
      <c r="H505" s="4">
        <v>2</v>
      </c>
    </row>
    <row r="506" spans="1:8" x14ac:dyDescent="0.2">
      <c r="A506" s="2" t="s">
        <v>50</v>
      </c>
      <c r="B506" s="4">
        <v>4</v>
      </c>
      <c r="C506" s="5">
        <v>0.89</v>
      </c>
      <c r="D506" s="4">
        <v>1</v>
      </c>
      <c r="E506" s="5">
        <v>0.4</v>
      </c>
      <c r="F506" s="4">
        <v>3</v>
      </c>
      <c r="G506" s="5">
        <v>1.61</v>
      </c>
      <c r="H506" s="4">
        <v>0</v>
      </c>
    </row>
    <row r="507" spans="1:8" x14ac:dyDescent="0.2">
      <c r="A507" s="2" t="s">
        <v>51</v>
      </c>
      <c r="B507" s="4">
        <v>15</v>
      </c>
      <c r="C507" s="5">
        <v>3.34</v>
      </c>
      <c r="D507" s="4">
        <v>5</v>
      </c>
      <c r="E507" s="5">
        <v>2.02</v>
      </c>
      <c r="F507" s="4">
        <v>10</v>
      </c>
      <c r="G507" s="5">
        <v>5.38</v>
      </c>
      <c r="H507" s="4">
        <v>0</v>
      </c>
    </row>
    <row r="508" spans="1:8" x14ac:dyDescent="0.2">
      <c r="A508" s="2" t="s">
        <v>52</v>
      </c>
      <c r="B508" s="4">
        <v>14</v>
      </c>
      <c r="C508" s="5">
        <v>3.12</v>
      </c>
      <c r="D508" s="4">
        <v>7</v>
      </c>
      <c r="E508" s="5">
        <v>2.83</v>
      </c>
      <c r="F508" s="4">
        <v>6</v>
      </c>
      <c r="G508" s="5">
        <v>3.23</v>
      </c>
      <c r="H508" s="4">
        <v>0</v>
      </c>
    </row>
    <row r="509" spans="1:8" x14ac:dyDescent="0.2">
      <c r="A509" s="2" t="s">
        <v>53</v>
      </c>
      <c r="B509" s="4">
        <v>33</v>
      </c>
      <c r="C509" s="5">
        <v>7.35</v>
      </c>
      <c r="D509" s="4">
        <v>28</v>
      </c>
      <c r="E509" s="5">
        <v>11.34</v>
      </c>
      <c r="F509" s="4">
        <v>5</v>
      </c>
      <c r="G509" s="5">
        <v>2.69</v>
      </c>
      <c r="H509" s="4">
        <v>0</v>
      </c>
    </row>
    <row r="510" spans="1:8" x14ac:dyDescent="0.2">
      <c r="A510" s="2" t="s">
        <v>54</v>
      </c>
      <c r="B510" s="4">
        <v>51</v>
      </c>
      <c r="C510" s="5">
        <v>11.36</v>
      </c>
      <c r="D510" s="4">
        <v>39</v>
      </c>
      <c r="E510" s="5">
        <v>15.79</v>
      </c>
      <c r="F510" s="4">
        <v>9</v>
      </c>
      <c r="G510" s="5">
        <v>4.84</v>
      </c>
      <c r="H510" s="4">
        <v>0</v>
      </c>
    </row>
    <row r="511" spans="1:8" x14ac:dyDescent="0.2">
      <c r="A511" s="2" t="s">
        <v>55</v>
      </c>
      <c r="B511" s="4">
        <v>35</v>
      </c>
      <c r="C511" s="5">
        <v>7.8</v>
      </c>
      <c r="D511" s="4">
        <v>28</v>
      </c>
      <c r="E511" s="5">
        <v>11.34</v>
      </c>
      <c r="F511" s="4">
        <v>3</v>
      </c>
      <c r="G511" s="5">
        <v>1.61</v>
      </c>
      <c r="H511" s="4">
        <v>0</v>
      </c>
    </row>
    <row r="512" spans="1:8" x14ac:dyDescent="0.2">
      <c r="A512" s="2" t="s">
        <v>56</v>
      </c>
      <c r="B512" s="4">
        <v>21</v>
      </c>
      <c r="C512" s="5">
        <v>4.68</v>
      </c>
      <c r="D512" s="4">
        <v>14</v>
      </c>
      <c r="E512" s="5">
        <v>5.67</v>
      </c>
      <c r="F512" s="4">
        <v>4</v>
      </c>
      <c r="G512" s="5">
        <v>2.15</v>
      </c>
      <c r="H512" s="4">
        <v>0</v>
      </c>
    </row>
    <row r="513" spans="1:8" x14ac:dyDescent="0.2">
      <c r="A513" s="2" t="s">
        <v>57</v>
      </c>
      <c r="B513" s="4">
        <v>21</v>
      </c>
      <c r="C513" s="5">
        <v>4.68</v>
      </c>
      <c r="D513" s="4">
        <v>11</v>
      </c>
      <c r="E513" s="5">
        <v>4.45</v>
      </c>
      <c r="F513" s="4">
        <v>8</v>
      </c>
      <c r="G513" s="5">
        <v>4.3</v>
      </c>
      <c r="H513" s="4">
        <v>0</v>
      </c>
    </row>
    <row r="514" spans="1:8" x14ac:dyDescent="0.2">
      <c r="A514" s="1" t="s">
        <v>32</v>
      </c>
      <c r="B514" s="4">
        <v>570</v>
      </c>
      <c r="C514" s="5">
        <v>100.01</v>
      </c>
      <c r="D514" s="4">
        <v>327</v>
      </c>
      <c r="E514" s="5">
        <v>100</v>
      </c>
      <c r="F514" s="4">
        <v>224</v>
      </c>
      <c r="G514" s="5">
        <v>100.01</v>
      </c>
      <c r="H514" s="4">
        <v>2</v>
      </c>
    </row>
    <row r="515" spans="1:8" x14ac:dyDescent="0.2">
      <c r="A515" s="2" t="s">
        <v>43</v>
      </c>
      <c r="B515" s="4">
        <v>0</v>
      </c>
      <c r="C515" s="5">
        <v>0</v>
      </c>
      <c r="D515" s="4">
        <v>0</v>
      </c>
      <c r="E515" s="5">
        <v>0</v>
      </c>
      <c r="F515" s="4">
        <v>0</v>
      </c>
      <c r="G515" s="5">
        <v>0</v>
      </c>
      <c r="H515" s="4">
        <v>0</v>
      </c>
    </row>
    <row r="516" spans="1:8" x14ac:dyDescent="0.2">
      <c r="A516" s="2" t="s">
        <v>44</v>
      </c>
      <c r="B516" s="4">
        <v>113</v>
      </c>
      <c r="C516" s="5">
        <v>19.82</v>
      </c>
      <c r="D516" s="4">
        <v>51</v>
      </c>
      <c r="E516" s="5">
        <v>15.6</v>
      </c>
      <c r="F516" s="4">
        <v>62</v>
      </c>
      <c r="G516" s="5">
        <v>27.68</v>
      </c>
      <c r="H516" s="4">
        <v>0</v>
      </c>
    </row>
    <row r="517" spans="1:8" x14ac:dyDescent="0.2">
      <c r="A517" s="2" t="s">
        <v>45</v>
      </c>
      <c r="B517" s="4">
        <v>80</v>
      </c>
      <c r="C517" s="5">
        <v>14.04</v>
      </c>
      <c r="D517" s="4">
        <v>32</v>
      </c>
      <c r="E517" s="5">
        <v>9.7899999999999991</v>
      </c>
      <c r="F517" s="4">
        <v>48</v>
      </c>
      <c r="G517" s="5">
        <v>21.43</v>
      </c>
      <c r="H517" s="4">
        <v>0</v>
      </c>
    </row>
    <row r="518" spans="1:8" x14ac:dyDescent="0.2">
      <c r="A518" s="2" t="s">
        <v>46</v>
      </c>
      <c r="B518" s="4">
        <v>3</v>
      </c>
      <c r="C518" s="5">
        <v>0.53</v>
      </c>
      <c r="D518" s="4">
        <v>0</v>
      </c>
      <c r="E518" s="5">
        <v>0</v>
      </c>
      <c r="F518" s="4">
        <v>3</v>
      </c>
      <c r="G518" s="5">
        <v>1.34</v>
      </c>
      <c r="H518" s="4">
        <v>0</v>
      </c>
    </row>
    <row r="519" spans="1:8" x14ac:dyDescent="0.2">
      <c r="A519" s="2" t="s">
        <v>47</v>
      </c>
      <c r="B519" s="4">
        <v>2</v>
      </c>
      <c r="C519" s="5">
        <v>0.35</v>
      </c>
      <c r="D519" s="4">
        <v>0</v>
      </c>
      <c r="E519" s="5">
        <v>0</v>
      </c>
      <c r="F519" s="4">
        <v>2</v>
      </c>
      <c r="G519" s="5">
        <v>0.89</v>
      </c>
      <c r="H519" s="4">
        <v>0</v>
      </c>
    </row>
    <row r="520" spans="1:8" x14ac:dyDescent="0.2">
      <c r="A520" s="2" t="s">
        <v>48</v>
      </c>
      <c r="B520" s="4">
        <v>6</v>
      </c>
      <c r="C520" s="5">
        <v>1.05</v>
      </c>
      <c r="D520" s="4">
        <v>2</v>
      </c>
      <c r="E520" s="5">
        <v>0.61</v>
      </c>
      <c r="F520" s="4">
        <v>4</v>
      </c>
      <c r="G520" s="5">
        <v>1.79</v>
      </c>
      <c r="H520" s="4">
        <v>0</v>
      </c>
    </row>
    <row r="521" spans="1:8" x14ac:dyDescent="0.2">
      <c r="A521" s="2" t="s">
        <v>49</v>
      </c>
      <c r="B521" s="4">
        <v>114</v>
      </c>
      <c r="C521" s="5">
        <v>20</v>
      </c>
      <c r="D521" s="4">
        <v>73</v>
      </c>
      <c r="E521" s="5">
        <v>22.32</v>
      </c>
      <c r="F521" s="4">
        <v>40</v>
      </c>
      <c r="G521" s="5">
        <v>17.86</v>
      </c>
      <c r="H521" s="4">
        <v>1</v>
      </c>
    </row>
    <row r="522" spans="1:8" x14ac:dyDescent="0.2">
      <c r="A522" s="2" t="s">
        <v>50</v>
      </c>
      <c r="B522" s="4">
        <v>5</v>
      </c>
      <c r="C522" s="5">
        <v>0.88</v>
      </c>
      <c r="D522" s="4">
        <v>0</v>
      </c>
      <c r="E522" s="5">
        <v>0</v>
      </c>
      <c r="F522" s="4">
        <v>5</v>
      </c>
      <c r="G522" s="5">
        <v>2.23</v>
      </c>
      <c r="H522" s="4">
        <v>0</v>
      </c>
    </row>
    <row r="523" spans="1:8" x14ac:dyDescent="0.2">
      <c r="A523" s="2" t="s">
        <v>51</v>
      </c>
      <c r="B523" s="4">
        <v>23</v>
      </c>
      <c r="C523" s="5">
        <v>4.04</v>
      </c>
      <c r="D523" s="4">
        <v>10</v>
      </c>
      <c r="E523" s="5">
        <v>3.06</v>
      </c>
      <c r="F523" s="4">
        <v>13</v>
      </c>
      <c r="G523" s="5">
        <v>5.8</v>
      </c>
      <c r="H523" s="4">
        <v>0</v>
      </c>
    </row>
    <row r="524" spans="1:8" x14ac:dyDescent="0.2">
      <c r="A524" s="2" t="s">
        <v>52</v>
      </c>
      <c r="B524" s="4">
        <v>27</v>
      </c>
      <c r="C524" s="5">
        <v>4.74</v>
      </c>
      <c r="D524" s="4">
        <v>20</v>
      </c>
      <c r="E524" s="5">
        <v>6.12</v>
      </c>
      <c r="F524" s="4">
        <v>7</v>
      </c>
      <c r="G524" s="5">
        <v>3.13</v>
      </c>
      <c r="H524" s="4">
        <v>0</v>
      </c>
    </row>
    <row r="525" spans="1:8" x14ac:dyDescent="0.2">
      <c r="A525" s="2" t="s">
        <v>53</v>
      </c>
      <c r="B525" s="4">
        <v>44</v>
      </c>
      <c r="C525" s="5">
        <v>7.72</v>
      </c>
      <c r="D525" s="4">
        <v>35</v>
      </c>
      <c r="E525" s="5">
        <v>10.7</v>
      </c>
      <c r="F525" s="4">
        <v>7</v>
      </c>
      <c r="G525" s="5">
        <v>3.13</v>
      </c>
      <c r="H525" s="4">
        <v>0</v>
      </c>
    </row>
    <row r="526" spans="1:8" x14ac:dyDescent="0.2">
      <c r="A526" s="2" t="s">
        <v>54</v>
      </c>
      <c r="B526" s="4">
        <v>64</v>
      </c>
      <c r="C526" s="5">
        <v>11.23</v>
      </c>
      <c r="D526" s="4">
        <v>53</v>
      </c>
      <c r="E526" s="5">
        <v>16.21</v>
      </c>
      <c r="F526" s="4">
        <v>11</v>
      </c>
      <c r="G526" s="5">
        <v>4.91</v>
      </c>
      <c r="H526" s="4">
        <v>0</v>
      </c>
    </row>
    <row r="527" spans="1:8" x14ac:dyDescent="0.2">
      <c r="A527" s="2" t="s">
        <v>55</v>
      </c>
      <c r="B527" s="4">
        <v>43</v>
      </c>
      <c r="C527" s="5">
        <v>7.54</v>
      </c>
      <c r="D527" s="4">
        <v>26</v>
      </c>
      <c r="E527" s="5">
        <v>7.95</v>
      </c>
      <c r="F527" s="4">
        <v>11</v>
      </c>
      <c r="G527" s="5">
        <v>4.91</v>
      </c>
      <c r="H527" s="4">
        <v>0</v>
      </c>
    </row>
    <row r="528" spans="1:8" x14ac:dyDescent="0.2">
      <c r="A528" s="2" t="s">
        <v>56</v>
      </c>
      <c r="B528" s="4">
        <v>27</v>
      </c>
      <c r="C528" s="5">
        <v>4.74</v>
      </c>
      <c r="D528" s="4">
        <v>14</v>
      </c>
      <c r="E528" s="5">
        <v>4.28</v>
      </c>
      <c r="F528" s="4">
        <v>5</v>
      </c>
      <c r="G528" s="5">
        <v>2.23</v>
      </c>
      <c r="H528" s="4">
        <v>0</v>
      </c>
    </row>
    <row r="529" spans="1:8" x14ac:dyDescent="0.2">
      <c r="A529" s="2" t="s">
        <v>57</v>
      </c>
      <c r="B529" s="4">
        <v>19</v>
      </c>
      <c r="C529" s="5">
        <v>3.33</v>
      </c>
      <c r="D529" s="4">
        <v>11</v>
      </c>
      <c r="E529" s="5">
        <v>3.36</v>
      </c>
      <c r="F529" s="4">
        <v>6</v>
      </c>
      <c r="G529" s="5">
        <v>2.68</v>
      </c>
      <c r="H529" s="4">
        <v>1</v>
      </c>
    </row>
    <row r="530" spans="1:8" x14ac:dyDescent="0.2">
      <c r="A530" s="1" t="s">
        <v>33</v>
      </c>
      <c r="B530" s="4">
        <v>404</v>
      </c>
      <c r="C530" s="5">
        <v>100.00000000000001</v>
      </c>
      <c r="D530" s="4">
        <v>223</v>
      </c>
      <c r="E530" s="5">
        <v>99.999999999999986</v>
      </c>
      <c r="F530" s="4">
        <v>177</v>
      </c>
      <c r="G530" s="5">
        <v>99.979999999999976</v>
      </c>
      <c r="H530" s="4">
        <v>0</v>
      </c>
    </row>
    <row r="531" spans="1:8" x14ac:dyDescent="0.2">
      <c r="A531" s="2" t="s">
        <v>43</v>
      </c>
      <c r="B531" s="4">
        <v>0</v>
      </c>
      <c r="C531" s="5">
        <v>0</v>
      </c>
      <c r="D531" s="4">
        <v>0</v>
      </c>
      <c r="E531" s="5">
        <v>0</v>
      </c>
      <c r="F531" s="4">
        <v>0</v>
      </c>
      <c r="G531" s="5">
        <v>0</v>
      </c>
      <c r="H531" s="4">
        <v>0</v>
      </c>
    </row>
    <row r="532" spans="1:8" x14ac:dyDescent="0.2">
      <c r="A532" s="2" t="s">
        <v>44</v>
      </c>
      <c r="B532" s="4">
        <v>39</v>
      </c>
      <c r="C532" s="5">
        <v>9.65</v>
      </c>
      <c r="D532" s="4">
        <v>10</v>
      </c>
      <c r="E532" s="5">
        <v>4.4800000000000004</v>
      </c>
      <c r="F532" s="4">
        <v>29</v>
      </c>
      <c r="G532" s="5">
        <v>16.38</v>
      </c>
      <c r="H532" s="4">
        <v>0</v>
      </c>
    </row>
    <row r="533" spans="1:8" x14ac:dyDescent="0.2">
      <c r="A533" s="2" t="s">
        <v>45</v>
      </c>
      <c r="B533" s="4">
        <v>21</v>
      </c>
      <c r="C533" s="5">
        <v>5.2</v>
      </c>
      <c r="D533" s="4">
        <v>7</v>
      </c>
      <c r="E533" s="5">
        <v>3.14</v>
      </c>
      <c r="F533" s="4">
        <v>14</v>
      </c>
      <c r="G533" s="5">
        <v>7.91</v>
      </c>
      <c r="H533" s="4">
        <v>0</v>
      </c>
    </row>
    <row r="534" spans="1:8" x14ac:dyDescent="0.2">
      <c r="A534" s="2" t="s">
        <v>46</v>
      </c>
      <c r="B534" s="4">
        <v>0</v>
      </c>
      <c r="C534" s="5">
        <v>0</v>
      </c>
      <c r="D534" s="4">
        <v>0</v>
      </c>
      <c r="E534" s="5">
        <v>0</v>
      </c>
      <c r="F534" s="4">
        <v>0</v>
      </c>
      <c r="G534" s="5">
        <v>0</v>
      </c>
      <c r="H534" s="4">
        <v>0</v>
      </c>
    </row>
    <row r="535" spans="1:8" x14ac:dyDescent="0.2">
      <c r="A535" s="2" t="s">
        <v>47</v>
      </c>
      <c r="B535" s="4">
        <v>2</v>
      </c>
      <c r="C535" s="5">
        <v>0.5</v>
      </c>
      <c r="D535" s="4">
        <v>0</v>
      </c>
      <c r="E535" s="5">
        <v>0</v>
      </c>
      <c r="F535" s="4">
        <v>2</v>
      </c>
      <c r="G535" s="5">
        <v>1.1299999999999999</v>
      </c>
      <c r="H535" s="4">
        <v>0</v>
      </c>
    </row>
    <row r="536" spans="1:8" x14ac:dyDescent="0.2">
      <c r="A536" s="2" t="s">
        <v>48</v>
      </c>
      <c r="B536" s="4">
        <v>1</v>
      </c>
      <c r="C536" s="5">
        <v>0.25</v>
      </c>
      <c r="D536" s="4">
        <v>1</v>
      </c>
      <c r="E536" s="5">
        <v>0.45</v>
      </c>
      <c r="F536" s="4">
        <v>0</v>
      </c>
      <c r="G536" s="5">
        <v>0</v>
      </c>
      <c r="H536" s="4">
        <v>0</v>
      </c>
    </row>
    <row r="537" spans="1:8" x14ac:dyDescent="0.2">
      <c r="A537" s="2" t="s">
        <v>49</v>
      </c>
      <c r="B537" s="4">
        <v>91</v>
      </c>
      <c r="C537" s="5">
        <v>22.52</v>
      </c>
      <c r="D537" s="4">
        <v>36</v>
      </c>
      <c r="E537" s="5">
        <v>16.14</v>
      </c>
      <c r="F537" s="4">
        <v>55</v>
      </c>
      <c r="G537" s="5">
        <v>31.07</v>
      </c>
      <c r="H537" s="4">
        <v>0</v>
      </c>
    </row>
    <row r="538" spans="1:8" x14ac:dyDescent="0.2">
      <c r="A538" s="2" t="s">
        <v>50</v>
      </c>
      <c r="B538" s="4">
        <v>3</v>
      </c>
      <c r="C538" s="5">
        <v>0.74</v>
      </c>
      <c r="D538" s="4">
        <v>0</v>
      </c>
      <c r="E538" s="5">
        <v>0</v>
      </c>
      <c r="F538" s="4">
        <v>3</v>
      </c>
      <c r="G538" s="5">
        <v>1.69</v>
      </c>
      <c r="H538" s="4">
        <v>0</v>
      </c>
    </row>
    <row r="539" spans="1:8" x14ac:dyDescent="0.2">
      <c r="A539" s="2" t="s">
        <v>51</v>
      </c>
      <c r="B539" s="4">
        <v>39</v>
      </c>
      <c r="C539" s="5">
        <v>9.65</v>
      </c>
      <c r="D539" s="4">
        <v>19</v>
      </c>
      <c r="E539" s="5">
        <v>8.52</v>
      </c>
      <c r="F539" s="4">
        <v>20</v>
      </c>
      <c r="G539" s="5">
        <v>11.3</v>
      </c>
      <c r="H539" s="4">
        <v>0</v>
      </c>
    </row>
    <row r="540" spans="1:8" x14ac:dyDescent="0.2">
      <c r="A540" s="2" t="s">
        <v>52</v>
      </c>
      <c r="B540" s="4">
        <v>19</v>
      </c>
      <c r="C540" s="5">
        <v>4.7</v>
      </c>
      <c r="D540" s="4">
        <v>13</v>
      </c>
      <c r="E540" s="5">
        <v>5.83</v>
      </c>
      <c r="F540" s="4">
        <v>6</v>
      </c>
      <c r="G540" s="5">
        <v>3.39</v>
      </c>
      <c r="H540" s="4">
        <v>0</v>
      </c>
    </row>
    <row r="541" spans="1:8" x14ac:dyDescent="0.2">
      <c r="A541" s="2" t="s">
        <v>53</v>
      </c>
      <c r="B541" s="4">
        <v>65</v>
      </c>
      <c r="C541" s="5">
        <v>16.09</v>
      </c>
      <c r="D541" s="4">
        <v>53</v>
      </c>
      <c r="E541" s="5">
        <v>23.77</v>
      </c>
      <c r="F541" s="4">
        <v>12</v>
      </c>
      <c r="G541" s="5">
        <v>6.78</v>
      </c>
      <c r="H541" s="4">
        <v>0</v>
      </c>
    </row>
    <row r="542" spans="1:8" x14ac:dyDescent="0.2">
      <c r="A542" s="2" t="s">
        <v>54</v>
      </c>
      <c r="B542" s="4">
        <v>73</v>
      </c>
      <c r="C542" s="5">
        <v>18.07</v>
      </c>
      <c r="D542" s="4">
        <v>55</v>
      </c>
      <c r="E542" s="5">
        <v>24.66</v>
      </c>
      <c r="F542" s="4">
        <v>18</v>
      </c>
      <c r="G542" s="5">
        <v>10.17</v>
      </c>
      <c r="H542" s="4">
        <v>0</v>
      </c>
    </row>
    <row r="543" spans="1:8" x14ac:dyDescent="0.2">
      <c r="A543" s="2" t="s">
        <v>55</v>
      </c>
      <c r="B543" s="4">
        <v>21</v>
      </c>
      <c r="C543" s="5">
        <v>5.2</v>
      </c>
      <c r="D543" s="4">
        <v>11</v>
      </c>
      <c r="E543" s="5">
        <v>4.93</v>
      </c>
      <c r="F543" s="4">
        <v>8</v>
      </c>
      <c r="G543" s="5">
        <v>4.5199999999999996</v>
      </c>
      <c r="H543" s="4">
        <v>0</v>
      </c>
    </row>
    <row r="544" spans="1:8" x14ac:dyDescent="0.2">
      <c r="A544" s="2" t="s">
        <v>56</v>
      </c>
      <c r="B544" s="4">
        <v>21</v>
      </c>
      <c r="C544" s="5">
        <v>5.2</v>
      </c>
      <c r="D544" s="4">
        <v>15</v>
      </c>
      <c r="E544" s="5">
        <v>6.73</v>
      </c>
      <c r="F544" s="4">
        <v>5</v>
      </c>
      <c r="G544" s="5">
        <v>2.82</v>
      </c>
      <c r="H544" s="4">
        <v>0</v>
      </c>
    </row>
    <row r="545" spans="1:8" x14ac:dyDescent="0.2">
      <c r="A545" s="2" t="s">
        <v>57</v>
      </c>
      <c r="B545" s="4">
        <v>9</v>
      </c>
      <c r="C545" s="5">
        <v>2.23</v>
      </c>
      <c r="D545" s="4">
        <v>3</v>
      </c>
      <c r="E545" s="5">
        <v>1.35</v>
      </c>
      <c r="F545" s="4">
        <v>5</v>
      </c>
      <c r="G545" s="5">
        <v>2.82</v>
      </c>
      <c r="H545" s="4">
        <v>0</v>
      </c>
    </row>
    <row r="546" spans="1:8" x14ac:dyDescent="0.2">
      <c r="A546" s="1" t="s">
        <v>34</v>
      </c>
      <c r="B546" s="4">
        <v>122</v>
      </c>
      <c r="C546" s="5">
        <v>100</v>
      </c>
      <c r="D546" s="4">
        <v>71</v>
      </c>
      <c r="E546" s="5">
        <v>100.02</v>
      </c>
      <c r="F546" s="4">
        <v>49</v>
      </c>
      <c r="G546" s="5">
        <v>99.990000000000023</v>
      </c>
      <c r="H546" s="4">
        <v>1</v>
      </c>
    </row>
    <row r="547" spans="1:8" x14ac:dyDescent="0.2">
      <c r="A547" s="2" t="s">
        <v>43</v>
      </c>
      <c r="B547" s="4">
        <v>1</v>
      </c>
      <c r="C547" s="5">
        <v>0.82</v>
      </c>
      <c r="D547" s="4">
        <v>0</v>
      </c>
      <c r="E547" s="5">
        <v>0</v>
      </c>
      <c r="F547" s="4">
        <v>1</v>
      </c>
      <c r="G547" s="5">
        <v>2.04</v>
      </c>
      <c r="H547" s="4">
        <v>0</v>
      </c>
    </row>
    <row r="548" spans="1:8" x14ac:dyDescent="0.2">
      <c r="A548" s="2" t="s">
        <v>44</v>
      </c>
      <c r="B548" s="4">
        <v>19</v>
      </c>
      <c r="C548" s="5">
        <v>15.57</v>
      </c>
      <c r="D548" s="4">
        <v>8</v>
      </c>
      <c r="E548" s="5">
        <v>11.27</v>
      </c>
      <c r="F548" s="4">
        <v>11</v>
      </c>
      <c r="G548" s="5">
        <v>22.45</v>
      </c>
      <c r="H548" s="4">
        <v>0</v>
      </c>
    </row>
    <row r="549" spans="1:8" x14ac:dyDescent="0.2">
      <c r="A549" s="2" t="s">
        <v>45</v>
      </c>
      <c r="B549" s="4">
        <v>21</v>
      </c>
      <c r="C549" s="5">
        <v>17.21</v>
      </c>
      <c r="D549" s="4">
        <v>8</v>
      </c>
      <c r="E549" s="5">
        <v>11.27</v>
      </c>
      <c r="F549" s="4">
        <v>13</v>
      </c>
      <c r="G549" s="5">
        <v>26.53</v>
      </c>
      <c r="H549" s="4">
        <v>0</v>
      </c>
    </row>
    <row r="550" spans="1:8" x14ac:dyDescent="0.2">
      <c r="A550" s="2" t="s">
        <v>46</v>
      </c>
      <c r="B550" s="4">
        <v>0</v>
      </c>
      <c r="C550" s="5">
        <v>0</v>
      </c>
      <c r="D550" s="4">
        <v>0</v>
      </c>
      <c r="E550" s="5">
        <v>0</v>
      </c>
      <c r="F550" s="4">
        <v>0</v>
      </c>
      <c r="G550" s="5">
        <v>0</v>
      </c>
      <c r="H550" s="4">
        <v>0</v>
      </c>
    </row>
    <row r="551" spans="1:8" x14ac:dyDescent="0.2">
      <c r="A551" s="2" t="s">
        <v>47</v>
      </c>
      <c r="B551" s="4">
        <v>0</v>
      </c>
      <c r="C551" s="5">
        <v>0</v>
      </c>
      <c r="D551" s="4">
        <v>0</v>
      </c>
      <c r="E551" s="5">
        <v>0</v>
      </c>
      <c r="F551" s="4">
        <v>0</v>
      </c>
      <c r="G551" s="5">
        <v>0</v>
      </c>
      <c r="H551" s="4">
        <v>0</v>
      </c>
    </row>
    <row r="552" spans="1:8" x14ac:dyDescent="0.2">
      <c r="A552" s="2" t="s">
        <v>48</v>
      </c>
      <c r="B552" s="4">
        <v>2</v>
      </c>
      <c r="C552" s="5">
        <v>1.64</v>
      </c>
      <c r="D552" s="4">
        <v>0</v>
      </c>
      <c r="E552" s="5">
        <v>0</v>
      </c>
      <c r="F552" s="4">
        <v>2</v>
      </c>
      <c r="G552" s="5">
        <v>4.08</v>
      </c>
      <c r="H552" s="4">
        <v>0</v>
      </c>
    </row>
    <row r="553" spans="1:8" x14ac:dyDescent="0.2">
      <c r="A553" s="2" t="s">
        <v>49</v>
      </c>
      <c r="B553" s="4">
        <v>25</v>
      </c>
      <c r="C553" s="5">
        <v>20.49</v>
      </c>
      <c r="D553" s="4">
        <v>16</v>
      </c>
      <c r="E553" s="5">
        <v>22.54</v>
      </c>
      <c r="F553" s="4">
        <v>9</v>
      </c>
      <c r="G553" s="5">
        <v>18.37</v>
      </c>
      <c r="H553" s="4">
        <v>0</v>
      </c>
    </row>
    <row r="554" spans="1:8" x14ac:dyDescent="0.2">
      <c r="A554" s="2" t="s">
        <v>50</v>
      </c>
      <c r="B554" s="4">
        <v>2</v>
      </c>
      <c r="C554" s="5">
        <v>1.64</v>
      </c>
      <c r="D554" s="4">
        <v>0</v>
      </c>
      <c r="E554" s="5">
        <v>0</v>
      </c>
      <c r="F554" s="4">
        <v>2</v>
      </c>
      <c r="G554" s="5">
        <v>4.08</v>
      </c>
      <c r="H554" s="4">
        <v>0</v>
      </c>
    </row>
    <row r="555" spans="1:8" x14ac:dyDescent="0.2">
      <c r="A555" s="2" t="s">
        <v>51</v>
      </c>
      <c r="B555" s="4">
        <v>6</v>
      </c>
      <c r="C555" s="5">
        <v>4.92</v>
      </c>
      <c r="D555" s="4">
        <v>2</v>
      </c>
      <c r="E555" s="5">
        <v>2.82</v>
      </c>
      <c r="F555" s="4">
        <v>4</v>
      </c>
      <c r="G555" s="5">
        <v>8.16</v>
      </c>
      <c r="H555" s="4">
        <v>0</v>
      </c>
    </row>
    <row r="556" spans="1:8" x14ac:dyDescent="0.2">
      <c r="A556" s="2" t="s">
        <v>52</v>
      </c>
      <c r="B556" s="4">
        <v>4</v>
      </c>
      <c r="C556" s="5">
        <v>3.28</v>
      </c>
      <c r="D556" s="4">
        <v>1</v>
      </c>
      <c r="E556" s="5">
        <v>1.41</v>
      </c>
      <c r="F556" s="4">
        <v>3</v>
      </c>
      <c r="G556" s="5">
        <v>6.12</v>
      </c>
      <c r="H556" s="4">
        <v>0</v>
      </c>
    </row>
    <row r="557" spans="1:8" x14ac:dyDescent="0.2">
      <c r="A557" s="2" t="s">
        <v>53</v>
      </c>
      <c r="B557" s="4">
        <v>16</v>
      </c>
      <c r="C557" s="5">
        <v>13.11</v>
      </c>
      <c r="D557" s="4">
        <v>14</v>
      </c>
      <c r="E557" s="5">
        <v>19.72</v>
      </c>
      <c r="F557" s="4">
        <v>1</v>
      </c>
      <c r="G557" s="5">
        <v>2.04</v>
      </c>
      <c r="H557" s="4">
        <v>0</v>
      </c>
    </row>
    <row r="558" spans="1:8" x14ac:dyDescent="0.2">
      <c r="A558" s="2" t="s">
        <v>54</v>
      </c>
      <c r="B558" s="4">
        <v>13</v>
      </c>
      <c r="C558" s="5">
        <v>10.66</v>
      </c>
      <c r="D558" s="4">
        <v>12</v>
      </c>
      <c r="E558" s="5">
        <v>16.899999999999999</v>
      </c>
      <c r="F558" s="4">
        <v>1</v>
      </c>
      <c r="G558" s="5">
        <v>2.04</v>
      </c>
      <c r="H558" s="4">
        <v>0</v>
      </c>
    </row>
    <row r="559" spans="1:8" x14ac:dyDescent="0.2">
      <c r="A559" s="2" t="s">
        <v>55</v>
      </c>
      <c r="B559" s="4">
        <v>6</v>
      </c>
      <c r="C559" s="5">
        <v>4.92</v>
      </c>
      <c r="D559" s="4">
        <v>6</v>
      </c>
      <c r="E559" s="5">
        <v>8.4499999999999993</v>
      </c>
      <c r="F559" s="4">
        <v>0</v>
      </c>
      <c r="G559" s="5">
        <v>0</v>
      </c>
      <c r="H559" s="4">
        <v>0</v>
      </c>
    </row>
    <row r="560" spans="1:8" x14ac:dyDescent="0.2">
      <c r="A560" s="2" t="s">
        <v>56</v>
      </c>
      <c r="B560" s="4">
        <v>3</v>
      </c>
      <c r="C560" s="5">
        <v>2.46</v>
      </c>
      <c r="D560" s="4">
        <v>2</v>
      </c>
      <c r="E560" s="5">
        <v>2.82</v>
      </c>
      <c r="F560" s="4">
        <v>1</v>
      </c>
      <c r="G560" s="5">
        <v>2.04</v>
      </c>
      <c r="H560" s="4">
        <v>0</v>
      </c>
    </row>
    <row r="561" spans="1:8" x14ac:dyDescent="0.2">
      <c r="A561" s="2" t="s">
        <v>57</v>
      </c>
      <c r="B561" s="4">
        <v>4</v>
      </c>
      <c r="C561" s="5">
        <v>3.28</v>
      </c>
      <c r="D561" s="4">
        <v>2</v>
      </c>
      <c r="E561" s="5">
        <v>2.82</v>
      </c>
      <c r="F561" s="4">
        <v>1</v>
      </c>
      <c r="G561" s="5">
        <v>2.04</v>
      </c>
      <c r="H561" s="4">
        <v>1</v>
      </c>
    </row>
    <row r="562" spans="1:8" x14ac:dyDescent="0.2">
      <c r="A562" s="1" t="s">
        <v>35</v>
      </c>
      <c r="B562" s="4">
        <v>157</v>
      </c>
      <c r="C562" s="5">
        <v>99.999999999999986</v>
      </c>
      <c r="D562" s="4">
        <v>100</v>
      </c>
      <c r="E562" s="5">
        <v>100</v>
      </c>
      <c r="F562" s="4">
        <v>55</v>
      </c>
      <c r="G562" s="5">
        <v>100.01</v>
      </c>
      <c r="H562" s="4">
        <v>1</v>
      </c>
    </row>
    <row r="563" spans="1:8" x14ac:dyDescent="0.2">
      <c r="A563" s="2" t="s">
        <v>43</v>
      </c>
      <c r="B563" s="4">
        <v>0</v>
      </c>
      <c r="C563" s="5">
        <v>0</v>
      </c>
      <c r="D563" s="4">
        <v>0</v>
      </c>
      <c r="E563" s="5">
        <v>0</v>
      </c>
      <c r="F563" s="4">
        <v>0</v>
      </c>
      <c r="G563" s="5">
        <v>0</v>
      </c>
      <c r="H563" s="4">
        <v>0</v>
      </c>
    </row>
    <row r="564" spans="1:8" x14ac:dyDescent="0.2">
      <c r="A564" s="2" t="s">
        <v>44</v>
      </c>
      <c r="B564" s="4">
        <v>27</v>
      </c>
      <c r="C564" s="5">
        <v>17.2</v>
      </c>
      <c r="D564" s="4">
        <v>15</v>
      </c>
      <c r="E564" s="5">
        <v>15</v>
      </c>
      <c r="F564" s="4">
        <v>12</v>
      </c>
      <c r="G564" s="5">
        <v>21.82</v>
      </c>
      <c r="H564" s="4">
        <v>0</v>
      </c>
    </row>
    <row r="565" spans="1:8" x14ac:dyDescent="0.2">
      <c r="A565" s="2" t="s">
        <v>45</v>
      </c>
      <c r="B565" s="4">
        <v>50</v>
      </c>
      <c r="C565" s="5">
        <v>31.85</v>
      </c>
      <c r="D565" s="4">
        <v>26</v>
      </c>
      <c r="E565" s="5">
        <v>26</v>
      </c>
      <c r="F565" s="4">
        <v>24</v>
      </c>
      <c r="G565" s="5">
        <v>43.64</v>
      </c>
      <c r="H565" s="4">
        <v>0</v>
      </c>
    </row>
    <row r="566" spans="1:8" x14ac:dyDescent="0.2">
      <c r="A566" s="2" t="s">
        <v>46</v>
      </c>
      <c r="B566" s="4">
        <v>0</v>
      </c>
      <c r="C566" s="5">
        <v>0</v>
      </c>
      <c r="D566" s="4">
        <v>0</v>
      </c>
      <c r="E566" s="5">
        <v>0</v>
      </c>
      <c r="F566" s="4">
        <v>0</v>
      </c>
      <c r="G566" s="5">
        <v>0</v>
      </c>
      <c r="H566" s="4">
        <v>0</v>
      </c>
    </row>
    <row r="567" spans="1:8" x14ac:dyDescent="0.2">
      <c r="A567" s="2" t="s">
        <v>47</v>
      </c>
      <c r="B567" s="4">
        <v>0</v>
      </c>
      <c r="C567" s="5">
        <v>0</v>
      </c>
      <c r="D567" s="4">
        <v>0</v>
      </c>
      <c r="E567" s="5">
        <v>0</v>
      </c>
      <c r="F567" s="4">
        <v>0</v>
      </c>
      <c r="G567" s="5">
        <v>0</v>
      </c>
      <c r="H567" s="4">
        <v>0</v>
      </c>
    </row>
    <row r="568" spans="1:8" x14ac:dyDescent="0.2">
      <c r="A568" s="2" t="s">
        <v>48</v>
      </c>
      <c r="B568" s="4">
        <v>0</v>
      </c>
      <c r="C568" s="5">
        <v>0</v>
      </c>
      <c r="D568" s="4">
        <v>0</v>
      </c>
      <c r="E568" s="5">
        <v>0</v>
      </c>
      <c r="F568" s="4">
        <v>0</v>
      </c>
      <c r="G568" s="5">
        <v>0</v>
      </c>
      <c r="H568" s="4">
        <v>0</v>
      </c>
    </row>
    <row r="569" spans="1:8" x14ac:dyDescent="0.2">
      <c r="A569" s="2" t="s">
        <v>49</v>
      </c>
      <c r="B569" s="4">
        <v>22</v>
      </c>
      <c r="C569" s="5">
        <v>14.01</v>
      </c>
      <c r="D569" s="4">
        <v>11</v>
      </c>
      <c r="E569" s="5">
        <v>11</v>
      </c>
      <c r="F569" s="4">
        <v>10</v>
      </c>
      <c r="G569" s="5">
        <v>18.18</v>
      </c>
      <c r="H569" s="4">
        <v>1</v>
      </c>
    </row>
    <row r="570" spans="1:8" x14ac:dyDescent="0.2">
      <c r="A570" s="2" t="s">
        <v>50</v>
      </c>
      <c r="B570" s="4">
        <v>0</v>
      </c>
      <c r="C570" s="5">
        <v>0</v>
      </c>
      <c r="D570" s="4">
        <v>0</v>
      </c>
      <c r="E570" s="5">
        <v>0</v>
      </c>
      <c r="F570" s="4">
        <v>0</v>
      </c>
      <c r="G570" s="5">
        <v>0</v>
      </c>
      <c r="H570" s="4">
        <v>0</v>
      </c>
    </row>
    <row r="571" spans="1:8" x14ac:dyDescent="0.2">
      <c r="A571" s="2" t="s">
        <v>51</v>
      </c>
      <c r="B571" s="4">
        <v>4</v>
      </c>
      <c r="C571" s="5">
        <v>2.5499999999999998</v>
      </c>
      <c r="D571" s="4">
        <v>3</v>
      </c>
      <c r="E571" s="5">
        <v>3</v>
      </c>
      <c r="F571" s="4">
        <v>1</v>
      </c>
      <c r="G571" s="5">
        <v>1.82</v>
      </c>
      <c r="H571" s="4">
        <v>0</v>
      </c>
    </row>
    <row r="572" spans="1:8" x14ac:dyDescent="0.2">
      <c r="A572" s="2" t="s">
        <v>52</v>
      </c>
      <c r="B572" s="4">
        <v>7</v>
      </c>
      <c r="C572" s="5">
        <v>4.46</v>
      </c>
      <c r="D572" s="4">
        <v>6</v>
      </c>
      <c r="E572" s="5">
        <v>6</v>
      </c>
      <c r="F572" s="4">
        <v>1</v>
      </c>
      <c r="G572" s="5">
        <v>1.82</v>
      </c>
      <c r="H572" s="4">
        <v>0</v>
      </c>
    </row>
    <row r="573" spans="1:8" x14ac:dyDescent="0.2">
      <c r="A573" s="2" t="s">
        <v>53</v>
      </c>
      <c r="B573" s="4">
        <v>12</v>
      </c>
      <c r="C573" s="5">
        <v>7.64</v>
      </c>
      <c r="D573" s="4">
        <v>12</v>
      </c>
      <c r="E573" s="5">
        <v>12</v>
      </c>
      <c r="F573" s="4">
        <v>0</v>
      </c>
      <c r="G573" s="5">
        <v>0</v>
      </c>
      <c r="H573" s="4">
        <v>0</v>
      </c>
    </row>
    <row r="574" spans="1:8" x14ac:dyDescent="0.2">
      <c r="A574" s="2" t="s">
        <v>54</v>
      </c>
      <c r="B574" s="4">
        <v>20</v>
      </c>
      <c r="C574" s="5">
        <v>12.74</v>
      </c>
      <c r="D574" s="4">
        <v>18</v>
      </c>
      <c r="E574" s="5">
        <v>18</v>
      </c>
      <c r="F574" s="4">
        <v>2</v>
      </c>
      <c r="G574" s="5">
        <v>3.64</v>
      </c>
      <c r="H574" s="4">
        <v>0</v>
      </c>
    </row>
    <row r="575" spans="1:8" x14ac:dyDescent="0.2">
      <c r="A575" s="2" t="s">
        <v>55</v>
      </c>
      <c r="B575" s="4">
        <v>6</v>
      </c>
      <c r="C575" s="5">
        <v>3.82</v>
      </c>
      <c r="D575" s="4">
        <v>4</v>
      </c>
      <c r="E575" s="5">
        <v>4</v>
      </c>
      <c r="F575" s="4">
        <v>2</v>
      </c>
      <c r="G575" s="5">
        <v>3.64</v>
      </c>
      <c r="H575" s="4">
        <v>0</v>
      </c>
    </row>
    <row r="576" spans="1:8" x14ac:dyDescent="0.2">
      <c r="A576" s="2" t="s">
        <v>56</v>
      </c>
      <c r="B576" s="4">
        <v>4</v>
      </c>
      <c r="C576" s="5">
        <v>2.5499999999999998</v>
      </c>
      <c r="D576" s="4">
        <v>3</v>
      </c>
      <c r="E576" s="5">
        <v>3</v>
      </c>
      <c r="F576" s="4">
        <v>0</v>
      </c>
      <c r="G576" s="5">
        <v>0</v>
      </c>
      <c r="H576" s="4">
        <v>0</v>
      </c>
    </row>
    <row r="577" spans="1:8" x14ac:dyDescent="0.2">
      <c r="A577" s="2" t="s">
        <v>57</v>
      </c>
      <c r="B577" s="4">
        <v>5</v>
      </c>
      <c r="C577" s="5">
        <v>3.18</v>
      </c>
      <c r="D577" s="4">
        <v>2</v>
      </c>
      <c r="E577" s="5">
        <v>2</v>
      </c>
      <c r="F577" s="4">
        <v>3</v>
      </c>
      <c r="G577" s="5">
        <v>5.45</v>
      </c>
      <c r="H577" s="4">
        <v>0</v>
      </c>
    </row>
    <row r="578" spans="1:8" x14ac:dyDescent="0.2">
      <c r="A578" s="1" t="s">
        <v>36</v>
      </c>
      <c r="B578" s="4">
        <v>263</v>
      </c>
      <c r="C578" s="5">
        <v>99.990000000000009</v>
      </c>
      <c r="D578" s="4">
        <v>164</v>
      </c>
      <c r="E578" s="5">
        <v>99.999999999999986</v>
      </c>
      <c r="F578" s="4">
        <v>95</v>
      </c>
      <c r="G578" s="5">
        <v>99.999999999999986</v>
      </c>
      <c r="H578" s="4">
        <v>2</v>
      </c>
    </row>
    <row r="579" spans="1:8" x14ac:dyDescent="0.2">
      <c r="A579" s="2" t="s">
        <v>43</v>
      </c>
      <c r="B579" s="4">
        <v>0</v>
      </c>
      <c r="C579" s="5">
        <v>0</v>
      </c>
      <c r="D579" s="4">
        <v>0</v>
      </c>
      <c r="E579" s="5">
        <v>0</v>
      </c>
      <c r="F579" s="4">
        <v>0</v>
      </c>
      <c r="G579" s="5">
        <v>0</v>
      </c>
      <c r="H579" s="4">
        <v>0</v>
      </c>
    </row>
    <row r="580" spans="1:8" x14ac:dyDescent="0.2">
      <c r="A580" s="2" t="s">
        <v>44</v>
      </c>
      <c r="B580" s="4">
        <v>44</v>
      </c>
      <c r="C580" s="5">
        <v>16.73</v>
      </c>
      <c r="D580" s="4">
        <v>19</v>
      </c>
      <c r="E580" s="5">
        <v>11.59</v>
      </c>
      <c r="F580" s="4">
        <v>25</v>
      </c>
      <c r="G580" s="5">
        <v>26.32</v>
      </c>
      <c r="H580" s="4">
        <v>0</v>
      </c>
    </row>
    <row r="581" spans="1:8" x14ac:dyDescent="0.2">
      <c r="A581" s="2" t="s">
        <v>45</v>
      </c>
      <c r="B581" s="4">
        <v>47</v>
      </c>
      <c r="C581" s="5">
        <v>17.87</v>
      </c>
      <c r="D581" s="4">
        <v>23</v>
      </c>
      <c r="E581" s="5">
        <v>14.02</v>
      </c>
      <c r="F581" s="4">
        <v>24</v>
      </c>
      <c r="G581" s="5">
        <v>25.26</v>
      </c>
      <c r="H581" s="4">
        <v>0</v>
      </c>
    </row>
    <row r="582" spans="1:8" x14ac:dyDescent="0.2">
      <c r="A582" s="2" t="s">
        <v>46</v>
      </c>
      <c r="B582" s="4">
        <v>0</v>
      </c>
      <c r="C582" s="5">
        <v>0</v>
      </c>
      <c r="D582" s="4">
        <v>0</v>
      </c>
      <c r="E582" s="5">
        <v>0</v>
      </c>
      <c r="F582" s="4">
        <v>0</v>
      </c>
      <c r="G582" s="5">
        <v>0</v>
      </c>
      <c r="H582" s="4">
        <v>0</v>
      </c>
    </row>
    <row r="583" spans="1:8" x14ac:dyDescent="0.2">
      <c r="A583" s="2" t="s">
        <v>47</v>
      </c>
      <c r="B583" s="4">
        <v>2</v>
      </c>
      <c r="C583" s="5">
        <v>0.76</v>
      </c>
      <c r="D583" s="4">
        <v>1</v>
      </c>
      <c r="E583" s="5">
        <v>0.61</v>
      </c>
      <c r="F583" s="4">
        <v>1</v>
      </c>
      <c r="G583" s="5">
        <v>1.05</v>
      </c>
      <c r="H583" s="4">
        <v>0</v>
      </c>
    </row>
    <row r="584" spans="1:8" x14ac:dyDescent="0.2">
      <c r="A584" s="2" t="s">
        <v>48</v>
      </c>
      <c r="B584" s="4">
        <v>2</v>
      </c>
      <c r="C584" s="5">
        <v>0.76</v>
      </c>
      <c r="D584" s="4">
        <v>1</v>
      </c>
      <c r="E584" s="5">
        <v>0.61</v>
      </c>
      <c r="F584" s="4">
        <v>1</v>
      </c>
      <c r="G584" s="5">
        <v>1.05</v>
      </c>
      <c r="H584" s="4">
        <v>0</v>
      </c>
    </row>
    <row r="585" spans="1:8" x14ac:dyDescent="0.2">
      <c r="A585" s="2" t="s">
        <v>49</v>
      </c>
      <c r="B585" s="4">
        <v>60</v>
      </c>
      <c r="C585" s="5">
        <v>22.81</v>
      </c>
      <c r="D585" s="4">
        <v>36</v>
      </c>
      <c r="E585" s="5">
        <v>21.95</v>
      </c>
      <c r="F585" s="4">
        <v>23</v>
      </c>
      <c r="G585" s="5">
        <v>24.21</v>
      </c>
      <c r="H585" s="4">
        <v>1</v>
      </c>
    </row>
    <row r="586" spans="1:8" x14ac:dyDescent="0.2">
      <c r="A586" s="2" t="s">
        <v>50</v>
      </c>
      <c r="B586" s="4">
        <v>2</v>
      </c>
      <c r="C586" s="5">
        <v>0.76</v>
      </c>
      <c r="D586" s="4">
        <v>1</v>
      </c>
      <c r="E586" s="5">
        <v>0.61</v>
      </c>
      <c r="F586" s="4">
        <v>1</v>
      </c>
      <c r="G586" s="5">
        <v>1.05</v>
      </c>
      <c r="H586" s="4">
        <v>0</v>
      </c>
    </row>
    <row r="587" spans="1:8" x14ac:dyDescent="0.2">
      <c r="A587" s="2" t="s">
        <v>51</v>
      </c>
      <c r="B587" s="4">
        <v>9</v>
      </c>
      <c r="C587" s="5">
        <v>3.42</v>
      </c>
      <c r="D587" s="4">
        <v>3</v>
      </c>
      <c r="E587" s="5">
        <v>1.83</v>
      </c>
      <c r="F587" s="4">
        <v>6</v>
      </c>
      <c r="G587" s="5">
        <v>6.32</v>
      </c>
      <c r="H587" s="4">
        <v>0</v>
      </c>
    </row>
    <row r="588" spans="1:8" x14ac:dyDescent="0.2">
      <c r="A588" s="2" t="s">
        <v>52</v>
      </c>
      <c r="B588" s="4">
        <v>11</v>
      </c>
      <c r="C588" s="5">
        <v>4.18</v>
      </c>
      <c r="D588" s="4">
        <v>9</v>
      </c>
      <c r="E588" s="5">
        <v>5.49</v>
      </c>
      <c r="F588" s="4">
        <v>2</v>
      </c>
      <c r="G588" s="5">
        <v>2.11</v>
      </c>
      <c r="H588" s="4">
        <v>0</v>
      </c>
    </row>
    <row r="589" spans="1:8" x14ac:dyDescent="0.2">
      <c r="A589" s="2" t="s">
        <v>53</v>
      </c>
      <c r="B589" s="4">
        <v>25</v>
      </c>
      <c r="C589" s="5">
        <v>9.51</v>
      </c>
      <c r="D589" s="4">
        <v>21</v>
      </c>
      <c r="E589" s="5">
        <v>12.8</v>
      </c>
      <c r="F589" s="4">
        <v>3</v>
      </c>
      <c r="G589" s="5">
        <v>3.16</v>
      </c>
      <c r="H589" s="4">
        <v>0</v>
      </c>
    </row>
    <row r="590" spans="1:8" x14ac:dyDescent="0.2">
      <c r="A590" s="2" t="s">
        <v>54</v>
      </c>
      <c r="B590" s="4">
        <v>25</v>
      </c>
      <c r="C590" s="5">
        <v>9.51</v>
      </c>
      <c r="D590" s="4">
        <v>23</v>
      </c>
      <c r="E590" s="5">
        <v>14.02</v>
      </c>
      <c r="F590" s="4">
        <v>2</v>
      </c>
      <c r="G590" s="5">
        <v>2.11</v>
      </c>
      <c r="H590" s="4">
        <v>0</v>
      </c>
    </row>
    <row r="591" spans="1:8" x14ac:dyDescent="0.2">
      <c r="A591" s="2" t="s">
        <v>55</v>
      </c>
      <c r="B591" s="4">
        <v>13</v>
      </c>
      <c r="C591" s="5">
        <v>4.9400000000000004</v>
      </c>
      <c r="D591" s="4">
        <v>11</v>
      </c>
      <c r="E591" s="5">
        <v>6.71</v>
      </c>
      <c r="F591" s="4">
        <v>1</v>
      </c>
      <c r="G591" s="5">
        <v>1.05</v>
      </c>
      <c r="H591" s="4">
        <v>0</v>
      </c>
    </row>
    <row r="592" spans="1:8" x14ac:dyDescent="0.2">
      <c r="A592" s="2" t="s">
        <v>56</v>
      </c>
      <c r="B592" s="4">
        <v>15</v>
      </c>
      <c r="C592" s="5">
        <v>5.7</v>
      </c>
      <c r="D592" s="4">
        <v>10</v>
      </c>
      <c r="E592" s="5">
        <v>6.1</v>
      </c>
      <c r="F592" s="4">
        <v>5</v>
      </c>
      <c r="G592" s="5">
        <v>5.26</v>
      </c>
      <c r="H592" s="4">
        <v>0</v>
      </c>
    </row>
    <row r="593" spans="1:8" x14ac:dyDescent="0.2">
      <c r="A593" s="2" t="s">
        <v>57</v>
      </c>
      <c r="B593" s="4">
        <v>8</v>
      </c>
      <c r="C593" s="5">
        <v>3.04</v>
      </c>
      <c r="D593" s="4">
        <v>6</v>
      </c>
      <c r="E593" s="5">
        <v>3.66</v>
      </c>
      <c r="F593" s="4">
        <v>1</v>
      </c>
      <c r="G593" s="5">
        <v>1.05</v>
      </c>
      <c r="H593" s="4">
        <v>1</v>
      </c>
    </row>
    <row r="594" spans="1:8" x14ac:dyDescent="0.2">
      <c r="A594" s="1" t="s">
        <v>37</v>
      </c>
      <c r="B594" s="4">
        <v>130</v>
      </c>
      <c r="C594" s="5">
        <v>100.01</v>
      </c>
      <c r="D594" s="4">
        <v>89</v>
      </c>
      <c r="E594" s="5">
        <v>100</v>
      </c>
      <c r="F594" s="4">
        <v>38</v>
      </c>
      <c r="G594" s="5">
        <v>99.97999999999999</v>
      </c>
      <c r="H594" s="4">
        <v>0</v>
      </c>
    </row>
    <row r="595" spans="1:8" x14ac:dyDescent="0.2">
      <c r="A595" s="2" t="s">
        <v>43</v>
      </c>
      <c r="B595" s="4">
        <v>0</v>
      </c>
      <c r="C595" s="5">
        <v>0</v>
      </c>
      <c r="D595" s="4">
        <v>0</v>
      </c>
      <c r="E595" s="5">
        <v>0</v>
      </c>
      <c r="F595" s="4">
        <v>0</v>
      </c>
      <c r="G595" s="5">
        <v>0</v>
      </c>
      <c r="H595" s="4">
        <v>0</v>
      </c>
    </row>
    <row r="596" spans="1:8" x14ac:dyDescent="0.2">
      <c r="A596" s="2" t="s">
        <v>44</v>
      </c>
      <c r="B596" s="4">
        <v>39</v>
      </c>
      <c r="C596" s="5">
        <v>30</v>
      </c>
      <c r="D596" s="4">
        <v>25</v>
      </c>
      <c r="E596" s="5">
        <v>28.09</v>
      </c>
      <c r="F596" s="4">
        <v>14</v>
      </c>
      <c r="G596" s="5">
        <v>36.840000000000003</v>
      </c>
      <c r="H596" s="4">
        <v>0</v>
      </c>
    </row>
    <row r="597" spans="1:8" x14ac:dyDescent="0.2">
      <c r="A597" s="2" t="s">
        <v>45</v>
      </c>
      <c r="B597" s="4">
        <v>22</v>
      </c>
      <c r="C597" s="5">
        <v>16.920000000000002</v>
      </c>
      <c r="D597" s="4">
        <v>14</v>
      </c>
      <c r="E597" s="5">
        <v>15.73</v>
      </c>
      <c r="F597" s="4">
        <v>8</v>
      </c>
      <c r="G597" s="5">
        <v>21.05</v>
      </c>
      <c r="H597" s="4">
        <v>0</v>
      </c>
    </row>
    <row r="598" spans="1:8" x14ac:dyDescent="0.2">
      <c r="A598" s="2" t="s">
        <v>46</v>
      </c>
      <c r="B598" s="4">
        <v>1</v>
      </c>
      <c r="C598" s="5">
        <v>0.77</v>
      </c>
      <c r="D598" s="4">
        <v>1</v>
      </c>
      <c r="E598" s="5">
        <v>1.1200000000000001</v>
      </c>
      <c r="F598" s="4">
        <v>0</v>
      </c>
      <c r="G598" s="5">
        <v>0</v>
      </c>
      <c r="H598" s="4">
        <v>0</v>
      </c>
    </row>
    <row r="599" spans="1:8" x14ac:dyDescent="0.2">
      <c r="A599" s="2" t="s">
        <v>47</v>
      </c>
      <c r="B599" s="4">
        <v>0</v>
      </c>
      <c r="C599" s="5">
        <v>0</v>
      </c>
      <c r="D599" s="4">
        <v>0</v>
      </c>
      <c r="E599" s="5">
        <v>0</v>
      </c>
      <c r="F599" s="4">
        <v>0</v>
      </c>
      <c r="G599" s="5">
        <v>0</v>
      </c>
      <c r="H599" s="4">
        <v>0</v>
      </c>
    </row>
    <row r="600" spans="1:8" x14ac:dyDescent="0.2">
      <c r="A600" s="2" t="s">
        <v>48</v>
      </c>
      <c r="B600" s="4">
        <v>2</v>
      </c>
      <c r="C600" s="5">
        <v>1.54</v>
      </c>
      <c r="D600" s="4">
        <v>2</v>
      </c>
      <c r="E600" s="5">
        <v>2.25</v>
      </c>
      <c r="F600" s="4">
        <v>0</v>
      </c>
      <c r="G600" s="5">
        <v>0</v>
      </c>
      <c r="H600" s="4">
        <v>0</v>
      </c>
    </row>
    <row r="601" spans="1:8" x14ac:dyDescent="0.2">
      <c r="A601" s="2" t="s">
        <v>49</v>
      </c>
      <c r="B601" s="4">
        <v>29</v>
      </c>
      <c r="C601" s="5">
        <v>22.31</v>
      </c>
      <c r="D601" s="4">
        <v>22</v>
      </c>
      <c r="E601" s="5">
        <v>24.72</v>
      </c>
      <c r="F601" s="4">
        <v>7</v>
      </c>
      <c r="G601" s="5">
        <v>18.420000000000002</v>
      </c>
      <c r="H601" s="4">
        <v>0</v>
      </c>
    </row>
    <row r="602" spans="1:8" x14ac:dyDescent="0.2">
      <c r="A602" s="2" t="s">
        <v>50</v>
      </c>
      <c r="B602" s="4">
        <v>2</v>
      </c>
      <c r="C602" s="5">
        <v>1.54</v>
      </c>
      <c r="D602" s="4">
        <v>1</v>
      </c>
      <c r="E602" s="5">
        <v>1.1200000000000001</v>
      </c>
      <c r="F602" s="4">
        <v>1</v>
      </c>
      <c r="G602" s="5">
        <v>2.63</v>
      </c>
      <c r="H602" s="4">
        <v>0</v>
      </c>
    </row>
    <row r="603" spans="1:8" x14ac:dyDescent="0.2">
      <c r="A603" s="2" t="s">
        <v>51</v>
      </c>
      <c r="B603" s="4">
        <v>0</v>
      </c>
      <c r="C603" s="5">
        <v>0</v>
      </c>
      <c r="D603" s="4">
        <v>0</v>
      </c>
      <c r="E603" s="5">
        <v>0</v>
      </c>
      <c r="F603" s="4">
        <v>0</v>
      </c>
      <c r="G603" s="5">
        <v>0</v>
      </c>
      <c r="H603" s="4">
        <v>0</v>
      </c>
    </row>
    <row r="604" spans="1:8" x14ac:dyDescent="0.2">
      <c r="A604" s="2" t="s">
        <v>52</v>
      </c>
      <c r="B604" s="4">
        <v>1</v>
      </c>
      <c r="C604" s="5">
        <v>0.77</v>
      </c>
      <c r="D604" s="4">
        <v>0</v>
      </c>
      <c r="E604" s="5">
        <v>0</v>
      </c>
      <c r="F604" s="4">
        <v>1</v>
      </c>
      <c r="G604" s="5">
        <v>2.63</v>
      </c>
      <c r="H604" s="4">
        <v>0</v>
      </c>
    </row>
    <row r="605" spans="1:8" x14ac:dyDescent="0.2">
      <c r="A605" s="2" t="s">
        <v>53</v>
      </c>
      <c r="B605" s="4">
        <v>11</v>
      </c>
      <c r="C605" s="5">
        <v>8.4600000000000009</v>
      </c>
      <c r="D605" s="4">
        <v>8</v>
      </c>
      <c r="E605" s="5">
        <v>8.99</v>
      </c>
      <c r="F605" s="4">
        <v>3</v>
      </c>
      <c r="G605" s="5">
        <v>7.89</v>
      </c>
      <c r="H605" s="4">
        <v>0</v>
      </c>
    </row>
    <row r="606" spans="1:8" x14ac:dyDescent="0.2">
      <c r="A606" s="2" t="s">
        <v>54</v>
      </c>
      <c r="B606" s="4">
        <v>14</v>
      </c>
      <c r="C606" s="5">
        <v>10.77</v>
      </c>
      <c r="D606" s="4">
        <v>12</v>
      </c>
      <c r="E606" s="5">
        <v>13.48</v>
      </c>
      <c r="F606" s="4">
        <v>1</v>
      </c>
      <c r="G606" s="5">
        <v>2.63</v>
      </c>
      <c r="H606" s="4">
        <v>0</v>
      </c>
    </row>
    <row r="607" spans="1:8" x14ac:dyDescent="0.2">
      <c r="A607" s="2" t="s">
        <v>55</v>
      </c>
      <c r="B607" s="4">
        <v>2</v>
      </c>
      <c r="C607" s="5">
        <v>1.54</v>
      </c>
      <c r="D607" s="4">
        <v>0</v>
      </c>
      <c r="E607" s="5">
        <v>0</v>
      </c>
      <c r="F607" s="4">
        <v>1</v>
      </c>
      <c r="G607" s="5">
        <v>2.63</v>
      </c>
      <c r="H607" s="4">
        <v>0</v>
      </c>
    </row>
    <row r="608" spans="1:8" x14ac:dyDescent="0.2">
      <c r="A608" s="2" t="s">
        <v>56</v>
      </c>
      <c r="B608" s="4">
        <v>2</v>
      </c>
      <c r="C608" s="5">
        <v>1.54</v>
      </c>
      <c r="D608" s="4">
        <v>2</v>
      </c>
      <c r="E608" s="5">
        <v>2.25</v>
      </c>
      <c r="F608" s="4">
        <v>0</v>
      </c>
      <c r="G608" s="5">
        <v>0</v>
      </c>
      <c r="H608" s="4">
        <v>0</v>
      </c>
    </row>
    <row r="609" spans="1:8" x14ac:dyDescent="0.2">
      <c r="A609" s="2" t="s">
        <v>57</v>
      </c>
      <c r="B609" s="4">
        <v>5</v>
      </c>
      <c r="C609" s="5">
        <v>3.85</v>
      </c>
      <c r="D609" s="4">
        <v>2</v>
      </c>
      <c r="E609" s="5">
        <v>2.25</v>
      </c>
      <c r="F609" s="4">
        <v>2</v>
      </c>
      <c r="G609" s="5">
        <v>5.26</v>
      </c>
      <c r="H609" s="4">
        <v>0</v>
      </c>
    </row>
    <row r="610" spans="1:8" x14ac:dyDescent="0.2">
      <c r="A610" s="1" t="s">
        <v>38</v>
      </c>
      <c r="B610" s="4">
        <v>303</v>
      </c>
      <c r="C610" s="5">
        <v>99.990000000000009</v>
      </c>
      <c r="D610" s="4">
        <v>208</v>
      </c>
      <c r="E610" s="5">
        <v>99.989999999999981</v>
      </c>
      <c r="F610" s="4">
        <v>91</v>
      </c>
      <c r="G610" s="5">
        <v>99.999999999999986</v>
      </c>
      <c r="H610" s="4">
        <v>0</v>
      </c>
    </row>
    <row r="611" spans="1:8" x14ac:dyDescent="0.2">
      <c r="A611" s="2" t="s">
        <v>43</v>
      </c>
      <c r="B611" s="4">
        <v>0</v>
      </c>
      <c r="C611" s="5">
        <v>0</v>
      </c>
      <c r="D611" s="4">
        <v>0</v>
      </c>
      <c r="E611" s="5">
        <v>0</v>
      </c>
      <c r="F611" s="4">
        <v>0</v>
      </c>
      <c r="G611" s="5">
        <v>0</v>
      </c>
      <c r="H611" s="4">
        <v>0</v>
      </c>
    </row>
    <row r="612" spans="1:8" x14ac:dyDescent="0.2">
      <c r="A612" s="2" t="s">
        <v>44</v>
      </c>
      <c r="B612" s="4">
        <v>57</v>
      </c>
      <c r="C612" s="5">
        <v>18.809999999999999</v>
      </c>
      <c r="D612" s="4">
        <v>40</v>
      </c>
      <c r="E612" s="5">
        <v>19.23</v>
      </c>
      <c r="F612" s="4">
        <v>17</v>
      </c>
      <c r="G612" s="5">
        <v>18.68</v>
      </c>
      <c r="H612" s="4">
        <v>0</v>
      </c>
    </row>
    <row r="613" spans="1:8" x14ac:dyDescent="0.2">
      <c r="A613" s="2" t="s">
        <v>45</v>
      </c>
      <c r="B613" s="4">
        <v>66</v>
      </c>
      <c r="C613" s="5">
        <v>21.78</v>
      </c>
      <c r="D613" s="4">
        <v>39</v>
      </c>
      <c r="E613" s="5">
        <v>18.75</v>
      </c>
      <c r="F613" s="4">
        <v>27</v>
      </c>
      <c r="G613" s="5">
        <v>29.67</v>
      </c>
      <c r="H613" s="4">
        <v>0</v>
      </c>
    </row>
    <row r="614" spans="1:8" x14ac:dyDescent="0.2">
      <c r="A614" s="2" t="s">
        <v>46</v>
      </c>
      <c r="B614" s="4">
        <v>0</v>
      </c>
      <c r="C614" s="5">
        <v>0</v>
      </c>
      <c r="D614" s="4">
        <v>0</v>
      </c>
      <c r="E614" s="5">
        <v>0</v>
      </c>
      <c r="F614" s="4">
        <v>0</v>
      </c>
      <c r="G614" s="5">
        <v>0</v>
      </c>
      <c r="H614" s="4">
        <v>0</v>
      </c>
    </row>
    <row r="615" spans="1:8" x14ac:dyDescent="0.2">
      <c r="A615" s="2" t="s">
        <v>47</v>
      </c>
      <c r="B615" s="4">
        <v>0</v>
      </c>
      <c r="C615" s="5">
        <v>0</v>
      </c>
      <c r="D615" s="4">
        <v>0</v>
      </c>
      <c r="E615" s="5">
        <v>0</v>
      </c>
      <c r="F615" s="4">
        <v>0</v>
      </c>
      <c r="G615" s="5">
        <v>0</v>
      </c>
      <c r="H615" s="4">
        <v>0</v>
      </c>
    </row>
    <row r="616" spans="1:8" x14ac:dyDescent="0.2">
      <c r="A616" s="2" t="s">
        <v>48</v>
      </c>
      <c r="B616" s="4">
        <v>3</v>
      </c>
      <c r="C616" s="5">
        <v>0.99</v>
      </c>
      <c r="D616" s="4">
        <v>1</v>
      </c>
      <c r="E616" s="5">
        <v>0.48</v>
      </c>
      <c r="F616" s="4">
        <v>2</v>
      </c>
      <c r="G616" s="5">
        <v>2.2000000000000002</v>
      </c>
      <c r="H616" s="4">
        <v>0</v>
      </c>
    </row>
    <row r="617" spans="1:8" x14ac:dyDescent="0.2">
      <c r="A617" s="2" t="s">
        <v>49</v>
      </c>
      <c r="B617" s="4">
        <v>84</v>
      </c>
      <c r="C617" s="5">
        <v>27.72</v>
      </c>
      <c r="D617" s="4">
        <v>61</v>
      </c>
      <c r="E617" s="5">
        <v>29.33</v>
      </c>
      <c r="F617" s="4">
        <v>23</v>
      </c>
      <c r="G617" s="5">
        <v>25.27</v>
      </c>
      <c r="H617" s="4">
        <v>0</v>
      </c>
    </row>
    <row r="618" spans="1:8" x14ac:dyDescent="0.2">
      <c r="A618" s="2" t="s">
        <v>50</v>
      </c>
      <c r="B618" s="4">
        <v>1</v>
      </c>
      <c r="C618" s="5">
        <v>0.33</v>
      </c>
      <c r="D618" s="4">
        <v>0</v>
      </c>
      <c r="E618" s="5">
        <v>0</v>
      </c>
      <c r="F618" s="4">
        <v>1</v>
      </c>
      <c r="G618" s="5">
        <v>1.1000000000000001</v>
      </c>
      <c r="H618" s="4">
        <v>0</v>
      </c>
    </row>
    <row r="619" spans="1:8" x14ac:dyDescent="0.2">
      <c r="A619" s="2" t="s">
        <v>51</v>
      </c>
      <c r="B619" s="4">
        <v>9</v>
      </c>
      <c r="C619" s="5">
        <v>2.97</v>
      </c>
      <c r="D619" s="4">
        <v>3</v>
      </c>
      <c r="E619" s="5">
        <v>1.44</v>
      </c>
      <c r="F619" s="4">
        <v>6</v>
      </c>
      <c r="G619" s="5">
        <v>6.59</v>
      </c>
      <c r="H619" s="4">
        <v>0</v>
      </c>
    </row>
    <row r="620" spans="1:8" x14ac:dyDescent="0.2">
      <c r="A620" s="2" t="s">
        <v>52</v>
      </c>
      <c r="B620" s="4">
        <v>7</v>
      </c>
      <c r="C620" s="5">
        <v>2.31</v>
      </c>
      <c r="D620" s="4">
        <v>6</v>
      </c>
      <c r="E620" s="5">
        <v>2.88</v>
      </c>
      <c r="F620" s="4">
        <v>1</v>
      </c>
      <c r="G620" s="5">
        <v>1.1000000000000001</v>
      </c>
      <c r="H620" s="4">
        <v>0</v>
      </c>
    </row>
    <row r="621" spans="1:8" x14ac:dyDescent="0.2">
      <c r="A621" s="2" t="s">
        <v>53</v>
      </c>
      <c r="B621" s="4">
        <v>27</v>
      </c>
      <c r="C621" s="5">
        <v>8.91</v>
      </c>
      <c r="D621" s="4">
        <v>24</v>
      </c>
      <c r="E621" s="5">
        <v>11.54</v>
      </c>
      <c r="F621" s="4">
        <v>2</v>
      </c>
      <c r="G621" s="5">
        <v>2.2000000000000002</v>
      </c>
      <c r="H621" s="4">
        <v>0</v>
      </c>
    </row>
    <row r="622" spans="1:8" x14ac:dyDescent="0.2">
      <c r="A622" s="2" t="s">
        <v>54</v>
      </c>
      <c r="B622" s="4">
        <v>26</v>
      </c>
      <c r="C622" s="5">
        <v>8.58</v>
      </c>
      <c r="D622" s="4">
        <v>23</v>
      </c>
      <c r="E622" s="5">
        <v>11.06</v>
      </c>
      <c r="F622" s="4">
        <v>3</v>
      </c>
      <c r="G622" s="5">
        <v>3.3</v>
      </c>
      <c r="H622" s="4">
        <v>0</v>
      </c>
    </row>
    <row r="623" spans="1:8" x14ac:dyDescent="0.2">
      <c r="A623" s="2" t="s">
        <v>55</v>
      </c>
      <c r="B623" s="4">
        <v>7</v>
      </c>
      <c r="C623" s="5">
        <v>2.31</v>
      </c>
      <c r="D623" s="4">
        <v>4</v>
      </c>
      <c r="E623" s="5">
        <v>1.92</v>
      </c>
      <c r="F623" s="4">
        <v>1</v>
      </c>
      <c r="G623" s="5">
        <v>1.1000000000000001</v>
      </c>
      <c r="H623" s="4">
        <v>0</v>
      </c>
    </row>
    <row r="624" spans="1:8" x14ac:dyDescent="0.2">
      <c r="A624" s="2" t="s">
        <v>56</v>
      </c>
      <c r="B624" s="4">
        <v>11</v>
      </c>
      <c r="C624" s="5">
        <v>3.63</v>
      </c>
      <c r="D624" s="4">
        <v>5</v>
      </c>
      <c r="E624" s="5">
        <v>2.4</v>
      </c>
      <c r="F624" s="4">
        <v>5</v>
      </c>
      <c r="G624" s="5">
        <v>5.49</v>
      </c>
      <c r="H624" s="4">
        <v>0</v>
      </c>
    </row>
    <row r="625" spans="1:8" x14ac:dyDescent="0.2">
      <c r="A625" s="2" t="s">
        <v>57</v>
      </c>
      <c r="B625" s="4">
        <v>5</v>
      </c>
      <c r="C625" s="5">
        <v>1.65</v>
      </c>
      <c r="D625" s="4">
        <v>2</v>
      </c>
      <c r="E625" s="5">
        <v>0.96</v>
      </c>
      <c r="F625" s="4">
        <v>3</v>
      </c>
      <c r="G625" s="5">
        <v>3.3</v>
      </c>
      <c r="H625" s="4">
        <v>0</v>
      </c>
    </row>
    <row r="626" spans="1:8" x14ac:dyDescent="0.2">
      <c r="A626" s="1" t="s">
        <v>39</v>
      </c>
      <c r="B626" s="4">
        <v>319</v>
      </c>
      <c r="C626" s="5">
        <v>99.99</v>
      </c>
      <c r="D626" s="4">
        <v>191</v>
      </c>
      <c r="E626" s="5">
        <v>100</v>
      </c>
      <c r="F626" s="4">
        <v>126</v>
      </c>
      <c r="G626" s="5">
        <v>100.00000000000001</v>
      </c>
      <c r="H626" s="4">
        <v>2</v>
      </c>
    </row>
    <row r="627" spans="1:8" x14ac:dyDescent="0.2">
      <c r="A627" s="2" t="s">
        <v>43</v>
      </c>
      <c r="B627" s="4">
        <v>0</v>
      </c>
      <c r="C627" s="5">
        <v>0</v>
      </c>
      <c r="D627" s="4">
        <v>0</v>
      </c>
      <c r="E627" s="5">
        <v>0</v>
      </c>
      <c r="F627" s="4">
        <v>0</v>
      </c>
      <c r="G627" s="5">
        <v>0</v>
      </c>
      <c r="H627" s="4">
        <v>0</v>
      </c>
    </row>
    <row r="628" spans="1:8" x14ac:dyDescent="0.2">
      <c r="A628" s="2" t="s">
        <v>44</v>
      </c>
      <c r="B628" s="4">
        <v>106</v>
      </c>
      <c r="C628" s="5">
        <v>33.229999999999997</v>
      </c>
      <c r="D628" s="4">
        <v>52</v>
      </c>
      <c r="E628" s="5">
        <v>27.23</v>
      </c>
      <c r="F628" s="4">
        <v>54</v>
      </c>
      <c r="G628" s="5">
        <v>42.86</v>
      </c>
      <c r="H628" s="4">
        <v>0</v>
      </c>
    </row>
    <row r="629" spans="1:8" x14ac:dyDescent="0.2">
      <c r="A629" s="2" t="s">
        <v>45</v>
      </c>
      <c r="B629" s="4">
        <v>53</v>
      </c>
      <c r="C629" s="5">
        <v>16.61</v>
      </c>
      <c r="D629" s="4">
        <v>25</v>
      </c>
      <c r="E629" s="5">
        <v>13.09</v>
      </c>
      <c r="F629" s="4">
        <v>27</v>
      </c>
      <c r="G629" s="5">
        <v>21.43</v>
      </c>
      <c r="H629" s="4">
        <v>1</v>
      </c>
    </row>
    <row r="630" spans="1:8" x14ac:dyDescent="0.2">
      <c r="A630" s="2" t="s">
        <v>46</v>
      </c>
      <c r="B630" s="4">
        <v>3</v>
      </c>
      <c r="C630" s="5">
        <v>0.94</v>
      </c>
      <c r="D630" s="4">
        <v>0</v>
      </c>
      <c r="E630" s="5">
        <v>0</v>
      </c>
      <c r="F630" s="4">
        <v>3</v>
      </c>
      <c r="G630" s="5">
        <v>2.38</v>
      </c>
      <c r="H630" s="4">
        <v>0</v>
      </c>
    </row>
    <row r="631" spans="1:8" x14ac:dyDescent="0.2">
      <c r="A631" s="2" t="s">
        <v>47</v>
      </c>
      <c r="B631" s="4">
        <v>1</v>
      </c>
      <c r="C631" s="5">
        <v>0.31</v>
      </c>
      <c r="D631" s="4">
        <v>0</v>
      </c>
      <c r="E631" s="5">
        <v>0</v>
      </c>
      <c r="F631" s="4">
        <v>1</v>
      </c>
      <c r="G631" s="5">
        <v>0.79</v>
      </c>
      <c r="H631" s="4">
        <v>0</v>
      </c>
    </row>
    <row r="632" spans="1:8" x14ac:dyDescent="0.2">
      <c r="A632" s="2" t="s">
        <v>48</v>
      </c>
      <c r="B632" s="4">
        <v>6</v>
      </c>
      <c r="C632" s="5">
        <v>1.88</v>
      </c>
      <c r="D632" s="4">
        <v>3</v>
      </c>
      <c r="E632" s="5">
        <v>1.57</v>
      </c>
      <c r="F632" s="4">
        <v>2</v>
      </c>
      <c r="G632" s="5">
        <v>1.59</v>
      </c>
      <c r="H632" s="4">
        <v>1</v>
      </c>
    </row>
    <row r="633" spans="1:8" x14ac:dyDescent="0.2">
      <c r="A633" s="2" t="s">
        <v>49</v>
      </c>
      <c r="B633" s="4">
        <v>60</v>
      </c>
      <c r="C633" s="5">
        <v>18.809999999999999</v>
      </c>
      <c r="D633" s="4">
        <v>41</v>
      </c>
      <c r="E633" s="5">
        <v>21.47</v>
      </c>
      <c r="F633" s="4">
        <v>19</v>
      </c>
      <c r="G633" s="5">
        <v>15.08</v>
      </c>
      <c r="H633" s="4">
        <v>0</v>
      </c>
    </row>
    <row r="634" spans="1:8" x14ac:dyDescent="0.2">
      <c r="A634" s="2" t="s">
        <v>50</v>
      </c>
      <c r="B634" s="4">
        <v>1</v>
      </c>
      <c r="C634" s="5">
        <v>0.31</v>
      </c>
      <c r="D634" s="4">
        <v>0</v>
      </c>
      <c r="E634" s="5">
        <v>0</v>
      </c>
      <c r="F634" s="4">
        <v>1</v>
      </c>
      <c r="G634" s="5">
        <v>0.79</v>
      </c>
      <c r="H634" s="4">
        <v>0</v>
      </c>
    </row>
    <row r="635" spans="1:8" x14ac:dyDescent="0.2">
      <c r="A635" s="2" t="s">
        <v>51</v>
      </c>
      <c r="B635" s="4">
        <v>8</v>
      </c>
      <c r="C635" s="5">
        <v>2.5099999999999998</v>
      </c>
      <c r="D635" s="4">
        <v>1</v>
      </c>
      <c r="E635" s="5">
        <v>0.52</v>
      </c>
      <c r="F635" s="4">
        <v>7</v>
      </c>
      <c r="G635" s="5">
        <v>5.56</v>
      </c>
      <c r="H635" s="4">
        <v>0</v>
      </c>
    </row>
    <row r="636" spans="1:8" x14ac:dyDescent="0.2">
      <c r="A636" s="2" t="s">
        <v>52</v>
      </c>
      <c r="B636" s="4">
        <v>4</v>
      </c>
      <c r="C636" s="5">
        <v>1.25</v>
      </c>
      <c r="D636" s="4">
        <v>4</v>
      </c>
      <c r="E636" s="5">
        <v>2.09</v>
      </c>
      <c r="F636" s="4">
        <v>0</v>
      </c>
      <c r="G636" s="5">
        <v>0</v>
      </c>
      <c r="H636" s="4">
        <v>0</v>
      </c>
    </row>
    <row r="637" spans="1:8" x14ac:dyDescent="0.2">
      <c r="A637" s="2" t="s">
        <v>53</v>
      </c>
      <c r="B637" s="4">
        <v>26</v>
      </c>
      <c r="C637" s="5">
        <v>8.15</v>
      </c>
      <c r="D637" s="4">
        <v>23</v>
      </c>
      <c r="E637" s="5">
        <v>12.04</v>
      </c>
      <c r="F637" s="4">
        <v>3</v>
      </c>
      <c r="G637" s="5">
        <v>2.38</v>
      </c>
      <c r="H637" s="4">
        <v>0</v>
      </c>
    </row>
    <row r="638" spans="1:8" x14ac:dyDescent="0.2">
      <c r="A638" s="2" t="s">
        <v>54</v>
      </c>
      <c r="B638" s="4">
        <v>34</v>
      </c>
      <c r="C638" s="5">
        <v>10.66</v>
      </c>
      <c r="D638" s="4">
        <v>30</v>
      </c>
      <c r="E638" s="5">
        <v>15.71</v>
      </c>
      <c r="F638" s="4">
        <v>4</v>
      </c>
      <c r="G638" s="5">
        <v>3.17</v>
      </c>
      <c r="H638" s="4">
        <v>0</v>
      </c>
    </row>
    <row r="639" spans="1:8" x14ac:dyDescent="0.2">
      <c r="A639" s="2" t="s">
        <v>55</v>
      </c>
      <c r="B639" s="4">
        <v>5</v>
      </c>
      <c r="C639" s="5">
        <v>1.57</v>
      </c>
      <c r="D639" s="4">
        <v>3</v>
      </c>
      <c r="E639" s="5">
        <v>1.57</v>
      </c>
      <c r="F639" s="4">
        <v>2</v>
      </c>
      <c r="G639" s="5">
        <v>1.59</v>
      </c>
      <c r="H639" s="4">
        <v>0</v>
      </c>
    </row>
    <row r="640" spans="1:8" x14ac:dyDescent="0.2">
      <c r="A640" s="2" t="s">
        <v>56</v>
      </c>
      <c r="B640" s="4">
        <v>5</v>
      </c>
      <c r="C640" s="5">
        <v>1.57</v>
      </c>
      <c r="D640" s="4">
        <v>4</v>
      </c>
      <c r="E640" s="5">
        <v>2.09</v>
      </c>
      <c r="F640" s="4">
        <v>1</v>
      </c>
      <c r="G640" s="5">
        <v>0.79</v>
      </c>
      <c r="H640" s="4">
        <v>0</v>
      </c>
    </row>
    <row r="641" spans="1:8" x14ac:dyDescent="0.2">
      <c r="A641" s="2" t="s">
        <v>57</v>
      </c>
      <c r="B641" s="4">
        <v>7</v>
      </c>
      <c r="C641" s="5">
        <v>2.19</v>
      </c>
      <c r="D641" s="4">
        <v>5</v>
      </c>
      <c r="E641" s="5">
        <v>2.62</v>
      </c>
      <c r="F641" s="4">
        <v>2</v>
      </c>
      <c r="G641" s="5">
        <v>1.59</v>
      </c>
      <c r="H641" s="4">
        <v>0</v>
      </c>
    </row>
    <row r="642" spans="1:8" x14ac:dyDescent="0.2">
      <c r="A642" s="1" t="s">
        <v>40</v>
      </c>
      <c r="B642" s="4">
        <v>115</v>
      </c>
      <c r="C642" s="5">
        <v>100.00000000000001</v>
      </c>
      <c r="D642" s="4">
        <v>75</v>
      </c>
      <c r="E642" s="5">
        <v>99.99</v>
      </c>
      <c r="F642" s="4">
        <v>38</v>
      </c>
      <c r="G642" s="5">
        <v>99.99</v>
      </c>
      <c r="H642" s="4">
        <v>2</v>
      </c>
    </row>
    <row r="643" spans="1:8" x14ac:dyDescent="0.2">
      <c r="A643" s="2" t="s">
        <v>43</v>
      </c>
      <c r="B643" s="4">
        <v>0</v>
      </c>
      <c r="C643" s="5">
        <v>0</v>
      </c>
      <c r="D643" s="4">
        <v>0</v>
      </c>
      <c r="E643" s="5">
        <v>0</v>
      </c>
      <c r="F643" s="4">
        <v>0</v>
      </c>
      <c r="G643" s="5">
        <v>0</v>
      </c>
      <c r="H643" s="4">
        <v>0</v>
      </c>
    </row>
    <row r="644" spans="1:8" x14ac:dyDescent="0.2">
      <c r="A644" s="2" t="s">
        <v>44</v>
      </c>
      <c r="B644" s="4">
        <v>38</v>
      </c>
      <c r="C644" s="5">
        <v>33.04</v>
      </c>
      <c r="D644" s="4">
        <v>25</v>
      </c>
      <c r="E644" s="5">
        <v>33.33</v>
      </c>
      <c r="F644" s="4">
        <v>13</v>
      </c>
      <c r="G644" s="5">
        <v>34.21</v>
      </c>
      <c r="H644" s="4">
        <v>0</v>
      </c>
    </row>
    <row r="645" spans="1:8" x14ac:dyDescent="0.2">
      <c r="A645" s="2" t="s">
        <v>45</v>
      </c>
      <c r="B645" s="4">
        <v>26</v>
      </c>
      <c r="C645" s="5">
        <v>22.61</v>
      </c>
      <c r="D645" s="4">
        <v>14</v>
      </c>
      <c r="E645" s="5">
        <v>18.670000000000002</v>
      </c>
      <c r="F645" s="4">
        <v>12</v>
      </c>
      <c r="G645" s="5">
        <v>31.58</v>
      </c>
      <c r="H645" s="4">
        <v>0</v>
      </c>
    </row>
    <row r="646" spans="1:8" x14ac:dyDescent="0.2">
      <c r="A646" s="2" t="s">
        <v>46</v>
      </c>
      <c r="B646" s="4">
        <v>2</v>
      </c>
      <c r="C646" s="5">
        <v>1.74</v>
      </c>
      <c r="D646" s="4">
        <v>0</v>
      </c>
      <c r="E646" s="5">
        <v>0</v>
      </c>
      <c r="F646" s="4">
        <v>2</v>
      </c>
      <c r="G646" s="5">
        <v>5.26</v>
      </c>
      <c r="H646" s="4">
        <v>0</v>
      </c>
    </row>
    <row r="647" spans="1:8" x14ac:dyDescent="0.2">
      <c r="A647" s="2" t="s">
        <v>47</v>
      </c>
      <c r="B647" s="4">
        <v>0</v>
      </c>
      <c r="C647" s="5">
        <v>0</v>
      </c>
      <c r="D647" s="4">
        <v>0</v>
      </c>
      <c r="E647" s="5">
        <v>0</v>
      </c>
      <c r="F647" s="4">
        <v>0</v>
      </c>
      <c r="G647" s="5">
        <v>0</v>
      </c>
      <c r="H647" s="4">
        <v>0</v>
      </c>
    </row>
    <row r="648" spans="1:8" x14ac:dyDescent="0.2">
      <c r="A648" s="2" t="s">
        <v>48</v>
      </c>
      <c r="B648" s="4">
        <v>0</v>
      </c>
      <c r="C648" s="5">
        <v>0</v>
      </c>
      <c r="D648" s="4">
        <v>0</v>
      </c>
      <c r="E648" s="5">
        <v>0</v>
      </c>
      <c r="F648" s="4">
        <v>0</v>
      </c>
      <c r="G648" s="5">
        <v>0</v>
      </c>
      <c r="H648" s="4">
        <v>0</v>
      </c>
    </row>
    <row r="649" spans="1:8" x14ac:dyDescent="0.2">
      <c r="A649" s="2" t="s">
        <v>49</v>
      </c>
      <c r="B649" s="4">
        <v>20</v>
      </c>
      <c r="C649" s="5">
        <v>17.39</v>
      </c>
      <c r="D649" s="4">
        <v>16</v>
      </c>
      <c r="E649" s="5">
        <v>21.33</v>
      </c>
      <c r="F649" s="4">
        <v>4</v>
      </c>
      <c r="G649" s="5">
        <v>10.53</v>
      </c>
      <c r="H649" s="4">
        <v>0</v>
      </c>
    </row>
    <row r="650" spans="1:8" x14ac:dyDescent="0.2">
      <c r="A650" s="2" t="s">
        <v>50</v>
      </c>
      <c r="B650" s="4">
        <v>0</v>
      </c>
      <c r="C650" s="5">
        <v>0</v>
      </c>
      <c r="D650" s="4">
        <v>0</v>
      </c>
      <c r="E650" s="5">
        <v>0</v>
      </c>
      <c r="F650" s="4">
        <v>0</v>
      </c>
      <c r="G650" s="5">
        <v>0</v>
      </c>
      <c r="H650" s="4">
        <v>0</v>
      </c>
    </row>
    <row r="651" spans="1:8" x14ac:dyDescent="0.2">
      <c r="A651" s="2" t="s">
        <v>51</v>
      </c>
      <c r="B651" s="4">
        <v>1</v>
      </c>
      <c r="C651" s="5">
        <v>0.87</v>
      </c>
      <c r="D651" s="4">
        <v>1</v>
      </c>
      <c r="E651" s="5">
        <v>1.33</v>
      </c>
      <c r="F651" s="4">
        <v>0</v>
      </c>
      <c r="G651" s="5">
        <v>0</v>
      </c>
      <c r="H651" s="4">
        <v>0</v>
      </c>
    </row>
    <row r="652" spans="1:8" x14ac:dyDescent="0.2">
      <c r="A652" s="2" t="s">
        <v>52</v>
      </c>
      <c r="B652" s="4">
        <v>4</v>
      </c>
      <c r="C652" s="5">
        <v>3.48</v>
      </c>
      <c r="D652" s="4">
        <v>2</v>
      </c>
      <c r="E652" s="5">
        <v>2.67</v>
      </c>
      <c r="F652" s="4">
        <v>2</v>
      </c>
      <c r="G652" s="5">
        <v>5.26</v>
      </c>
      <c r="H652" s="4">
        <v>0</v>
      </c>
    </row>
    <row r="653" spans="1:8" x14ac:dyDescent="0.2">
      <c r="A653" s="2" t="s">
        <v>53</v>
      </c>
      <c r="B653" s="4">
        <v>8</v>
      </c>
      <c r="C653" s="5">
        <v>6.96</v>
      </c>
      <c r="D653" s="4">
        <v>5</v>
      </c>
      <c r="E653" s="5">
        <v>6.67</v>
      </c>
      <c r="F653" s="4">
        <v>2</v>
      </c>
      <c r="G653" s="5">
        <v>5.26</v>
      </c>
      <c r="H653" s="4">
        <v>1</v>
      </c>
    </row>
    <row r="654" spans="1:8" x14ac:dyDescent="0.2">
      <c r="A654" s="2" t="s">
        <v>54</v>
      </c>
      <c r="B654" s="4">
        <v>12</v>
      </c>
      <c r="C654" s="5">
        <v>10.43</v>
      </c>
      <c r="D654" s="4">
        <v>10</v>
      </c>
      <c r="E654" s="5">
        <v>13.33</v>
      </c>
      <c r="F654" s="4">
        <v>1</v>
      </c>
      <c r="G654" s="5">
        <v>2.63</v>
      </c>
      <c r="H654" s="4">
        <v>1</v>
      </c>
    </row>
    <row r="655" spans="1:8" x14ac:dyDescent="0.2">
      <c r="A655" s="2" t="s">
        <v>55</v>
      </c>
      <c r="B655" s="4">
        <v>2</v>
      </c>
      <c r="C655" s="5">
        <v>1.74</v>
      </c>
      <c r="D655" s="4">
        <v>1</v>
      </c>
      <c r="E655" s="5">
        <v>1.33</v>
      </c>
      <c r="F655" s="4">
        <v>1</v>
      </c>
      <c r="G655" s="5">
        <v>2.63</v>
      </c>
      <c r="H655" s="4">
        <v>0</v>
      </c>
    </row>
    <row r="656" spans="1:8" x14ac:dyDescent="0.2">
      <c r="A656" s="2" t="s">
        <v>56</v>
      </c>
      <c r="B656" s="4">
        <v>1</v>
      </c>
      <c r="C656" s="5">
        <v>0.87</v>
      </c>
      <c r="D656" s="4">
        <v>1</v>
      </c>
      <c r="E656" s="5">
        <v>1.33</v>
      </c>
      <c r="F656" s="4">
        <v>0</v>
      </c>
      <c r="G656" s="5">
        <v>0</v>
      </c>
      <c r="H656" s="4">
        <v>0</v>
      </c>
    </row>
    <row r="657" spans="1:8" x14ac:dyDescent="0.2">
      <c r="A657" s="2" t="s">
        <v>57</v>
      </c>
      <c r="B657" s="4">
        <v>1</v>
      </c>
      <c r="C657" s="5">
        <v>0.87</v>
      </c>
      <c r="D657" s="4">
        <v>0</v>
      </c>
      <c r="E657" s="5">
        <v>0</v>
      </c>
      <c r="F657" s="4">
        <v>1</v>
      </c>
      <c r="G657" s="5">
        <v>2.63</v>
      </c>
      <c r="H657" s="4">
        <v>0</v>
      </c>
    </row>
    <row r="658" spans="1:8" x14ac:dyDescent="0.2">
      <c r="A658" s="1" t="s">
        <v>41</v>
      </c>
      <c r="B658" s="4">
        <v>391</v>
      </c>
      <c r="C658" s="5">
        <v>100.00999999999999</v>
      </c>
      <c r="D658" s="4">
        <v>221</v>
      </c>
      <c r="E658" s="5">
        <v>99.98</v>
      </c>
      <c r="F658" s="4">
        <v>159</v>
      </c>
      <c r="G658" s="5">
        <v>100.00999999999999</v>
      </c>
      <c r="H658" s="4">
        <v>0</v>
      </c>
    </row>
    <row r="659" spans="1:8" x14ac:dyDescent="0.2">
      <c r="A659" s="2" t="s">
        <v>43</v>
      </c>
      <c r="B659" s="4">
        <v>1</v>
      </c>
      <c r="C659" s="5">
        <v>0.26</v>
      </c>
      <c r="D659" s="4">
        <v>0</v>
      </c>
      <c r="E659" s="5">
        <v>0</v>
      </c>
      <c r="F659" s="4">
        <v>1</v>
      </c>
      <c r="G659" s="5">
        <v>0.63</v>
      </c>
      <c r="H659" s="4">
        <v>0</v>
      </c>
    </row>
    <row r="660" spans="1:8" x14ac:dyDescent="0.2">
      <c r="A660" s="2" t="s">
        <v>44</v>
      </c>
      <c r="B660" s="4">
        <v>64</v>
      </c>
      <c r="C660" s="5">
        <v>16.37</v>
      </c>
      <c r="D660" s="4">
        <v>30</v>
      </c>
      <c r="E660" s="5">
        <v>13.57</v>
      </c>
      <c r="F660" s="4">
        <v>34</v>
      </c>
      <c r="G660" s="5">
        <v>21.38</v>
      </c>
      <c r="H660" s="4">
        <v>0</v>
      </c>
    </row>
    <row r="661" spans="1:8" x14ac:dyDescent="0.2">
      <c r="A661" s="2" t="s">
        <v>45</v>
      </c>
      <c r="B661" s="4">
        <v>43</v>
      </c>
      <c r="C661" s="5">
        <v>11</v>
      </c>
      <c r="D661" s="4">
        <v>20</v>
      </c>
      <c r="E661" s="5">
        <v>9.0500000000000007</v>
      </c>
      <c r="F661" s="4">
        <v>23</v>
      </c>
      <c r="G661" s="5">
        <v>14.47</v>
      </c>
      <c r="H661" s="4">
        <v>0</v>
      </c>
    </row>
    <row r="662" spans="1:8" x14ac:dyDescent="0.2">
      <c r="A662" s="2" t="s">
        <v>46</v>
      </c>
      <c r="B662" s="4">
        <v>0</v>
      </c>
      <c r="C662" s="5">
        <v>0</v>
      </c>
      <c r="D662" s="4">
        <v>0</v>
      </c>
      <c r="E662" s="5">
        <v>0</v>
      </c>
      <c r="F662" s="4">
        <v>0</v>
      </c>
      <c r="G662" s="5">
        <v>0</v>
      </c>
      <c r="H662" s="4">
        <v>0</v>
      </c>
    </row>
    <row r="663" spans="1:8" x14ac:dyDescent="0.2">
      <c r="A663" s="2" t="s">
        <v>47</v>
      </c>
      <c r="B663" s="4">
        <v>0</v>
      </c>
      <c r="C663" s="5">
        <v>0</v>
      </c>
      <c r="D663" s="4">
        <v>0</v>
      </c>
      <c r="E663" s="5">
        <v>0</v>
      </c>
      <c r="F663" s="4">
        <v>0</v>
      </c>
      <c r="G663" s="5">
        <v>0</v>
      </c>
      <c r="H663" s="4">
        <v>0</v>
      </c>
    </row>
    <row r="664" spans="1:8" x14ac:dyDescent="0.2">
      <c r="A664" s="2" t="s">
        <v>48</v>
      </c>
      <c r="B664" s="4">
        <v>3</v>
      </c>
      <c r="C664" s="5">
        <v>0.77</v>
      </c>
      <c r="D664" s="4">
        <v>0</v>
      </c>
      <c r="E664" s="5">
        <v>0</v>
      </c>
      <c r="F664" s="4">
        <v>3</v>
      </c>
      <c r="G664" s="5">
        <v>1.89</v>
      </c>
      <c r="H664" s="4">
        <v>0</v>
      </c>
    </row>
    <row r="665" spans="1:8" x14ac:dyDescent="0.2">
      <c r="A665" s="2" t="s">
        <v>49</v>
      </c>
      <c r="B665" s="4">
        <v>85</v>
      </c>
      <c r="C665" s="5">
        <v>21.74</v>
      </c>
      <c r="D665" s="4">
        <v>40</v>
      </c>
      <c r="E665" s="5">
        <v>18.100000000000001</v>
      </c>
      <c r="F665" s="4">
        <v>45</v>
      </c>
      <c r="G665" s="5">
        <v>28.3</v>
      </c>
      <c r="H665" s="4">
        <v>0</v>
      </c>
    </row>
    <row r="666" spans="1:8" x14ac:dyDescent="0.2">
      <c r="A666" s="2" t="s">
        <v>50</v>
      </c>
      <c r="B666" s="4">
        <v>4</v>
      </c>
      <c r="C666" s="5">
        <v>1.02</v>
      </c>
      <c r="D666" s="4">
        <v>2</v>
      </c>
      <c r="E666" s="5">
        <v>0.9</v>
      </c>
      <c r="F666" s="4">
        <v>2</v>
      </c>
      <c r="G666" s="5">
        <v>1.26</v>
      </c>
      <c r="H666" s="4">
        <v>0</v>
      </c>
    </row>
    <row r="667" spans="1:8" x14ac:dyDescent="0.2">
      <c r="A667" s="2" t="s">
        <v>51</v>
      </c>
      <c r="B667" s="4">
        <v>14</v>
      </c>
      <c r="C667" s="5">
        <v>3.58</v>
      </c>
      <c r="D667" s="4">
        <v>5</v>
      </c>
      <c r="E667" s="5">
        <v>2.2599999999999998</v>
      </c>
      <c r="F667" s="4">
        <v>9</v>
      </c>
      <c r="G667" s="5">
        <v>5.66</v>
      </c>
      <c r="H667" s="4">
        <v>0</v>
      </c>
    </row>
    <row r="668" spans="1:8" x14ac:dyDescent="0.2">
      <c r="A668" s="2" t="s">
        <v>52</v>
      </c>
      <c r="B668" s="4">
        <v>14</v>
      </c>
      <c r="C668" s="5">
        <v>3.58</v>
      </c>
      <c r="D668" s="4">
        <v>10</v>
      </c>
      <c r="E668" s="5">
        <v>4.5199999999999996</v>
      </c>
      <c r="F668" s="4">
        <v>4</v>
      </c>
      <c r="G668" s="5">
        <v>2.52</v>
      </c>
      <c r="H668" s="4">
        <v>0</v>
      </c>
    </row>
    <row r="669" spans="1:8" x14ac:dyDescent="0.2">
      <c r="A669" s="2" t="s">
        <v>53</v>
      </c>
      <c r="B669" s="4">
        <v>44</v>
      </c>
      <c r="C669" s="5">
        <v>11.25</v>
      </c>
      <c r="D669" s="4">
        <v>30</v>
      </c>
      <c r="E669" s="5">
        <v>13.57</v>
      </c>
      <c r="F669" s="4">
        <v>13</v>
      </c>
      <c r="G669" s="5">
        <v>8.18</v>
      </c>
      <c r="H669" s="4">
        <v>0</v>
      </c>
    </row>
    <row r="670" spans="1:8" x14ac:dyDescent="0.2">
      <c r="A670" s="2" t="s">
        <v>54</v>
      </c>
      <c r="B670" s="4">
        <v>54</v>
      </c>
      <c r="C670" s="5">
        <v>13.81</v>
      </c>
      <c r="D670" s="4">
        <v>48</v>
      </c>
      <c r="E670" s="5">
        <v>21.72</v>
      </c>
      <c r="F670" s="4">
        <v>6</v>
      </c>
      <c r="G670" s="5">
        <v>3.77</v>
      </c>
      <c r="H670" s="4">
        <v>0</v>
      </c>
    </row>
    <row r="671" spans="1:8" x14ac:dyDescent="0.2">
      <c r="A671" s="2" t="s">
        <v>55</v>
      </c>
      <c r="B671" s="4">
        <v>20</v>
      </c>
      <c r="C671" s="5">
        <v>5.12</v>
      </c>
      <c r="D671" s="4">
        <v>12</v>
      </c>
      <c r="E671" s="5">
        <v>5.43</v>
      </c>
      <c r="F671" s="4">
        <v>2</v>
      </c>
      <c r="G671" s="5">
        <v>1.26</v>
      </c>
      <c r="H671" s="4">
        <v>0</v>
      </c>
    </row>
    <row r="672" spans="1:8" x14ac:dyDescent="0.2">
      <c r="A672" s="2" t="s">
        <v>56</v>
      </c>
      <c r="B672" s="4">
        <v>22</v>
      </c>
      <c r="C672" s="5">
        <v>5.63</v>
      </c>
      <c r="D672" s="4">
        <v>11</v>
      </c>
      <c r="E672" s="5">
        <v>4.9800000000000004</v>
      </c>
      <c r="F672" s="4">
        <v>8</v>
      </c>
      <c r="G672" s="5">
        <v>5.03</v>
      </c>
      <c r="H672" s="4">
        <v>0</v>
      </c>
    </row>
    <row r="673" spans="1:8" x14ac:dyDescent="0.2">
      <c r="A673" s="2" t="s">
        <v>57</v>
      </c>
      <c r="B673" s="4">
        <v>23</v>
      </c>
      <c r="C673" s="5">
        <v>5.88</v>
      </c>
      <c r="D673" s="4">
        <v>13</v>
      </c>
      <c r="E673" s="5">
        <v>5.88</v>
      </c>
      <c r="F673" s="4">
        <v>9</v>
      </c>
      <c r="G673" s="5">
        <v>5.66</v>
      </c>
      <c r="H673" s="4">
        <v>0</v>
      </c>
    </row>
    <row r="674" spans="1:8" x14ac:dyDescent="0.2">
      <c r="A674" s="1" t="s">
        <v>42</v>
      </c>
      <c r="B674" s="4">
        <v>149</v>
      </c>
      <c r="C674" s="5">
        <v>100.00000000000001</v>
      </c>
      <c r="D674" s="4">
        <v>104</v>
      </c>
      <c r="E674" s="5">
        <v>99.999999999999986</v>
      </c>
      <c r="F674" s="4">
        <v>43</v>
      </c>
      <c r="G674" s="5">
        <v>100</v>
      </c>
      <c r="H674" s="4">
        <v>1</v>
      </c>
    </row>
    <row r="675" spans="1:8" x14ac:dyDescent="0.2">
      <c r="A675" s="2" t="s">
        <v>43</v>
      </c>
      <c r="B675" s="4">
        <v>0</v>
      </c>
      <c r="C675" s="5">
        <v>0</v>
      </c>
      <c r="D675" s="4">
        <v>0</v>
      </c>
      <c r="E675" s="5">
        <v>0</v>
      </c>
      <c r="F675" s="4">
        <v>0</v>
      </c>
      <c r="G675" s="5">
        <v>0</v>
      </c>
      <c r="H675" s="4">
        <v>0</v>
      </c>
    </row>
    <row r="676" spans="1:8" x14ac:dyDescent="0.2">
      <c r="A676" s="2" t="s">
        <v>44</v>
      </c>
      <c r="B676" s="4">
        <v>10</v>
      </c>
      <c r="C676" s="5">
        <v>6.71</v>
      </c>
      <c r="D676" s="4">
        <v>6</v>
      </c>
      <c r="E676" s="5">
        <v>5.77</v>
      </c>
      <c r="F676" s="4">
        <v>4</v>
      </c>
      <c r="G676" s="5">
        <v>9.3000000000000007</v>
      </c>
      <c r="H676" s="4">
        <v>0</v>
      </c>
    </row>
    <row r="677" spans="1:8" x14ac:dyDescent="0.2">
      <c r="A677" s="2" t="s">
        <v>45</v>
      </c>
      <c r="B677" s="4">
        <v>8</v>
      </c>
      <c r="C677" s="5">
        <v>5.37</v>
      </c>
      <c r="D677" s="4">
        <v>3</v>
      </c>
      <c r="E677" s="5">
        <v>2.88</v>
      </c>
      <c r="F677" s="4">
        <v>4</v>
      </c>
      <c r="G677" s="5">
        <v>9.3000000000000007</v>
      </c>
      <c r="H677" s="4">
        <v>1</v>
      </c>
    </row>
    <row r="678" spans="1:8" x14ac:dyDescent="0.2">
      <c r="A678" s="2" t="s">
        <v>46</v>
      </c>
      <c r="B678" s="4">
        <v>2</v>
      </c>
      <c r="C678" s="5">
        <v>1.34</v>
      </c>
      <c r="D678" s="4">
        <v>0</v>
      </c>
      <c r="E678" s="5">
        <v>0</v>
      </c>
      <c r="F678" s="4">
        <v>1</v>
      </c>
      <c r="G678" s="5">
        <v>2.33</v>
      </c>
      <c r="H678" s="4">
        <v>0</v>
      </c>
    </row>
    <row r="679" spans="1:8" x14ac:dyDescent="0.2">
      <c r="A679" s="2" t="s">
        <v>47</v>
      </c>
      <c r="B679" s="4">
        <v>1</v>
      </c>
      <c r="C679" s="5">
        <v>0.67</v>
      </c>
      <c r="D679" s="4">
        <v>0</v>
      </c>
      <c r="E679" s="5">
        <v>0</v>
      </c>
      <c r="F679" s="4">
        <v>1</v>
      </c>
      <c r="G679" s="5">
        <v>2.33</v>
      </c>
      <c r="H679" s="4">
        <v>0</v>
      </c>
    </row>
    <row r="680" spans="1:8" x14ac:dyDescent="0.2">
      <c r="A680" s="2" t="s">
        <v>48</v>
      </c>
      <c r="B680" s="4">
        <v>1</v>
      </c>
      <c r="C680" s="5">
        <v>0.67</v>
      </c>
      <c r="D680" s="4">
        <v>0</v>
      </c>
      <c r="E680" s="5">
        <v>0</v>
      </c>
      <c r="F680" s="4">
        <v>1</v>
      </c>
      <c r="G680" s="5">
        <v>2.33</v>
      </c>
      <c r="H680" s="4">
        <v>0</v>
      </c>
    </row>
    <row r="681" spans="1:8" x14ac:dyDescent="0.2">
      <c r="A681" s="2" t="s">
        <v>49</v>
      </c>
      <c r="B681" s="4">
        <v>34</v>
      </c>
      <c r="C681" s="5">
        <v>22.82</v>
      </c>
      <c r="D681" s="4">
        <v>18</v>
      </c>
      <c r="E681" s="5">
        <v>17.309999999999999</v>
      </c>
      <c r="F681" s="4">
        <v>16</v>
      </c>
      <c r="G681" s="5">
        <v>37.21</v>
      </c>
      <c r="H681" s="4">
        <v>0</v>
      </c>
    </row>
    <row r="682" spans="1:8" x14ac:dyDescent="0.2">
      <c r="A682" s="2" t="s">
        <v>50</v>
      </c>
      <c r="B682" s="4">
        <v>0</v>
      </c>
      <c r="C682" s="5">
        <v>0</v>
      </c>
      <c r="D682" s="4">
        <v>0</v>
      </c>
      <c r="E682" s="5">
        <v>0</v>
      </c>
      <c r="F682" s="4">
        <v>0</v>
      </c>
      <c r="G682" s="5">
        <v>0</v>
      </c>
      <c r="H682" s="4">
        <v>0</v>
      </c>
    </row>
    <row r="683" spans="1:8" x14ac:dyDescent="0.2">
      <c r="A683" s="2" t="s">
        <v>51</v>
      </c>
      <c r="B683" s="4">
        <v>0</v>
      </c>
      <c r="C683" s="5">
        <v>0</v>
      </c>
      <c r="D683" s="4">
        <v>0</v>
      </c>
      <c r="E683" s="5">
        <v>0</v>
      </c>
      <c r="F683" s="4">
        <v>0</v>
      </c>
      <c r="G683" s="5">
        <v>0</v>
      </c>
      <c r="H683" s="4">
        <v>0</v>
      </c>
    </row>
    <row r="684" spans="1:8" x14ac:dyDescent="0.2">
      <c r="A684" s="2" t="s">
        <v>52</v>
      </c>
      <c r="B684" s="4">
        <v>1</v>
      </c>
      <c r="C684" s="5">
        <v>0.67</v>
      </c>
      <c r="D684" s="4">
        <v>1</v>
      </c>
      <c r="E684" s="5">
        <v>0.96</v>
      </c>
      <c r="F684" s="4">
        <v>0</v>
      </c>
      <c r="G684" s="5">
        <v>0</v>
      </c>
      <c r="H684" s="4">
        <v>0</v>
      </c>
    </row>
    <row r="685" spans="1:8" x14ac:dyDescent="0.2">
      <c r="A685" s="2" t="s">
        <v>53</v>
      </c>
      <c r="B685" s="4">
        <v>69</v>
      </c>
      <c r="C685" s="5">
        <v>46.31</v>
      </c>
      <c r="D685" s="4">
        <v>63</v>
      </c>
      <c r="E685" s="5">
        <v>60.58</v>
      </c>
      <c r="F685" s="4">
        <v>6</v>
      </c>
      <c r="G685" s="5">
        <v>13.95</v>
      </c>
      <c r="H685" s="4">
        <v>0</v>
      </c>
    </row>
    <row r="686" spans="1:8" x14ac:dyDescent="0.2">
      <c r="A686" s="2" t="s">
        <v>54</v>
      </c>
      <c r="B686" s="4">
        <v>3</v>
      </c>
      <c r="C686" s="5">
        <v>2.0099999999999998</v>
      </c>
      <c r="D686" s="4">
        <v>3</v>
      </c>
      <c r="E686" s="5">
        <v>2.88</v>
      </c>
      <c r="F686" s="4">
        <v>0</v>
      </c>
      <c r="G686" s="5">
        <v>0</v>
      </c>
      <c r="H686" s="4">
        <v>0</v>
      </c>
    </row>
    <row r="687" spans="1:8" x14ac:dyDescent="0.2">
      <c r="A687" s="2" t="s">
        <v>55</v>
      </c>
      <c r="B687" s="4">
        <v>8</v>
      </c>
      <c r="C687" s="5">
        <v>5.37</v>
      </c>
      <c r="D687" s="4">
        <v>4</v>
      </c>
      <c r="E687" s="5">
        <v>3.85</v>
      </c>
      <c r="F687" s="4">
        <v>4</v>
      </c>
      <c r="G687" s="5">
        <v>9.3000000000000007</v>
      </c>
      <c r="H687" s="4">
        <v>0</v>
      </c>
    </row>
    <row r="688" spans="1:8" x14ac:dyDescent="0.2">
      <c r="A688" s="2" t="s">
        <v>56</v>
      </c>
      <c r="B688" s="4">
        <v>6</v>
      </c>
      <c r="C688" s="5">
        <v>4.03</v>
      </c>
      <c r="D688" s="4">
        <v>2</v>
      </c>
      <c r="E688" s="5">
        <v>1.92</v>
      </c>
      <c r="F688" s="4">
        <v>4</v>
      </c>
      <c r="G688" s="5">
        <v>9.3000000000000007</v>
      </c>
      <c r="H688" s="4">
        <v>0</v>
      </c>
    </row>
    <row r="689" spans="1:8" x14ac:dyDescent="0.2">
      <c r="A689" s="2" t="s">
        <v>57</v>
      </c>
      <c r="B689" s="4">
        <v>6</v>
      </c>
      <c r="C689" s="5">
        <v>4.03</v>
      </c>
      <c r="D689" s="4">
        <v>4</v>
      </c>
      <c r="E689" s="5">
        <v>3.85</v>
      </c>
      <c r="F689" s="4">
        <v>2</v>
      </c>
      <c r="G689" s="5">
        <v>4.6500000000000004</v>
      </c>
      <c r="H689" s="4">
        <v>0</v>
      </c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r:id="rId2"/>
  <headerFooter>
    <oddHeader>&amp;C自治体別　産業大分類別　事業所数</oddHeader>
    <oddFooter>&amp;C&amp;P /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32D4E-397E-49B3-A079-23617F8C84A8}">
  <sheetPr>
    <pageSetUpPr fitToPage="1"/>
  </sheetPr>
  <dimension ref="B2:I71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250</v>
      </c>
    </row>
    <row r="4" spans="2:9" ht="33" customHeight="1" x14ac:dyDescent="0.2">
      <c r="B4" t="s">
        <v>231</v>
      </c>
      <c r="C4" s="10" t="s">
        <v>59</v>
      </c>
      <c r="D4" s="10" t="s">
        <v>60</v>
      </c>
      <c r="E4" s="10" t="s">
        <v>61</v>
      </c>
      <c r="F4" s="10" t="s">
        <v>62</v>
      </c>
      <c r="G4" s="10" t="s">
        <v>63</v>
      </c>
      <c r="H4" s="10" t="s">
        <v>64</v>
      </c>
      <c r="I4" s="10" t="s">
        <v>65</v>
      </c>
    </row>
    <row r="5" spans="2:9" ht="15" customHeight="1" x14ac:dyDescent="0.2">
      <c r="B5" t="s">
        <v>43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44</v>
      </c>
      <c r="C6" s="12">
        <v>215</v>
      </c>
      <c r="D6" s="8">
        <v>24.91</v>
      </c>
      <c r="E6" s="12">
        <v>131</v>
      </c>
      <c r="F6" s="8">
        <v>23.65</v>
      </c>
      <c r="G6" s="12">
        <v>84</v>
      </c>
      <c r="H6" s="8">
        <v>27.91</v>
      </c>
      <c r="I6" s="12">
        <v>0</v>
      </c>
    </row>
    <row r="7" spans="2:9" ht="15" customHeight="1" x14ac:dyDescent="0.2">
      <c r="B7" t="s">
        <v>45</v>
      </c>
      <c r="C7" s="12">
        <v>229</v>
      </c>
      <c r="D7" s="8">
        <v>26.54</v>
      </c>
      <c r="E7" s="12">
        <v>129</v>
      </c>
      <c r="F7" s="8">
        <v>23.29</v>
      </c>
      <c r="G7" s="12">
        <v>100</v>
      </c>
      <c r="H7" s="8">
        <v>33.22</v>
      </c>
      <c r="I7" s="12">
        <v>0</v>
      </c>
    </row>
    <row r="8" spans="2:9" ht="15" customHeight="1" x14ac:dyDescent="0.2">
      <c r="B8" t="s">
        <v>46</v>
      </c>
      <c r="C8" s="12">
        <v>1</v>
      </c>
      <c r="D8" s="8">
        <v>0.12</v>
      </c>
      <c r="E8" s="12">
        <v>1</v>
      </c>
      <c r="F8" s="8">
        <v>0.18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47</v>
      </c>
      <c r="C9" s="12">
        <v>4</v>
      </c>
      <c r="D9" s="8">
        <v>0.46</v>
      </c>
      <c r="E9" s="12">
        <v>2</v>
      </c>
      <c r="F9" s="8">
        <v>0.36</v>
      </c>
      <c r="G9" s="12">
        <v>2</v>
      </c>
      <c r="H9" s="8">
        <v>0.66</v>
      </c>
      <c r="I9" s="12">
        <v>0</v>
      </c>
    </row>
    <row r="10" spans="2:9" ht="15" customHeight="1" x14ac:dyDescent="0.2">
      <c r="B10" t="s">
        <v>48</v>
      </c>
      <c r="C10" s="12">
        <v>14</v>
      </c>
      <c r="D10" s="8">
        <v>1.62</v>
      </c>
      <c r="E10" s="12">
        <v>11</v>
      </c>
      <c r="F10" s="8">
        <v>1.99</v>
      </c>
      <c r="G10" s="12">
        <v>3</v>
      </c>
      <c r="H10" s="8">
        <v>1</v>
      </c>
      <c r="I10" s="12">
        <v>0</v>
      </c>
    </row>
    <row r="11" spans="2:9" ht="15" customHeight="1" x14ac:dyDescent="0.2">
      <c r="B11" t="s">
        <v>49</v>
      </c>
      <c r="C11" s="12">
        <v>159</v>
      </c>
      <c r="D11" s="8">
        <v>18.420000000000002</v>
      </c>
      <c r="E11" s="12">
        <v>103</v>
      </c>
      <c r="F11" s="8">
        <v>18.59</v>
      </c>
      <c r="G11" s="12">
        <v>56</v>
      </c>
      <c r="H11" s="8">
        <v>18.600000000000001</v>
      </c>
      <c r="I11" s="12">
        <v>0</v>
      </c>
    </row>
    <row r="12" spans="2:9" ht="15" customHeight="1" x14ac:dyDescent="0.2">
      <c r="B12" t="s">
        <v>50</v>
      </c>
      <c r="C12" s="12">
        <v>2</v>
      </c>
      <c r="D12" s="8">
        <v>0.23</v>
      </c>
      <c r="E12" s="12">
        <v>1</v>
      </c>
      <c r="F12" s="8">
        <v>0.18</v>
      </c>
      <c r="G12" s="12">
        <v>1</v>
      </c>
      <c r="H12" s="8">
        <v>0.33</v>
      </c>
      <c r="I12" s="12">
        <v>0</v>
      </c>
    </row>
    <row r="13" spans="2:9" ht="15" customHeight="1" x14ac:dyDescent="0.2">
      <c r="B13" t="s">
        <v>51</v>
      </c>
      <c r="C13" s="12">
        <v>14</v>
      </c>
      <c r="D13" s="8">
        <v>1.62</v>
      </c>
      <c r="E13" s="12">
        <v>2</v>
      </c>
      <c r="F13" s="8">
        <v>0.36</v>
      </c>
      <c r="G13" s="12">
        <v>12</v>
      </c>
      <c r="H13" s="8">
        <v>3.99</v>
      </c>
      <c r="I13" s="12">
        <v>0</v>
      </c>
    </row>
    <row r="14" spans="2:9" ht="15" customHeight="1" x14ac:dyDescent="0.2">
      <c r="B14" t="s">
        <v>52</v>
      </c>
      <c r="C14" s="12">
        <v>29</v>
      </c>
      <c r="D14" s="8">
        <v>3.36</v>
      </c>
      <c r="E14" s="12">
        <v>18</v>
      </c>
      <c r="F14" s="8">
        <v>3.25</v>
      </c>
      <c r="G14" s="12">
        <v>11</v>
      </c>
      <c r="H14" s="8">
        <v>3.65</v>
      </c>
      <c r="I14" s="12">
        <v>0</v>
      </c>
    </row>
    <row r="15" spans="2:9" ht="15" customHeight="1" x14ac:dyDescent="0.2">
      <c r="B15" t="s">
        <v>53</v>
      </c>
      <c r="C15" s="12">
        <v>53</v>
      </c>
      <c r="D15" s="8">
        <v>6.14</v>
      </c>
      <c r="E15" s="12">
        <v>49</v>
      </c>
      <c r="F15" s="8">
        <v>8.84</v>
      </c>
      <c r="G15" s="12">
        <v>4</v>
      </c>
      <c r="H15" s="8">
        <v>1.33</v>
      </c>
      <c r="I15" s="12">
        <v>0</v>
      </c>
    </row>
    <row r="16" spans="2:9" ht="15" customHeight="1" x14ac:dyDescent="0.2">
      <c r="B16" t="s">
        <v>54</v>
      </c>
      <c r="C16" s="12">
        <v>71</v>
      </c>
      <c r="D16" s="8">
        <v>8.23</v>
      </c>
      <c r="E16" s="12">
        <v>57</v>
      </c>
      <c r="F16" s="8">
        <v>10.29</v>
      </c>
      <c r="G16" s="12">
        <v>14</v>
      </c>
      <c r="H16" s="8">
        <v>4.6500000000000004</v>
      </c>
      <c r="I16" s="12">
        <v>0</v>
      </c>
    </row>
    <row r="17" spans="2:9" ht="15" customHeight="1" x14ac:dyDescent="0.2">
      <c r="B17" t="s">
        <v>55</v>
      </c>
      <c r="C17" s="12">
        <v>27</v>
      </c>
      <c r="D17" s="8">
        <v>3.13</v>
      </c>
      <c r="E17" s="12">
        <v>20</v>
      </c>
      <c r="F17" s="8">
        <v>3.61</v>
      </c>
      <c r="G17" s="12">
        <v>4</v>
      </c>
      <c r="H17" s="8">
        <v>1.33</v>
      </c>
      <c r="I17" s="12">
        <v>0</v>
      </c>
    </row>
    <row r="18" spans="2:9" ht="15" customHeight="1" x14ac:dyDescent="0.2">
      <c r="B18" t="s">
        <v>56</v>
      </c>
      <c r="C18" s="12">
        <v>21</v>
      </c>
      <c r="D18" s="8">
        <v>2.4300000000000002</v>
      </c>
      <c r="E18" s="12">
        <v>17</v>
      </c>
      <c r="F18" s="8">
        <v>3.07</v>
      </c>
      <c r="G18" s="12">
        <v>2</v>
      </c>
      <c r="H18" s="8">
        <v>0.66</v>
      </c>
      <c r="I18" s="12">
        <v>0</v>
      </c>
    </row>
    <row r="19" spans="2:9" ht="15" customHeight="1" x14ac:dyDescent="0.2">
      <c r="B19" t="s">
        <v>57</v>
      </c>
      <c r="C19" s="12">
        <v>24</v>
      </c>
      <c r="D19" s="8">
        <v>2.78</v>
      </c>
      <c r="E19" s="12">
        <v>13</v>
      </c>
      <c r="F19" s="8">
        <v>2.35</v>
      </c>
      <c r="G19" s="12">
        <v>8</v>
      </c>
      <c r="H19" s="8">
        <v>2.66</v>
      </c>
      <c r="I19" s="12">
        <v>0</v>
      </c>
    </row>
    <row r="20" spans="2:9" ht="15" customHeight="1" x14ac:dyDescent="0.2">
      <c r="B20" s="9" t="s">
        <v>232</v>
      </c>
      <c r="C20" s="12">
        <f>SUM(LTBL_21215[総数／事業所数])</f>
        <v>863</v>
      </c>
      <c r="E20" s="12">
        <f>SUBTOTAL(109,LTBL_21215[個人／事業所数])</f>
        <v>554</v>
      </c>
      <c r="G20" s="12">
        <f>SUBTOTAL(109,LTBL_21215[法人／事業所数])</f>
        <v>301</v>
      </c>
      <c r="I20" s="12">
        <f>SUBTOTAL(109,LTBL_21215[法人以外の団体／事業所数])</f>
        <v>0</v>
      </c>
    </row>
    <row r="21" spans="2:9" ht="15" customHeight="1" x14ac:dyDescent="0.2">
      <c r="E21" s="11">
        <f>LTBL_21215[[#Totals],[個人／事業所数]]/LTBL_21215[[#Totals],[総数／事業所数]]</f>
        <v>0.64194669756662803</v>
      </c>
      <c r="G21" s="11">
        <f>LTBL_21215[[#Totals],[法人／事業所数]]/LTBL_21215[[#Totals],[総数／事業所数]]</f>
        <v>0.34878331402085749</v>
      </c>
      <c r="I21" s="11">
        <f>LTBL_21215[[#Totals],[法人以外の団体／事業所数]]/LTBL_21215[[#Totals],[総数／事業所数]]</f>
        <v>0</v>
      </c>
    </row>
    <row r="23" spans="2:9" ht="33" customHeight="1" x14ac:dyDescent="0.2">
      <c r="B23" t="s">
        <v>233</v>
      </c>
      <c r="C23" s="10" t="s">
        <v>59</v>
      </c>
      <c r="D23" s="10" t="s">
        <v>60</v>
      </c>
      <c r="E23" s="10" t="s">
        <v>61</v>
      </c>
      <c r="F23" s="10" t="s">
        <v>62</v>
      </c>
      <c r="G23" s="10" t="s">
        <v>63</v>
      </c>
      <c r="H23" s="10" t="s">
        <v>64</v>
      </c>
      <c r="I23" s="10" t="s">
        <v>65</v>
      </c>
    </row>
    <row r="24" spans="2:9" ht="15" customHeight="1" x14ac:dyDescent="0.2">
      <c r="B24" t="s">
        <v>66</v>
      </c>
      <c r="C24" s="12">
        <v>103</v>
      </c>
      <c r="D24" s="8">
        <v>11.94</v>
      </c>
      <c r="E24" s="12">
        <v>54</v>
      </c>
      <c r="F24" s="8">
        <v>9.75</v>
      </c>
      <c r="G24" s="12">
        <v>49</v>
      </c>
      <c r="H24" s="8">
        <v>16.28</v>
      </c>
      <c r="I24" s="12">
        <v>0</v>
      </c>
    </row>
    <row r="25" spans="2:9" ht="15" customHeight="1" x14ac:dyDescent="0.2">
      <c r="B25" t="s">
        <v>67</v>
      </c>
      <c r="C25" s="12">
        <v>84</v>
      </c>
      <c r="D25" s="8">
        <v>9.73</v>
      </c>
      <c r="E25" s="12">
        <v>59</v>
      </c>
      <c r="F25" s="8">
        <v>10.65</v>
      </c>
      <c r="G25" s="12">
        <v>25</v>
      </c>
      <c r="H25" s="8">
        <v>8.31</v>
      </c>
      <c r="I25" s="12">
        <v>0</v>
      </c>
    </row>
    <row r="26" spans="2:9" ht="15" customHeight="1" x14ac:dyDescent="0.2">
      <c r="B26" t="s">
        <v>82</v>
      </c>
      <c r="C26" s="12">
        <v>56</v>
      </c>
      <c r="D26" s="8">
        <v>6.49</v>
      </c>
      <c r="E26" s="12">
        <v>49</v>
      </c>
      <c r="F26" s="8">
        <v>8.84</v>
      </c>
      <c r="G26" s="12">
        <v>7</v>
      </c>
      <c r="H26" s="8">
        <v>2.33</v>
      </c>
      <c r="I26" s="12">
        <v>0</v>
      </c>
    </row>
    <row r="27" spans="2:9" ht="15" customHeight="1" x14ac:dyDescent="0.2">
      <c r="B27" t="s">
        <v>69</v>
      </c>
      <c r="C27" s="12">
        <v>50</v>
      </c>
      <c r="D27" s="8">
        <v>5.79</v>
      </c>
      <c r="E27" s="12">
        <v>37</v>
      </c>
      <c r="F27" s="8">
        <v>6.68</v>
      </c>
      <c r="G27" s="12">
        <v>13</v>
      </c>
      <c r="H27" s="8">
        <v>4.32</v>
      </c>
      <c r="I27" s="12">
        <v>0</v>
      </c>
    </row>
    <row r="28" spans="2:9" ht="15" customHeight="1" x14ac:dyDescent="0.2">
      <c r="B28" t="s">
        <v>81</v>
      </c>
      <c r="C28" s="12">
        <v>50</v>
      </c>
      <c r="D28" s="8">
        <v>5.79</v>
      </c>
      <c r="E28" s="12">
        <v>47</v>
      </c>
      <c r="F28" s="8">
        <v>8.48</v>
      </c>
      <c r="G28" s="12">
        <v>3</v>
      </c>
      <c r="H28" s="8">
        <v>1</v>
      </c>
      <c r="I28" s="12">
        <v>0</v>
      </c>
    </row>
    <row r="29" spans="2:9" ht="15" customHeight="1" x14ac:dyDescent="0.2">
      <c r="B29" t="s">
        <v>77</v>
      </c>
      <c r="C29" s="12">
        <v>44</v>
      </c>
      <c r="D29" s="8">
        <v>5.0999999999999996</v>
      </c>
      <c r="E29" s="12">
        <v>26</v>
      </c>
      <c r="F29" s="8">
        <v>4.6900000000000004</v>
      </c>
      <c r="G29" s="12">
        <v>18</v>
      </c>
      <c r="H29" s="8">
        <v>5.98</v>
      </c>
      <c r="I29" s="12">
        <v>0</v>
      </c>
    </row>
    <row r="30" spans="2:9" ht="15" customHeight="1" x14ac:dyDescent="0.2">
      <c r="B30" t="s">
        <v>76</v>
      </c>
      <c r="C30" s="12">
        <v>39</v>
      </c>
      <c r="D30" s="8">
        <v>4.5199999999999996</v>
      </c>
      <c r="E30" s="12">
        <v>27</v>
      </c>
      <c r="F30" s="8">
        <v>4.87</v>
      </c>
      <c r="G30" s="12">
        <v>12</v>
      </c>
      <c r="H30" s="8">
        <v>3.99</v>
      </c>
      <c r="I30" s="12">
        <v>0</v>
      </c>
    </row>
    <row r="31" spans="2:9" ht="15" customHeight="1" x14ac:dyDescent="0.2">
      <c r="B31" t="s">
        <v>68</v>
      </c>
      <c r="C31" s="12">
        <v>28</v>
      </c>
      <c r="D31" s="8">
        <v>3.24</v>
      </c>
      <c r="E31" s="12">
        <v>18</v>
      </c>
      <c r="F31" s="8">
        <v>3.25</v>
      </c>
      <c r="G31" s="12">
        <v>10</v>
      </c>
      <c r="H31" s="8">
        <v>3.32</v>
      </c>
      <c r="I31" s="12">
        <v>0</v>
      </c>
    </row>
    <row r="32" spans="2:9" ht="15" customHeight="1" x14ac:dyDescent="0.2">
      <c r="B32" t="s">
        <v>92</v>
      </c>
      <c r="C32" s="12">
        <v>27</v>
      </c>
      <c r="D32" s="8">
        <v>3.13</v>
      </c>
      <c r="E32" s="12">
        <v>14</v>
      </c>
      <c r="F32" s="8">
        <v>2.5299999999999998</v>
      </c>
      <c r="G32" s="12">
        <v>13</v>
      </c>
      <c r="H32" s="8">
        <v>4.32</v>
      </c>
      <c r="I32" s="12">
        <v>0</v>
      </c>
    </row>
    <row r="33" spans="2:9" ht="15" customHeight="1" x14ac:dyDescent="0.2">
      <c r="B33" t="s">
        <v>83</v>
      </c>
      <c r="C33" s="12">
        <v>27</v>
      </c>
      <c r="D33" s="8">
        <v>3.13</v>
      </c>
      <c r="E33" s="12">
        <v>20</v>
      </c>
      <c r="F33" s="8">
        <v>3.61</v>
      </c>
      <c r="G33" s="12">
        <v>4</v>
      </c>
      <c r="H33" s="8">
        <v>1.33</v>
      </c>
      <c r="I33" s="12">
        <v>0</v>
      </c>
    </row>
    <row r="34" spans="2:9" ht="15" customHeight="1" x14ac:dyDescent="0.2">
      <c r="B34" t="s">
        <v>98</v>
      </c>
      <c r="C34" s="12">
        <v>26</v>
      </c>
      <c r="D34" s="8">
        <v>3.01</v>
      </c>
      <c r="E34" s="12">
        <v>13</v>
      </c>
      <c r="F34" s="8">
        <v>2.35</v>
      </c>
      <c r="G34" s="12">
        <v>13</v>
      </c>
      <c r="H34" s="8">
        <v>4.32</v>
      </c>
      <c r="I34" s="12">
        <v>0</v>
      </c>
    </row>
    <row r="35" spans="2:9" ht="15" customHeight="1" x14ac:dyDescent="0.2">
      <c r="B35" t="s">
        <v>71</v>
      </c>
      <c r="C35" s="12">
        <v>24</v>
      </c>
      <c r="D35" s="8">
        <v>2.78</v>
      </c>
      <c r="E35" s="12">
        <v>13</v>
      </c>
      <c r="F35" s="8">
        <v>2.35</v>
      </c>
      <c r="G35" s="12">
        <v>11</v>
      </c>
      <c r="H35" s="8">
        <v>3.65</v>
      </c>
      <c r="I35" s="12">
        <v>0</v>
      </c>
    </row>
    <row r="36" spans="2:9" ht="15" customHeight="1" x14ac:dyDescent="0.2">
      <c r="B36" t="s">
        <v>75</v>
      </c>
      <c r="C36" s="12">
        <v>24</v>
      </c>
      <c r="D36" s="8">
        <v>2.78</v>
      </c>
      <c r="E36" s="12">
        <v>18</v>
      </c>
      <c r="F36" s="8">
        <v>3.25</v>
      </c>
      <c r="G36" s="12">
        <v>6</v>
      </c>
      <c r="H36" s="8">
        <v>1.99</v>
      </c>
      <c r="I36" s="12">
        <v>0</v>
      </c>
    </row>
    <row r="37" spans="2:9" ht="15" customHeight="1" x14ac:dyDescent="0.2">
      <c r="B37" t="s">
        <v>74</v>
      </c>
      <c r="C37" s="12">
        <v>19</v>
      </c>
      <c r="D37" s="8">
        <v>2.2000000000000002</v>
      </c>
      <c r="E37" s="12">
        <v>13</v>
      </c>
      <c r="F37" s="8">
        <v>2.35</v>
      </c>
      <c r="G37" s="12">
        <v>6</v>
      </c>
      <c r="H37" s="8">
        <v>1.99</v>
      </c>
      <c r="I37" s="12">
        <v>0</v>
      </c>
    </row>
    <row r="38" spans="2:9" ht="15" customHeight="1" x14ac:dyDescent="0.2">
      <c r="B38" t="s">
        <v>103</v>
      </c>
      <c r="C38" s="12">
        <v>18</v>
      </c>
      <c r="D38" s="8">
        <v>2.09</v>
      </c>
      <c r="E38" s="12">
        <v>8</v>
      </c>
      <c r="F38" s="8">
        <v>1.44</v>
      </c>
      <c r="G38" s="12">
        <v>10</v>
      </c>
      <c r="H38" s="8">
        <v>3.32</v>
      </c>
      <c r="I38" s="12">
        <v>0</v>
      </c>
    </row>
    <row r="39" spans="2:9" ht="15" customHeight="1" x14ac:dyDescent="0.2">
      <c r="B39" t="s">
        <v>93</v>
      </c>
      <c r="C39" s="12">
        <v>17</v>
      </c>
      <c r="D39" s="8">
        <v>1.97</v>
      </c>
      <c r="E39" s="12">
        <v>11</v>
      </c>
      <c r="F39" s="8">
        <v>1.99</v>
      </c>
      <c r="G39" s="12">
        <v>6</v>
      </c>
      <c r="H39" s="8">
        <v>1.99</v>
      </c>
      <c r="I39" s="12">
        <v>0</v>
      </c>
    </row>
    <row r="40" spans="2:9" ht="15" customHeight="1" x14ac:dyDescent="0.2">
      <c r="B40" t="s">
        <v>84</v>
      </c>
      <c r="C40" s="12">
        <v>17</v>
      </c>
      <c r="D40" s="8">
        <v>1.97</v>
      </c>
      <c r="E40" s="12">
        <v>17</v>
      </c>
      <c r="F40" s="8">
        <v>3.07</v>
      </c>
      <c r="G40" s="12">
        <v>0</v>
      </c>
      <c r="H40" s="8">
        <v>0</v>
      </c>
      <c r="I40" s="12">
        <v>0</v>
      </c>
    </row>
    <row r="41" spans="2:9" ht="15" customHeight="1" x14ac:dyDescent="0.2">
      <c r="B41" t="s">
        <v>80</v>
      </c>
      <c r="C41" s="12">
        <v>16</v>
      </c>
      <c r="D41" s="8">
        <v>1.85</v>
      </c>
      <c r="E41" s="12">
        <v>8</v>
      </c>
      <c r="F41" s="8">
        <v>1.44</v>
      </c>
      <c r="G41" s="12">
        <v>8</v>
      </c>
      <c r="H41" s="8">
        <v>2.66</v>
      </c>
      <c r="I41" s="12">
        <v>0</v>
      </c>
    </row>
    <row r="42" spans="2:9" ht="15" customHeight="1" x14ac:dyDescent="0.2">
      <c r="B42" t="s">
        <v>72</v>
      </c>
      <c r="C42" s="12">
        <v>15</v>
      </c>
      <c r="D42" s="8">
        <v>1.74</v>
      </c>
      <c r="E42" s="12">
        <v>8</v>
      </c>
      <c r="F42" s="8">
        <v>1.44</v>
      </c>
      <c r="G42" s="12">
        <v>7</v>
      </c>
      <c r="H42" s="8">
        <v>2.33</v>
      </c>
      <c r="I42" s="12">
        <v>0</v>
      </c>
    </row>
    <row r="43" spans="2:9" ht="15" customHeight="1" x14ac:dyDescent="0.2">
      <c r="B43" t="s">
        <v>85</v>
      </c>
      <c r="C43" s="12">
        <v>13</v>
      </c>
      <c r="D43" s="8">
        <v>1.51</v>
      </c>
      <c r="E43" s="12">
        <v>8</v>
      </c>
      <c r="F43" s="8">
        <v>1.44</v>
      </c>
      <c r="G43" s="12">
        <v>5</v>
      </c>
      <c r="H43" s="8">
        <v>1.66</v>
      </c>
      <c r="I43" s="12">
        <v>0</v>
      </c>
    </row>
    <row r="46" spans="2:9" ht="33" customHeight="1" x14ac:dyDescent="0.2">
      <c r="B46" t="s">
        <v>234</v>
      </c>
      <c r="C46" s="10" t="s">
        <v>59</v>
      </c>
      <c r="D46" s="10" t="s">
        <v>60</v>
      </c>
      <c r="E46" s="10" t="s">
        <v>61</v>
      </c>
      <c r="F46" s="10" t="s">
        <v>62</v>
      </c>
      <c r="G46" s="10" t="s">
        <v>63</v>
      </c>
      <c r="H46" s="10" t="s">
        <v>64</v>
      </c>
      <c r="I46" s="10" t="s">
        <v>65</v>
      </c>
    </row>
    <row r="47" spans="2:9" ht="15" customHeight="1" x14ac:dyDescent="0.2">
      <c r="B47" t="s">
        <v>122</v>
      </c>
      <c r="C47" s="12">
        <v>36</v>
      </c>
      <c r="D47" s="8">
        <v>4.17</v>
      </c>
      <c r="E47" s="12">
        <v>14</v>
      </c>
      <c r="F47" s="8">
        <v>2.5299999999999998</v>
      </c>
      <c r="G47" s="12">
        <v>22</v>
      </c>
      <c r="H47" s="8">
        <v>7.31</v>
      </c>
      <c r="I47" s="12">
        <v>0</v>
      </c>
    </row>
    <row r="48" spans="2:9" ht="15" customHeight="1" x14ac:dyDescent="0.2">
      <c r="B48" t="s">
        <v>124</v>
      </c>
      <c r="C48" s="12">
        <v>31</v>
      </c>
      <c r="D48" s="8">
        <v>3.59</v>
      </c>
      <c r="E48" s="12">
        <v>21</v>
      </c>
      <c r="F48" s="8">
        <v>3.79</v>
      </c>
      <c r="G48" s="12">
        <v>10</v>
      </c>
      <c r="H48" s="8">
        <v>3.32</v>
      </c>
      <c r="I48" s="12">
        <v>0</v>
      </c>
    </row>
    <row r="49" spans="2:9" ht="15" customHeight="1" x14ac:dyDescent="0.2">
      <c r="B49" t="s">
        <v>138</v>
      </c>
      <c r="C49" s="12">
        <v>31</v>
      </c>
      <c r="D49" s="8">
        <v>3.59</v>
      </c>
      <c r="E49" s="12">
        <v>26</v>
      </c>
      <c r="F49" s="8">
        <v>4.6900000000000004</v>
      </c>
      <c r="G49" s="12">
        <v>5</v>
      </c>
      <c r="H49" s="8">
        <v>1.66</v>
      </c>
      <c r="I49" s="12">
        <v>0</v>
      </c>
    </row>
    <row r="50" spans="2:9" ht="15" customHeight="1" x14ac:dyDescent="0.2">
      <c r="B50" t="s">
        <v>142</v>
      </c>
      <c r="C50" s="12">
        <v>29</v>
      </c>
      <c r="D50" s="8">
        <v>3.36</v>
      </c>
      <c r="E50" s="12">
        <v>21</v>
      </c>
      <c r="F50" s="8">
        <v>3.79</v>
      </c>
      <c r="G50" s="12">
        <v>8</v>
      </c>
      <c r="H50" s="8">
        <v>2.66</v>
      </c>
      <c r="I50" s="12">
        <v>0</v>
      </c>
    </row>
    <row r="51" spans="2:9" ht="15" customHeight="1" x14ac:dyDescent="0.2">
      <c r="B51" t="s">
        <v>123</v>
      </c>
      <c r="C51" s="12">
        <v>22</v>
      </c>
      <c r="D51" s="8">
        <v>2.5499999999999998</v>
      </c>
      <c r="E51" s="12">
        <v>13</v>
      </c>
      <c r="F51" s="8">
        <v>2.35</v>
      </c>
      <c r="G51" s="12">
        <v>9</v>
      </c>
      <c r="H51" s="8">
        <v>2.99</v>
      </c>
      <c r="I51" s="12">
        <v>0</v>
      </c>
    </row>
    <row r="52" spans="2:9" ht="15" customHeight="1" x14ac:dyDescent="0.2">
      <c r="B52" t="s">
        <v>128</v>
      </c>
      <c r="C52" s="12">
        <v>22</v>
      </c>
      <c r="D52" s="8">
        <v>2.5499999999999998</v>
      </c>
      <c r="E52" s="12">
        <v>16</v>
      </c>
      <c r="F52" s="8">
        <v>2.89</v>
      </c>
      <c r="G52" s="12">
        <v>6</v>
      </c>
      <c r="H52" s="8">
        <v>1.99</v>
      </c>
      <c r="I52" s="12">
        <v>0</v>
      </c>
    </row>
    <row r="53" spans="2:9" ht="15" customHeight="1" x14ac:dyDescent="0.2">
      <c r="B53" t="s">
        <v>177</v>
      </c>
      <c r="C53" s="12">
        <v>21</v>
      </c>
      <c r="D53" s="8">
        <v>2.4300000000000002</v>
      </c>
      <c r="E53" s="12">
        <v>14</v>
      </c>
      <c r="F53" s="8">
        <v>2.5299999999999998</v>
      </c>
      <c r="G53" s="12">
        <v>7</v>
      </c>
      <c r="H53" s="8">
        <v>2.33</v>
      </c>
      <c r="I53" s="12">
        <v>0</v>
      </c>
    </row>
    <row r="54" spans="2:9" ht="15" customHeight="1" x14ac:dyDescent="0.2">
      <c r="B54" t="s">
        <v>179</v>
      </c>
      <c r="C54" s="12">
        <v>21</v>
      </c>
      <c r="D54" s="8">
        <v>2.4300000000000002</v>
      </c>
      <c r="E54" s="12">
        <v>12</v>
      </c>
      <c r="F54" s="8">
        <v>2.17</v>
      </c>
      <c r="G54" s="12">
        <v>9</v>
      </c>
      <c r="H54" s="8">
        <v>2.99</v>
      </c>
      <c r="I54" s="12">
        <v>0</v>
      </c>
    </row>
    <row r="55" spans="2:9" ht="15" customHeight="1" x14ac:dyDescent="0.2">
      <c r="B55" t="s">
        <v>165</v>
      </c>
      <c r="C55" s="12">
        <v>20</v>
      </c>
      <c r="D55" s="8">
        <v>2.3199999999999998</v>
      </c>
      <c r="E55" s="12">
        <v>15</v>
      </c>
      <c r="F55" s="8">
        <v>2.71</v>
      </c>
      <c r="G55" s="12">
        <v>5</v>
      </c>
      <c r="H55" s="8">
        <v>1.66</v>
      </c>
      <c r="I55" s="12">
        <v>0</v>
      </c>
    </row>
    <row r="56" spans="2:9" ht="15" customHeight="1" x14ac:dyDescent="0.2">
      <c r="B56" t="s">
        <v>136</v>
      </c>
      <c r="C56" s="12">
        <v>20</v>
      </c>
      <c r="D56" s="8">
        <v>2.3199999999999998</v>
      </c>
      <c r="E56" s="12">
        <v>20</v>
      </c>
      <c r="F56" s="8">
        <v>3.61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125</v>
      </c>
      <c r="C57" s="12">
        <v>18</v>
      </c>
      <c r="D57" s="8">
        <v>2.09</v>
      </c>
      <c r="E57" s="12">
        <v>13</v>
      </c>
      <c r="F57" s="8">
        <v>2.35</v>
      </c>
      <c r="G57" s="12">
        <v>5</v>
      </c>
      <c r="H57" s="8">
        <v>1.66</v>
      </c>
      <c r="I57" s="12">
        <v>0</v>
      </c>
    </row>
    <row r="58" spans="2:9" ht="15" customHeight="1" x14ac:dyDescent="0.2">
      <c r="B58" t="s">
        <v>178</v>
      </c>
      <c r="C58" s="12">
        <v>18</v>
      </c>
      <c r="D58" s="8">
        <v>2.09</v>
      </c>
      <c r="E58" s="12">
        <v>13</v>
      </c>
      <c r="F58" s="8">
        <v>2.35</v>
      </c>
      <c r="G58" s="12">
        <v>5</v>
      </c>
      <c r="H58" s="8">
        <v>1.66</v>
      </c>
      <c r="I58" s="12">
        <v>0</v>
      </c>
    </row>
    <row r="59" spans="2:9" ht="15" customHeight="1" x14ac:dyDescent="0.2">
      <c r="B59" t="s">
        <v>137</v>
      </c>
      <c r="C59" s="12">
        <v>18</v>
      </c>
      <c r="D59" s="8">
        <v>2.09</v>
      </c>
      <c r="E59" s="12">
        <v>17</v>
      </c>
      <c r="F59" s="8">
        <v>3.07</v>
      </c>
      <c r="G59" s="12">
        <v>1</v>
      </c>
      <c r="H59" s="8">
        <v>0.33</v>
      </c>
      <c r="I59" s="12">
        <v>0</v>
      </c>
    </row>
    <row r="60" spans="2:9" ht="15" customHeight="1" x14ac:dyDescent="0.2">
      <c r="B60" t="s">
        <v>134</v>
      </c>
      <c r="C60" s="12">
        <v>17</v>
      </c>
      <c r="D60" s="8">
        <v>1.97</v>
      </c>
      <c r="E60" s="12">
        <v>14</v>
      </c>
      <c r="F60" s="8">
        <v>2.5299999999999998</v>
      </c>
      <c r="G60" s="12">
        <v>3</v>
      </c>
      <c r="H60" s="8">
        <v>1</v>
      </c>
      <c r="I60" s="12">
        <v>0</v>
      </c>
    </row>
    <row r="61" spans="2:9" ht="15" customHeight="1" x14ac:dyDescent="0.2">
      <c r="B61" t="s">
        <v>161</v>
      </c>
      <c r="C61" s="12">
        <v>14</v>
      </c>
      <c r="D61" s="8">
        <v>1.62</v>
      </c>
      <c r="E61" s="12">
        <v>7</v>
      </c>
      <c r="F61" s="8">
        <v>1.26</v>
      </c>
      <c r="G61" s="12">
        <v>7</v>
      </c>
      <c r="H61" s="8">
        <v>2.33</v>
      </c>
      <c r="I61" s="12">
        <v>0</v>
      </c>
    </row>
    <row r="62" spans="2:9" ht="15" customHeight="1" x14ac:dyDescent="0.2">
      <c r="B62" t="s">
        <v>180</v>
      </c>
      <c r="C62" s="12">
        <v>14</v>
      </c>
      <c r="D62" s="8">
        <v>1.62</v>
      </c>
      <c r="E62" s="12">
        <v>6</v>
      </c>
      <c r="F62" s="8">
        <v>1.08</v>
      </c>
      <c r="G62" s="12">
        <v>8</v>
      </c>
      <c r="H62" s="8">
        <v>2.66</v>
      </c>
      <c r="I62" s="12">
        <v>0</v>
      </c>
    </row>
    <row r="63" spans="2:9" ht="15" customHeight="1" x14ac:dyDescent="0.2">
      <c r="B63" t="s">
        <v>130</v>
      </c>
      <c r="C63" s="12">
        <v>14</v>
      </c>
      <c r="D63" s="8">
        <v>1.62</v>
      </c>
      <c r="E63" s="12">
        <v>10</v>
      </c>
      <c r="F63" s="8">
        <v>1.81</v>
      </c>
      <c r="G63" s="12">
        <v>4</v>
      </c>
      <c r="H63" s="8">
        <v>1.33</v>
      </c>
      <c r="I63" s="12">
        <v>0</v>
      </c>
    </row>
    <row r="64" spans="2:9" ht="15" customHeight="1" x14ac:dyDescent="0.2">
      <c r="B64" t="s">
        <v>141</v>
      </c>
      <c r="C64" s="12">
        <v>13</v>
      </c>
      <c r="D64" s="8">
        <v>1.51</v>
      </c>
      <c r="E64" s="12">
        <v>8</v>
      </c>
      <c r="F64" s="8">
        <v>1.44</v>
      </c>
      <c r="G64" s="12">
        <v>5</v>
      </c>
      <c r="H64" s="8">
        <v>1.66</v>
      </c>
      <c r="I64" s="12">
        <v>0</v>
      </c>
    </row>
    <row r="65" spans="2:9" ht="15" customHeight="1" x14ac:dyDescent="0.2">
      <c r="B65" t="s">
        <v>176</v>
      </c>
      <c r="C65" s="12">
        <v>12</v>
      </c>
      <c r="D65" s="8">
        <v>1.39</v>
      </c>
      <c r="E65" s="12">
        <v>9</v>
      </c>
      <c r="F65" s="8">
        <v>1.62</v>
      </c>
      <c r="G65" s="12">
        <v>3</v>
      </c>
      <c r="H65" s="8">
        <v>1</v>
      </c>
      <c r="I65" s="12">
        <v>0</v>
      </c>
    </row>
    <row r="66" spans="2:9" ht="15" customHeight="1" x14ac:dyDescent="0.2">
      <c r="B66" t="s">
        <v>163</v>
      </c>
      <c r="C66" s="12">
        <v>12</v>
      </c>
      <c r="D66" s="8">
        <v>1.39</v>
      </c>
      <c r="E66" s="12">
        <v>7</v>
      </c>
      <c r="F66" s="8">
        <v>1.26</v>
      </c>
      <c r="G66" s="12">
        <v>5</v>
      </c>
      <c r="H66" s="8">
        <v>1.66</v>
      </c>
      <c r="I66" s="12">
        <v>0</v>
      </c>
    </row>
    <row r="67" spans="2:9" ht="15" customHeight="1" x14ac:dyDescent="0.2">
      <c r="B67" t="s">
        <v>145</v>
      </c>
      <c r="C67" s="12">
        <v>12</v>
      </c>
      <c r="D67" s="8">
        <v>1.39</v>
      </c>
      <c r="E67" s="12">
        <v>9</v>
      </c>
      <c r="F67" s="8">
        <v>1.62</v>
      </c>
      <c r="G67" s="12">
        <v>3</v>
      </c>
      <c r="H67" s="8">
        <v>1</v>
      </c>
      <c r="I67" s="12">
        <v>0</v>
      </c>
    </row>
    <row r="68" spans="2:9" ht="15" customHeight="1" x14ac:dyDescent="0.2">
      <c r="B68" t="s">
        <v>139</v>
      </c>
      <c r="C68" s="12">
        <v>12</v>
      </c>
      <c r="D68" s="8">
        <v>1.39</v>
      </c>
      <c r="E68" s="12">
        <v>11</v>
      </c>
      <c r="F68" s="8">
        <v>1.99</v>
      </c>
      <c r="G68" s="12">
        <v>1</v>
      </c>
      <c r="H68" s="8">
        <v>0.33</v>
      </c>
      <c r="I68" s="12">
        <v>0</v>
      </c>
    </row>
    <row r="69" spans="2:9" ht="15" customHeight="1" x14ac:dyDescent="0.2">
      <c r="B69" t="s">
        <v>140</v>
      </c>
      <c r="C69" s="12">
        <v>12</v>
      </c>
      <c r="D69" s="8">
        <v>1.39</v>
      </c>
      <c r="E69" s="12">
        <v>12</v>
      </c>
      <c r="F69" s="8">
        <v>2.17</v>
      </c>
      <c r="G69" s="12">
        <v>0</v>
      </c>
      <c r="H69" s="8">
        <v>0</v>
      </c>
      <c r="I69" s="12">
        <v>0</v>
      </c>
    </row>
    <row r="71" spans="2:9" ht="15" customHeight="1" x14ac:dyDescent="0.2">
      <c r="B71" t="s">
        <v>235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89DD0-DA3C-4950-A6B5-A6EF4F4DB463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251</v>
      </c>
    </row>
    <row r="4" spans="2:9" ht="33" customHeight="1" x14ac:dyDescent="0.2">
      <c r="B4" t="s">
        <v>231</v>
      </c>
      <c r="C4" s="10" t="s">
        <v>59</v>
      </c>
      <c r="D4" s="10" t="s">
        <v>60</v>
      </c>
      <c r="E4" s="10" t="s">
        <v>61</v>
      </c>
      <c r="F4" s="10" t="s">
        <v>62</v>
      </c>
      <c r="G4" s="10" t="s">
        <v>63</v>
      </c>
      <c r="H4" s="10" t="s">
        <v>64</v>
      </c>
      <c r="I4" s="10" t="s">
        <v>65</v>
      </c>
    </row>
    <row r="5" spans="2:9" ht="15" customHeight="1" x14ac:dyDescent="0.2">
      <c r="B5" t="s">
        <v>43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44</v>
      </c>
      <c r="C6" s="12">
        <v>145</v>
      </c>
      <c r="D6" s="8">
        <v>14.02</v>
      </c>
      <c r="E6" s="12">
        <v>36</v>
      </c>
      <c r="F6" s="8">
        <v>6.91</v>
      </c>
      <c r="G6" s="12">
        <v>109</v>
      </c>
      <c r="H6" s="8">
        <v>21.29</v>
      </c>
      <c r="I6" s="12">
        <v>0</v>
      </c>
    </row>
    <row r="7" spans="2:9" ht="15" customHeight="1" x14ac:dyDescent="0.2">
      <c r="B7" t="s">
        <v>45</v>
      </c>
      <c r="C7" s="12">
        <v>129</v>
      </c>
      <c r="D7" s="8">
        <v>12.48</v>
      </c>
      <c r="E7" s="12">
        <v>50</v>
      </c>
      <c r="F7" s="8">
        <v>9.6</v>
      </c>
      <c r="G7" s="12">
        <v>79</v>
      </c>
      <c r="H7" s="8">
        <v>15.43</v>
      </c>
      <c r="I7" s="12">
        <v>0</v>
      </c>
    </row>
    <row r="8" spans="2:9" ht="15" customHeight="1" x14ac:dyDescent="0.2">
      <c r="B8" t="s">
        <v>46</v>
      </c>
      <c r="C8" s="12">
        <v>11</v>
      </c>
      <c r="D8" s="8">
        <v>1.06</v>
      </c>
      <c r="E8" s="12">
        <v>1</v>
      </c>
      <c r="F8" s="8">
        <v>0.19</v>
      </c>
      <c r="G8" s="12">
        <v>10</v>
      </c>
      <c r="H8" s="8">
        <v>1.95</v>
      </c>
      <c r="I8" s="12">
        <v>0</v>
      </c>
    </row>
    <row r="9" spans="2:9" ht="15" customHeight="1" x14ac:dyDescent="0.2">
      <c r="B9" t="s">
        <v>47</v>
      </c>
      <c r="C9" s="12">
        <v>4</v>
      </c>
      <c r="D9" s="8">
        <v>0.39</v>
      </c>
      <c r="E9" s="12">
        <v>0</v>
      </c>
      <c r="F9" s="8">
        <v>0</v>
      </c>
      <c r="G9" s="12">
        <v>4</v>
      </c>
      <c r="H9" s="8">
        <v>0.78</v>
      </c>
      <c r="I9" s="12">
        <v>0</v>
      </c>
    </row>
    <row r="10" spans="2:9" ht="15" customHeight="1" x14ac:dyDescent="0.2">
      <c r="B10" t="s">
        <v>48</v>
      </c>
      <c r="C10" s="12">
        <v>10</v>
      </c>
      <c r="D10" s="8">
        <v>0.97</v>
      </c>
      <c r="E10" s="12">
        <v>3</v>
      </c>
      <c r="F10" s="8">
        <v>0.57999999999999996</v>
      </c>
      <c r="G10" s="12">
        <v>7</v>
      </c>
      <c r="H10" s="8">
        <v>1.37</v>
      </c>
      <c r="I10" s="12">
        <v>0</v>
      </c>
    </row>
    <row r="11" spans="2:9" ht="15" customHeight="1" x14ac:dyDescent="0.2">
      <c r="B11" t="s">
        <v>49</v>
      </c>
      <c r="C11" s="12">
        <v>199</v>
      </c>
      <c r="D11" s="8">
        <v>19.25</v>
      </c>
      <c r="E11" s="12">
        <v>81</v>
      </c>
      <c r="F11" s="8">
        <v>15.55</v>
      </c>
      <c r="G11" s="12">
        <v>118</v>
      </c>
      <c r="H11" s="8">
        <v>23.05</v>
      </c>
      <c r="I11" s="12">
        <v>0</v>
      </c>
    </row>
    <row r="12" spans="2:9" ht="15" customHeight="1" x14ac:dyDescent="0.2">
      <c r="B12" t="s">
        <v>50</v>
      </c>
      <c r="C12" s="12">
        <v>8</v>
      </c>
      <c r="D12" s="8">
        <v>0.77</v>
      </c>
      <c r="E12" s="12">
        <v>1</v>
      </c>
      <c r="F12" s="8">
        <v>0.19</v>
      </c>
      <c r="G12" s="12">
        <v>7</v>
      </c>
      <c r="H12" s="8">
        <v>1.37</v>
      </c>
      <c r="I12" s="12">
        <v>0</v>
      </c>
    </row>
    <row r="13" spans="2:9" ht="15" customHeight="1" x14ac:dyDescent="0.2">
      <c r="B13" t="s">
        <v>51</v>
      </c>
      <c r="C13" s="12">
        <v>135</v>
      </c>
      <c r="D13" s="8">
        <v>13.06</v>
      </c>
      <c r="E13" s="12">
        <v>75</v>
      </c>
      <c r="F13" s="8">
        <v>14.4</v>
      </c>
      <c r="G13" s="12">
        <v>60</v>
      </c>
      <c r="H13" s="8">
        <v>11.72</v>
      </c>
      <c r="I13" s="12">
        <v>0</v>
      </c>
    </row>
    <row r="14" spans="2:9" ht="15" customHeight="1" x14ac:dyDescent="0.2">
      <c r="B14" t="s">
        <v>52</v>
      </c>
      <c r="C14" s="12">
        <v>56</v>
      </c>
      <c r="D14" s="8">
        <v>5.42</v>
      </c>
      <c r="E14" s="12">
        <v>26</v>
      </c>
      <c r="F14" s="8">
        <v>4.99</v>
      </c>
      <c r="G14" s="12">
        <v>30</v>
      </c>
      <c r="H14" s="8">
        <v>5.86</v>
      </c>
      <c r="I14" s="12">
        <v>0</v>
      </c>
    </row>
    <row r="15" spans="2:9" ht="15" customHeight="1" x14ac:dyDescent="0.2">
      <c r="B15" t="s">
        <v>53</v>
      </c>
      <c r="C15" s="12">
        <v>85</v>
      </c>
      <c r="D15" s="8">
        <v>8.2200000000000006</v>
      </c>
      <c r="E15" s="12">
        <v>71</v>
      </c>
      <c r="F15" s="8">
        <v>13.63</v>
      </c>
      <c r="G15" s="12">
        <v>14</v>
      </c>
      <c r="H15" s="8">
        <v>2.73</v>
      </c>
      <c r="I15" s="12">
        <v>0</v>
      </c>
    </row>
    <row r="16" spans="2:9" ht="15" customHeight="1" x14ac:dyDescent="0.2">
      <c r="B16" t="s">
        <v>54</v>
      </c>
      <c r="C16" s="12">
        <v>114</v>
      </c>
      <c r="D16" s="8">
        <v>11.03</v>
      </c>
      <c r="E16" s="12">
        <v>95</v>
      </c>
      <c r="F16" s="8">
        <v>18.23</v>
      </c>
      <c r="G16" s="12">
        <v>19</v>
      </c>
      <c r="H16" s="8">
        <v>3.71</v>
      </c>
      <c r="I16" s="12">
        <v>0</v>
      </c>
    </row>
    <row r="17" spans="2:9" ht="15" customHeight="1" x14ac:dyDescent="0.2">
      <c r="B17" t="s">
        <v>55</v>
      </c>
      <c r="C17" s="12">
        <v>42</v>
      </c>
      <c r="D17" s="8">
        <v>4.0599999999999996</v>
      </c>
      <c r="E17" s="12">
        <v>26</v>
      </c>
      <c r="F17" s="8">
        <v>4.99</v>
      </c>
      <c r="G17" s="12">
        <v>15</v>
      </c>
      <c r="H17" s="8">
        <v>2.93</v>
      </c>
      <c r="I17" s="12">
        <v>1</v>
      </c>
    </row>
    <row r="18" spans="2:9" ht="15" customHeight="1" x14ac:dyDescent="0.2">
      <c r="B18" t="s">
        <v>56</v>
      </c>
      <c r="C18" s="12">
        <v>51</v>
      </c>
      <c r="D18" s="8">
        <v>4.93</v>
      </c>
      <c r="E18" s="12">
        <v>38</v>
      </c>
      <c r="F18" s="8">
        <v>7.29</v>
      </c>
      <c r="G18" s="12">
        <v>13</v>
      </c>
      <c r="H18" s="8">
        <v>2.54</v>
      </c>
      <c r="I18" s="12">
        <v>0</v>
      </c>
    </row>
    <row r="19" spans="2:9" ht="15" customHeight="1" x14ac:dyDescent="0.2">
      <c r="B19" t="s">
        <v>57</v>
      </c>
      <c r="C19" s="12">
        <v>45</v>
      </c>
      <c r="D19" s="8">
        <v>4.3499999999999996</v>
      </c>
      <c r="E19" s="12">
        <v>18</v>
      </c>
      <c r="F19" s="8">
        <v>3.45</v>
      </c>
      <c r="G19" s="12">
        <v>27</v>
      </c>
      <c r="H19" s="8">
        <v>5.27</v>
      </c>
      <c r="I19" s="12">
        <v>0</v>
      </c>
    </row>
    <row r="20" spans="2:9" ht="15" customHeight="1" x14ac:dyDescent="0.2">
      <c r="B20" s="9" t="s">
        <v>232</v>
      </c>
      <c r="C20" s="12">
        <f>SUM(LTBL_21216[総数／事業所数])</f>
        <v>1034</v>
      </c>
      <c r="E20" s="12">
        <f>SUBTOTAL(109,LTBL_21216[個人／事業所数])</f>
        <v>521</v>
      </c>
      <c r="G20" s="12">
        <f>SUBTOTAL(109,LTBL_21216[法人／事業所数])</f>
        <v>512</v>
      </c>
      <c r="I20" s="12">
        <f>SUBTOTAL(109,LTBL_21216[法人以外の団体／事業所数])</f>
        <v>1</v>
      </c>
    </row>
    <row r="21" spans="2:9" ht="15" customHeight="1" x14ac:dyDescent="0.2">
      <c r="E21" s="11">
        <f>LTBL_21216[[#Totals],[個人／事業所数]]/LTBL_21216[[#Totals],[総数／事業所数]]</f>
        <v>0.50386847195357831</v>
      </c>
      <c r="G21" s="11">
        <f>LTBL_21216[[#Totals],[法人／事業所数]]/LTBL_21216[[#Totals],[総数／事業所数]]</f>
        <v>0.49516441005802708</v>
      </c>
      <c r="I21" s="11">
        <f>LTBL_21216[[#Totals],[法人以外の団体／事業所数]]/LTBL_21216[[#Totals],[総数／事業所数]]</f>
        <v>9.6711798839458415E-4</v>
      </c>
    </row>
    <row r="23" spans="2:9" ht="33" customHeight="1" x14ac:dyDescent="0.2">
      <c r="B23" t="s">
        <v>233</v>
      </c>
      <c r="C23" s="10" t="s">
        <v>59</v>
      </c>
      <c r="D23" s="10" t="s">
        <v>60</v>
      </c>
      <c r="E23" s="10" t="s">
        <v>61</v>
      </c>
      <c r="F23" s="10" t="s">
        <v>62</v>
      </c>
      <c r="G23" s="10" t="s">
        <v>63</v>
      </c>
      <c r="H23" s="10" t="s">
        <v>64</v>
      </c>
      <c r="I23" s="10" t="s">
        <v>65</v>
      </c>
    </row>
    <row r="24" spans="2:9" ht="15" customHeight="1" x14ac:dyDescent="0.2">
      <c r="B24" t="s">
        <v>78</v>
      </c>
      <c r="C24" s="12">
        <v>114</v>
      </c>
      <c r="D24" s="8">
        <v>11.03</v>
      </c>
      <c r="E24" s="12">
        <v>75</v>
      </c>
      <c r="F24" s="8">
        <v>14.4</v>
      </c>
      <c r="G24" s="12">
        <v>39</v>
      </c>
      <c r="H24" s="8">
        <v>7.62</v>
      </c>
      <c r="I24" s="12">
        <v>0</v>
      </c>
    </row>
    <row r="25" spans="2:9" ht="15" customHeight="1" x14ac:dyDescent="0.2">
      <c r="B25" t="s">
        <v>82</v>
      </c>
      <c r="C25" s="12">
        <v>95</v>
      </c>
      <c r="D25" s="8">
        <v>9.19</v>
      </c>
      <c r="E25" s="12">
        <v>88</v>
      </c>
      <c r="F25" s="8">
        <v>16.89</v>
      </c>
      <c r="G25" s="12">
        <v>7</v>
      </c>
      <c r="H25" s="8">
        <v>1.37</v>
      </c>
      <c r="I25" s="12">
        <v>0</v>
      </c>
    </row>
    <row r="26" spans="2:9" ht="15" customHeight="1" x14ac:dyDescent="0.2">
      <c r="B26" t="s">
        <v>81</v>
      </c>
      <c r="C26" s="12">
        <v>79</v>
      </c>
      <c r="D26" s="8">
        <v>7.64</v>
      </c>
      <c r="E26" s="12">
        <v>70</v>
      </c>
      <c r="F26" s="8">
        <v>13.44</v>
      </c>
      <c r="G26" s="12">
        <v>9</v>
      </c>
      <c r="H26" s="8">
        <v>1.76</v>
      </c>
      <c r="I26" s="12">
        <v>0</v>
      </c>
    </row>
    <row r="27" spans="2:9" ht="15" customHeight="1" x14ac:dyDescent="0.2">
      <c r="B27" t="s">
        <v>66</v>
      </c>
      <c r="C27" s="12">
        <v>72</v>
      </c>
      <c r="D27" s="8">
        <v>6.96</v>
      </c>
      <c r="E27" s="12">
        <v>15</v>
      </c>
      <c r="F27" s="8">
        <v>2.88</v>
      </c>
      <c r="G27" s="12">
        <v>57</v>
      </c>
      <c r="H27" s="8">
        <v>11.13</v>
      </c>
      <c r="I27" s="12">
        <v>0</v>
      </c>
    </row>
    <row r="28" spans="2:9" ht="15" customHeight="1" x14ac:dyDescent="0.2">
      <c r="B28" t="s">
        <v>77</v>
      </c>
      <c r="C28" s="12">
        <v>72</v>
      </c>
      <c r="D28" s="8">
        <v>6.96</v>
      </c>
      <c r="E28" s="12">
        <v>25</v>
      </c>
      <c r="F28" s="8">
        <v>4.8</v>
      </c>
      <c r="G28" s="12">
        <v>47</v>
      </c>
      <c r="H28" s="8">
        <v>9.18</v>
      </c>
      <c r="I28" s="12">
        <v>0</v>
      </c>
    </row>
    <row r="29" spans="2:9" ht="15" customHeight="1" x14ac:dyDescent="0.2">
      <c r="B29" t="s">
        <v>67</v>
      </c>
      <c r="C29" s="12">
        <v>47</v>
      </c>
      <c r="D29" s="8">
        <v>4.55</v>
      </c>
      <c r="E29" s="12">
        <v>14</v>
      </c>
      <c r="F29" s="8">
        <v>2.69</v>
      </c>
      <c r="G29" s="12">
        <v>33</v>
      </c>
      <c r="H29" s="8">
        <v>6.45</v>
      </c>
      <c r="I29" s="12">
        <v>0</v>
      </c>
    </row>
    <row r="30" spans="2:9" ht="15" customHeight="1" x14ac:dyDescent="0.2">
      <c r="B30" t="s">
        <v>83</v>
      </c>
      <c r="C30" s="12">
        <v>42</v>
      </c>
      <c r="D30" s="8">
        <v>4.0599999999999996</v>
      </c>
      <c r="E30" s="12">
        <v>26</v>
      </c>
      <c r="F30" s="8">
        <v>4.99</v>
      </c>
      <c r="G30" s="12">
        <v>15</v>
      </c>
      <c r="H30" s="8">
        <v>2.93</v>
      </c>
      <c r="I30" s="12">
        <v>1</v>
      </c>
    </row>
    <row r="31" spans="2:9" ht="15" customHeight="1" x14ac:dyDescent="0.2">
      <c r="B31" t="s">
        <v>84</v>
      </c>
      <c r="C31" s="12">
        <v>42</v>
      </c>
      <c r="D31" s="8">
        <v>4.0599999999999996</v>
      </c>
      <c r="E31" s="12">
        <v>38</v>
      </c>
      <c r="F31" s="8">
        <v>7.29</v>
      </c>
      <c r="G31" s="12">
        <v>4</v>
      </c>
      <c r="H31" s="8">
        <v>0.78</v>
      </c>
      <c r="I31" s="12">
        <v>0</v>
      </c>
    </row>
    <row r="32" spans="2:9" ht="15" customHeight="1" x14ac:dyDescent="0.2">
      <c r="B32" t="s">
        <v>76</v>
      </c>
      <c r="C32" s="12">
        <v>33</v>
      </c>
      <c r="D32" s="8">
        <v>3.19</v>
      </c>
      <c r="E32" s="12">
        <v>23</v>
      </c>
      <c r="F32" s="8">
        <v>4.41</v>
      </c>
      <c r="G32" s="12">
        <v>10</v>
      </c>
      <c r="H32" s="8">
        <v>1.95</v>
      </c>
      <c r="I32" s="12">
        <v>0</v>
      </c>
    </row>
    <row r="33" spans="2:9" ht="15" customHeight="1" x14ac:dyDescent="0.2">
      <c r="B33" t="s">
        <v>69</v>
      </c>
      <c r="C33" s="12">
        <v>28</v>
      </c>
      <c r="D33" s="8">
        <v>2.71</v>
      </c>
      <c r="E33" s="12">
        <v>13</v>
      </c>
      <c r="F33" s="8">
        <v>2.5</v>
      </c>
      <c r="G33" s="12">
        <v>15</v>
      </c>
      <c r="H33" s="8">
        <v>2.93</v>
      </c>
      <c r="I33" s="12">
        <v>0</v>
      </c>
    </row>
    <row r="34" spans="2:9" ht="15" customHeight="1" x14ac:dyDescent="0.2">
      <c r="B34" t="s">
        <v>79</v>
      </c>
      <c r="C34" s="12">
        <v>27</v>
      </c>
      <c r="D34" s="8">
        <v>2.61</v>
      </c>
      <c r="E34" s="12">
        <v>17</v>
      </c>
      <c r="F34" s="8">
        <v>3.26</v>
      </c>
      <c r="G34" s="12">
        <v>10</v>
      </c>
      <c r="H34" s="8">
        <v>1.95</v>
      </c>
      <c r="I34" s="12">
        <v>0</v>
      </c>
    </row>
    <row r="35" spans="2:9" ht="15" customHeight="1" x14ac:dyDescent="0.2">
      <c r="B35" t="s">
        <v>68</v>
      </c>
      <c r="C35" s="12">
        <v>26</v>
      </c>
      <c r="D35" s="8">
        <v>2.5099999999999998</v>
      </c>
      <c r="E35" s="12">
        <v>7</v>
      </c>
      <c r="F35" s="8">
        <v>1.34</v>
      </c>
      <c r="G35" s="12">
        <v>19</v>
      </c>
      <c r="H35" s="8">
        <v>3.71</v>
      </c>
      <c r="I35" s="12">
        <v>0</v>
      </c>
    </row>
    <row r="36" spans="2:9" ht="15" customHeight="1" x14ac:dyDescent="0.2">
      <c r="B36" t="s">
        <v>80</v>
      </c>
      <c r="C36" s="12">
        <v>25</v>
      </c>
      <c r="D36" s="8">
        <v>2.42</v>
      </c>
      <c r="E36" s="12">
        <v>9</v>
      </c>
      <c r="F36" s="8">
        <v>1.73</v>
      </c>
      <c r="G36" s="12">
        <v>16</v>
      </c>
      <c r="H36" s="8">
        <v>3.13</v>
      </c>
      <c r="I36" s="12">
        <v>0</v>
      </c>
    </row>
    <row r="37" spans="2:9" ht="15" customHeight="1" x14ac:dyDescent="0.2">
      <c r="B37" t="s">
        <v>71</v>
      </c>
      <c r="C37" s="12">
        <v>22</v>
      </c>
      <c r="D37" s="8">
        <v>2.13</v>
      </c>
      <c r="E37" s="12">
        <v>8</v>
      </c>
      <c r="F37" s="8">
        <v>1.54</v>
      </c>
      <c r="G37" s="12">
        <v>14</v>
      </c>
      <c r="H37" s="8">
        <v>2.73</v>
      </c>
      <c r="I37" s="12">
        <v>0</v>
      </c>
    </row>
    <row r="38" spans="2:9" ht="15" customHeight="1" x14ac:dyDescent="0.2">
      <c r="B38" t="s">
        <v>75</v>
      </c>
      <c r="C38" s="12">
        <v>21</v>
      </c>
      <c r="D38" s="8">
        <v>2.0299999999999998</v>
      </c>
      <c r="E38" s="12">
        <v>14</v>
      </c>
      <c r="F38" s="8">
        <v>2.69</v>
      </c>
      <c r="G38" s="12">
        <v>7</v>
      </c>
      <c r="H38" s="8">
        <v>1.37</v>
      </c>
      <c r="I38" s="12">
        <v>0</v>
      </c>
    </row>
    <row r="39" spans="2:9" ht="15" customHeight="1" x14ac:dyDescent="0.2">
      <c r="B39" t="s">
        <v>72</v>
      </c>
      <c r="C39" s="12">
        <v>18</v>
      </c>
      <c r="D39" s="8">
        <v>1.74</v>
      </c>
      <c r="E39" s="12">
        <v>3</v>
      </c>
      <c r="F39" s="8">
        <v>0.57999999999999996</v>
      </c>
      <c r="G39" s="12">
        <v>15</v>
      </c>
      <c r="H39" s="8">
        <v>2.93</v>
      </c>
      <c r="I39" s="12">
        <v>0</v>
      </c>
    </row>
    <row r="40" spans="2:9" ht="15" customHeight="1" x14ac:dyDescent="0.2">
      <c r="B40" t="s">
        <v>85</v>
      </c>
      <c r="C40" s="12">
        <v>18</v>
      </c>
      <c r="D40" s="8">
        <v>1.74</v>
      </c>
      <c r="E40" s="12">
        <v>13</v>
      </c>
      <c r="F40" s="8">
        <v>2.5</v>
      </c>
      <c r="G40" s="12">
        <v>5</v>
      </c>
      <c r="H40" s="8">
        <v>0.98</v>
      </c>
      <c r="I40" s="12">
        <v>0</v>
      </c>
    </row>
    <row r="41" spans="2:9" ht="15" customHeight="1" x14ac:dyDescent="0.2">
      <c r="B41" t="s">
        <v>102</v>
      </c>
      <c r="C41" s="12">
        <v>16</v>
      </c>
      <c r="D41" s="8">
        <v>1.55</v>
      </c>
      <c r="E41" s="12">
        <v>0</v>
      </c>
      <c r="F41" s="8">
        <v>0</v>
      </c>
      <c r="G41" s="12">
        <v>16</v>
      </c>
      <c r="H41" s="8">
        <v>3.13</v>
      </c>
      <c r="I41" s="12">
        <v>0</v>
      </c>
    </row>
    <row r="42" spans="2:9" ht="15" customHeight="1" x14ac:dyDescent="0.2">
      <c r="B42" t="s">
        <v>73</v>
      </c>
      <c r="C42" s="12">
        <v>14</v>
      </c>
      <c r="D42" s="8">
        <v>1.35</v>
      </c>
      <c r="E42" s="12">
        <v>3</v>
      </c>
      <c r="F42" s="8">
        <v>0.57999999999999996</v>
      </c>
      <c r="G42" s="12">
        <v>11</v>
      </c>
      <c r="H42" s="8">
        <v>2.15</v>
      </c>
      <c r="I42" s="12">
        <v>0</v>
      </c>
    </row>
    <row r="43" spans="2:9" ht="15" customHeight="1" x14ac:dyDescent="0.2">
      <c r="B43" t="s">
        <v>88</v>
      </c>
      <c r="C43" s="12">
        <v>14</v>
      </c>
      <c r="D43" s="8">
        <v>1.35</v>
      </c>
      <c r="E43" s="12">
        <v>1</v>
      </c>
      <c r="F43" s="8">
        <v>0.19</v>
      </c>
      <c r="G43" s="12">
        <v>13</v>
      </c>
      <c r="H43" s="8">
        <v>2.54</v>
      </c>
      <c r="I43" s="12">
        <v>0</v>
      </c>
    </row>
    <row r="46" spans="2:9" ht="33" customHeight="1" x14ac:dyDescent="0.2">
      <c r="B46" t="s">
        <v>234</v>
      </c>
      <c r="C46" s="10" t="s">
        <v>59</v>
      </c>
      <c r="D46" s="10" t="s">
        <v>60</v>
      </c>
      <c r="E46" s="10" t="s">
        <v>61</v>
      </c>
      <c r="F46" s="10" t="s">
        <v>62</v>
      </c>
      <c r="G46" s="10" t="s">
        <v>63</v>
      </c>
      <c r="H46" s="10" t="s">
        <v>64</v>
      </c>
      <c r="I46" s="10" t="s">
        <v>65</v>
      </c>
    </row>
    <row r="47" spans="2:9" ht="15" customHeight="1" x14ac:dyDescent="0.2">
      <c r="B47" t="s">
        <v>132</v>
      </c>
      <c r="C47" s="12">
        <v>68</v>
      </c>
      <c r="D47" s="8">
        <v>6.58</v>
      </c>
      <c r="E47" s="12">
        <v>47</v>
      </c>
      <c r="F47" s="8">
        <v>9.02</v>
      </c>
      <c r="G47" s="12">
        <v>21</v>
      </c>
      <c r="H47" s="8">
        <v>4.0999999999999996</v>
      </c>
      <c r="I47" s="12">
        <v>0</v>
      </c>
    </row>
    <row r="48" spans="2:9" ht="15" customHeight="1" x14ac:dyDescent="0.2">
      <c r="B48" t="s">
        <v>138</v>
      </c>
      <c r="C48" s="12">
        <v>49</v>
      </c>
      <c r="D48" s="8">
        <v>4.74</v>
      </c>
      <c r="E48" s="12">
        <v>48</v>
      </c>
      <c r="F48" s="8">
        <v>9.2100000000000009</v>
      </c>
      <c r="G48" s="12">
        <v>1</v>
      </c>
      <c r="H48" s="8">
        <v>0.2</v>
      </c>
      <c r="I48" s="12">
        <v>0</v>
      </c>
    </row>
    <row r="49" spans="2:9" ht="15" customHeight="1" x14ac:dyDescent="0.2">
      <c r="B49" t="s">
        <v>140</v>
      </c>
      <c r="C49" s="12">
        <v>38</v>
      </c>
      <c r="D49" s="8">
        <v>3.68</v>
      </c>
      <c r="E49" s="12">
        <v>34</v>
      </c>
      <c r="F49" s="8">
        <v>6.53</v>
      </c>
      <c r="G49" s="12">
        <v>4</v>
      </c>
      <c r="H49" s="8">
        <v>0.78</v>
      </c>
      <c r="I49" s="12">
        <v>0</v>
      </c>
    </row>
    <row r="50" spans="2:9" ht="15" customHeight="1" x14ac:dyDescent="0.2">
      <c r="B50" t="s">
        <v>136</v>
      </c>
      <c r="C50" s="12">
        <v>32</v>
      </c>
      <c r="D50" s="8">
        <v>3.09</v>
      </c>
      <c r="E50" s="12">
        <v>31</v>
      </c>
      <c r="F50" s="8">
        <v>5.95</v>
      </c>
      <c r="G50" s="12">
        <v>1</v>
      </c>
      <c r="H50" s="8">
        <v>0.2</v>
      </c>
      <c r="I50" s="12">
        <v>0</v>
      </c>
    </row>
    <row r="51" spans="2:9" ht="15" customHeight="1" x14ac:dyDescent="0.2">
      <c r="B51" t="s">
        <v>137</v>
      </c>
      <c r="C51" s="12">
        <v>28</v>
      </c>
      <c r="D51" s="8">
        <v>2.71</v>
      </c>
      <c r="E51" s="12">
        <v>28</v>
      </c>
      <c r="F51" s="8">
        <v>5.37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122</v>
      </c>
      <c r="C52" s="12">
        <v>26</v>
      </c>
      <c r="D52" s="8">
        <v>2.5099999999999998</v>
      </c>
      <c r="E52" s="12">
        <v>4</v>
      </c>
      <c r="F52" s="8">
        <v>0.77</v>
      </c>
      <c r="G52" s="12">
        <v>22</v>
      </c>
      <c r="H52" s="8">
        <v>4.3</v>
      </c>
      <c r="I52" s="12">
        <v>0</v>
      </c>
    </row>
    <row r="53" spans="2:9" ht="15" customHeight="1" x14ac:dyDescent="0.2">
      <c r="B53" t="s">
        <v>139</v>
      </c>
      <c r="C53" s="12">
        <v>26</v>
      </c>
      <c r="D53" s="8">
        <v>2.5099999999999998</v>
      </c>
      <c r="E53" s="12">
        <v>18</v>
      </c>
      <c r="F53" s="8">
        <v>3.45</v>
      </c>
      <c r="G53" s="12">
        <v>7</v>
      </c>
      <c r="H53" s="8">
        <v>1.37</v>
      </c>
      <c r="I53" s="12">
        <v>1</v>
      </c>
    </row>
    <row r="54" spans="2:9" ht="15" customHeight="1" x14ac:dyDescent="0.2">
      <c r="B54" t="s">
        <v>129</v>
      </c>
      <c r="C54" s="12">
        <v>23</v>
      </c>
      <c r="D54" s="8">
        <v>2.2200000000000002</v>
      </c>
      <c r="E54" s="12">
        <v>6</v>
      </c>
      <c r="F54" s="8">
        <v>1.1499999999999999</v>
      </c>
      <c r="G54" s="12">
        <v>17</v>
      </c>
      <c r="H54" s="8">
        <v>3.32</v>
      </c>
      <c r="I54" s="12">
        <v>0</v>
      </c>
    </row>
    <row r="55" spans="2:9" ht="15" customHeight="1" x14ac:dyDescent="0.2">
      <c r="B55" t="s">
        <v>131</v>
      </c>
      <c r="C55" s="12">
        <v>21</v>
      </c>
      <c r="D55" s="8">
        <v>2.0299999999999998</v>
      </c>
      <c r="E55" s="12">
        <v>8</v>
      </c>
      <c r="F55" s="8">
        <v>1.54</v>
      </c>
      <c r="G55" s="12">
        <v>13</v>
      </c>
      <c r="H55" s="8">
        <v>2.54</v>
      </c>
      <c r="I55" s="12">
        <v>0</v>
      </c>
    </row>
    <row r="56" spans="2:9" ht="15" customHeight="1" x14ac:dyDescent="0.2">
      <c r="B56" t="s">
        <v>146</v>
      </c>
      <c r="C56" s="12">
        <v>21</v>
      </c>
      <c r="D56" s="8">
        <v>2.0299999999999998</v>
      </c>
      <c r="E56" s="12">
        <v>18</v>
      </c>
      <c r="F56" s="8">
        <v>3.45</v>
      </c>
      <c r="G56" s="12">
        <v>3</v>
      </c>
      <c r="H56" s="8">
        <v>0.59</v>
      </c>
      <c r="I56" s="12">
        <v>0</v>
      </c>
    </row>
    <row r="57" spans="2:9" ht="15" customHeight="1" x14ac:dyDescent="0.2">
      <c r="B57" t="s">
        <v>128</v>
      </c>
      <c r="C57" s="12">
        <v>18</v>
      </c>
      <c r="D57" s="8">
        <v>1.74</v>
      </c>
      <c r="E57" s="12">
        <v>14</v>
      </c>
      <c r="F57" s="8">
        <v>2.69</v>
      </c>
      <c r="G57" s="12">
        <v>4</v>
      </c>
      <c r="H57" s="8">
        <v>0.78</v>
      </c>
      <c r="I57" s="12">
        <v>0</v>
      </c>
    </row>
    <row r="58" spans="2:9" ht="15" customHeight="1" x14ac:dyDescent="0.2">
      <c r="B58" t="s">
        <v>141</v>
      </c>
      <c r="C58" s="12">
        <v>18</v>
      </c>
      <c r="D58" s="8">
        <v>1.74</v>
      </c>
      <c r="E58" s="12">
        <v>13</v>
      </c>
      <c r="F58" s="8">
        <v>2.5</v>
      </c>
      <c r="G58" s="12">
        <v>5</v>
      </c>
      <c r="H58" s="8">
        <v>0.98</v>
      </c>
      <c r="I58" s="12">
        <v>0</v>
      </c>
    </row>
    <row r="59" spans="2:9" ht="15" customHeight="1" x14ac:dyDescent="0.2">
      <c r="B59" t="s">
        <v>123</v>
      </c>
      <c r="C59" s="12">
        <v>17</v>
      </c>
      <c r="D59" s="8">
        <v>1.64</v>
      </c>
      <c r="E59" s="12">
        <v>3</v>
      </c>
      <c r="F59" s="8">
        <v>0.57999999999999996</v>
      </c>
      <c r="G59" s="12">
        <v>14</v>
      </c>
      <c r="H59" s="8">
        <v>2.73</v>
      </c>
      <c r="I59" s="12">
        <v>0</v>
      </c>
    </row>
    <row r="60" spans="2:9" ht="15" customHeight="1" x14ac:dyDescent="0.2">
      <c r="B60" t="s">
        <v>124</v>
      </c>
      <c r="C60" s="12">
        <v>17</v>
      </c>
      <c r="D60" s="8">
        <v>1.64</v>
      </c>
      <c r="E60" s="12">
        <v>5</v>
      </c>
      <c r="F60" s="8">
        <v>0.96</v>
      </c>
      <c r="G60" s="12">
        <v>12</v>
      </c>
      <c r="H60" s="8">
        <v>2.34</v>
      </c>
      <c r="I60" s="12">
        <v>0</v>
      </c>
    </row>
    <row r="61" spans="2:9" ht="15" customHeight="1" x14ac:dyDescent="0.2">
      <c r="B61" t="s">
        <v>134</v>
      </c>
      <c r="C61" s="12">
        <v>17</v>
      </c>
      <c r="D61" s="8">
        <v>1.64</v>
      </c>
      <c r="E61" s="12">
        <v>12</v>
      </c>
      <c r="F61" s="8">
        <v>2.2999999999999998</v>
      </c>
      <c r="G61" s="12">
        <v>5</v>
      </c>
      <c r="H61" s="8">
        <v>0.98</v>
      </c>
      <c r="I61" s="12">
        <v>0</v>
      </c>
    </row>
    <row r="62" spans="2:9" ht="15" customHeight="1" x14ac:dyDescent="0.2">
      <c r="B62" t="s">
        <v>142</v>
      </c>
      <c r="C62" s="12">
        <v>16</v>
      </c>
      <c r="D62" s="8">
        <v>1.55</v>
      </c>
      <c r="E62" s="12">
        <v>7</v>
      </c>
      <c r="F62" s="8">
        <v>1.34</v>
      </c>
      <c r="G62" s="12">
        <v>9</v>
      </c>
      <c r="H62" s="8">
        <v>1.76</v>
      </c>
      <c r="I62" s="12">
        <v>0</v>
      </c>
    </row>
    <row r="63" spans="2:9" ht="15" customHeight="1" x14ac:dyDescent="0.2">
      <c r="B63" t="s">
        <v>130</v>
      </c>
      <c r="C63" s="12">
        <v>16</v>
      </c>
      <c r="D63" s="8">
        <v>1.55</v>
      </c>
      <c r="E63" s="12">
        <v>8</v>
      </c>
      <c r="F63" s="8">
        <v>1.54</v>
      </c>
      <c r="G63" s="12">
        <v>8</v>
      </c>
      <c r="H63" s="8">
        <v>1.56</v>
      </c>
      <c r="I63" s="12">
        <v>0</v>
      </c>
    </row>
    <row r="64" spans="2:9" ht="15" customHeight="1" x14ac:dyDescent="0.2">
      <c r="B64" t="s">
        <v>153</v>
      </c>
      <c r="C64" s="12">
        <v>15</v>
      </c>
      <c r="D64" s="8">
        <v>1.45</v>
      </c>
      <c r="E64" s="12">
        <v>4</v>
      </c>
      <c r="F64" s="8">
        <v>0.77</v>
      </c>
      <c r="G64" s="12">
        <v>11</v>
      </c>
      <c r="H64" s="8">
        <v>2.15</v>
      </c>
      <c r="I64" s="12">
        <v>0</v>
      </c>
    </row>
    <row r="65" spans="2:9" ht="15" customHeight="1" x14ac:dyDescent="0.2">
      <c r="B65" t="s">
        <v>145</v>
      </c>
      <c r="C65" s="12">
        <v>15</v>
      </c>
      <c r="D65" s="8">
        <v>1.45</v>
      </c>
      <c r="E65" s="12">
        <v>8</v>
      </c>
      <c r="F65" s="8">
        <v>1.54</v>
      </c>
      <c r="G65" s="12">
        <v>7</v>
      </c>
      <c r="H65" s="8">
        <v>1.37</v>
      </c>
      <c r="I65" s="12">
        <v>0</v>
      </c>
    </row>
    <row r="66" spans="2:9" ht="15" customHeight="1" x14ac:dyDescent="0.2">
      <c r="B66" t="s">
        <v>144</v>
      </c>
      <c r="C66" s="12">
        <v>14</v>
      </c>
      <c r="D66" s="8">
        <v>1.35</v>
      </c>
      <c r="E66" s="12">
        <v>8</v>
      </c>
      <c r="F66" s="8">
        <v>1.54</v>
      </c>
      <c r="G66" s="12">
        <v>6</v>
      </c>
      <c r="H66" s="8">
        <v>1.17</v>
      </c>
      <c r="I66" s="12">
        <v>0</v>
      </c>
    </row>
    <row r="68" spans="2:9" ht="15" customHeight="1" x14ac:dyDescent="0.2">
      <c r="B68" t="s">
        <v>235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2EE78-A427-4F6E-9CD5-D4641231FA4D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252</v>
      </c>
    </row>
    <row r="4" spans="2:9" ht="33" customHeight="1" x14ac:dyDescent="0.2">
      <c r="B4" t="s">
        <v>231</v>
      </c>
      <c r="C4" s="10" t="s">
        <v>59</v>
      </c>
      <c r="D4" s="10" t="s">
        <v>60</v>
      </c>
      <c r="E4" s="10" t="s">
        <v>61</v>
      </c>
      <c r="F4" s="10" t="s">
        <v>62</v>
      </c>
      <c r="G4" s="10" t="s">
        <v>63</v>
      </c>
      <c r="H4" s="10" t="s">
        <v>64</v>
      </c>
      <c r="I4" s="10" t="s">
        <v>65</v>
      </c>
    </row>
    <row r="5" spans="2:9" ht="15" customHeight="1" x14ac:dyDescent="0.2">
      <c r="B5" t="s">
        <v>43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44</v>
      </c>
      <c r="C6" s="12">
        <v>133</v>
      </c>
      <c r="D6" s="8">
        <v>14.65</v>
      </c>
      <c r="E6" s="12">
        <v>62</v>
      </c>
      <c r="F6" s="8">
        <v>10.35</v>
      </c>
      <c r="G6" s="12">
        <v>71</v>
      </c>
      <c r="H6" s="8">
        <v>24.15</v>
      </c>
      <c r="I6" s="12">
        <v>0</v>
      </c>
    </row>
    <row r="7" spans="2:9" ht="15" customHeight="1" x14ac:dyDescent="0.2">
      <c r="B7" t="s">
        <v>45</v>
      </c>
      <c r="C7" s="12">
        <v>86</v>
      </c>
      <c r="D7" s="8">
        <v>9.4700000000000006</v>
      </c>
      <c r="E7" s="12">
        <v>38</v>
      </c>
      <c r="F7" s="8">
        <v>6.34</v>
      </c>
      <c r="G7" s="12">
        <v>48</v>
      </c>
      <c r="H7" s="8">
        <v>16.329999999999998</v>
      </c>
      <c r="I7" s="12">
        <v>0</v>
      </c>
    </row>
    <row r="8" spans="2:9" ht="15" customHeight="1" x14ac:dyDescent="0.2">
      <c r="B8" t="s">
        <v>46</v>
      </c>
      <c r="C8" s="12">
        <v>8</v>
      </c>
      <c r="D8" s="8">
        <v>0.88</v>
      </c>
      <c r="E8" s="12">
        <v>0</v>
      </c>
      <c r="F8" s="8">
        <v>0</v>
      </c>
      <c r="G8" s="12">
        <v>5</v>
      </c>
      <c r="H8" s="8">
        <v>1.7</v>
      </c>
      <c r="I8" s="12">
        <v>0</v>
      </c>
    </row>
    <row r="9" spans="2:9" ht="15" customHeight="1" x14ac:dyDescent="0.2">
      <c r="B9" t="s">
        <v>47</v>
      </c>
      <c r="C9" s="12">
        <v>3</v>
      </c>
      <c r="D9" s="8">
        <v>0.33</v>
      </c>
      <c r="E9" s="12">
        <v>0</v>
      </c>
      <c r="F9" s="8">
        <v>0</v>
      </c>
      <c r="G9" s="12">
        <v>3</v>
      </c>
      <c r="H9" s="8">
        <v>1.02</v>
      </c>
      <c r="I9" s="12">
        <v>0</v>
      </c>
    </row>
    <row r="10" spans="2:9" ht="15" customHeight="1" x14ac:dyDescent="0.2">
      <c r="B10" t="s">
        <v>48</v>
      </c>
      <c r="C10" s="12">
        <v>6</v>
      </c>
      <c r="D10" s="8">
        <v>0.66</v>
      </c>
      <c r="E10" s="12">
        <v>0</v>
      </c>
      <c r="F10" s="8">
        <v>0</v>
      </c>
      <c r="G10" s="12">
        <v>6</v>
      </c>
      <c r="H10" s="8">
        <v>2.04</v>
      </c>
      <c r="I10" s="12">
        <v>0</v>
      </c>
    </row>
    <row r="11" spans="2:9" ht="15" customHeight="1" x14ac:dyDescent="0.2">
      <c r="B11" t="s">
        <v>49</v>
      </c>
      <c r="C11" s="12">
        <v>207</v>
      </c>
      <c r="D11" s="8">
        <v>22.8</v>
      </c>
      <c r="E11" s="12">
        <v>132</v>
      </c>
      <c r="F11" s="8">
        <v>22.04</v>
      </c>
      <c r="G11" s="12">
        <v>75</v>
      </c>
      <c r="H11" s="8">
        <v>25.51</v>
      </c>
      <c r="I11" s="12">
        <v>0</v>
      </c>
    </row>
    <row r="12" spans="2:9" ht="15" customHeight="1" x14ac:dyDescent="0.2">
      <c r="B12" t="s">
        <v>50</v>
      </c>
      <c r="C12" s="12">
        <v>6</v>
      </c>
      <c r="D12" s="8">
        <v>0.66</v>
      </c>
      <c r="E12" s="12">
        <v>1</v>
      </c>
      <c r="F12" s="8">
        <v>0.17</v>
      </c>
      <c r="G12" s="12">
        <v>5</v>
      </c>
      <c r="H12" s="8">
        <v>1.7</v>
      </c>
      <c r="I12" s="12">
        <v>0</v>
      </c>
    </row>
    <row r="13" spans="2:9" ht="15" customHeight="1" x14ac:dyDescent="0.2">
      <c r="B13" t="s">
        <v>51</v>
      </c>
      <c r="C13" s="12">
        <v>20</v>
      </c>
      <c r="D13" s="8">
        <v>2.2000000000000002</v>
      </c>
      <c r="E13" s="12">
        <v>10</v>
      </c>
      <c r="F13" s="8">
        <v>1.67</v>
      </c>
      <c r="G13" s="12">
        <v>10</v>
      </c>
      <c r="H13" s="8">
        <v>3.4</v>
      </c>
      <c r="I13" s="12">
        <v>0</v>
      </c>
    </row>
    <row r="14" spans="2:9" ht="15" customHeight="1" x14ac:dyDescent="0.2">
      <c r="B14" t="s">
        <v>52</v>
      </c>
      <c r="C14" s="12">
        <v>42</v>
      </c>
      <c r="D14" s="8">
        <v>4.63</v>
      </c>
      <c r="E14" s="12">
        <v>19</v>
      </c>
      <c r="F14" s="8">
        <v>3.17</v>
      </c>
      <c r="G14" s="12">
        <v>22</v>
      </c>
      <c r="H14" s="8">
        <v>7.48</v>
      </c>
      <c r="I14" s="12">
        <v>0</v>
      </c>
    </row>
    <row r="15" spans="2:9" ht="15" customHeight="1" x14ac:dyDescent="0.2">
      <c r="B15" t="s">
        <v>53</v>
      </c>
      <c r="C15" s="12">
        <v>162</v>
      </c>
      <c r="D15" s="8">
        <v>17.84</v>
      </c>
      <c r="E15" s="12">
        <v>148</v>
      </c>
      <c r="F15" s="8">
        <v>24.71</v>
      </c>
      <c r="G15" s="12">
        <v>13</v>
      </c>
      <c r="H15" s="8">
        <v>4.42</v>
      </c>
      <c r="I15" s="12">
        <v>0</v>
      </c>
    </row>
    <row r="16" spans="2:9" ht="15" customHeight="1" x14ac:dyDescent="0.2">
      <c r="B16" t="s">
        <v>54</v>
      </c>
      <c r="C16" s="12">
        <v>110</v>
      </c>
      <c r="D16" s="8">
        <v>12.11</v>
      </c>
      <c r="E16" s="12">
        <v>95</v>
      </c>
      <c r="F16" s="8">
        <v>15.86</v>
      </c>
      <c r="G16" s="12">
        <v>15</v>
      </c>
      <c r="H16" s="8">
        <v>5.0999999999999996</v>
      </c>
      <c r="I16" s="12">
        <v>0</v>
      </c>
    </row>
    <row r="17" spans="2:9" ht="15" customHeight="1" x14ac:dyDescent="0.2">
      <c r="B17" t="s">
        <v>55</v>
      </c>
      <c r="C17" s="12">
        <v>53</v>
      </c>
      <c r="D17" s="8">
        <v>5.84</v>
      </c>
      <c r="E17" s="12">
        <v>44</v>
      </c>
      <c r="F17" s="8">
        <v>7.35</v>
      </c>
      <c r="G17" s="12">
        <v>5</v>
      </c>
      <c r="H17" s="8">
        <v>1.7</v>
      </c>
      <c r="I17" s="12">
        <v>0</v>
      </c>
    </row>
    <row r="18" spans="2:9" ht="15" customHeight="1" x14ac:dyDescent="0.2">
      <c r="B18" t="s">
        <v>56</v>
      </c>
      <c r="C18" s="12">
        <v>54</v>
      </c>
      <c r="D18" s="8">
        <v>5.95</v>
      </c>
      <c r="E18" s="12">
        <v>41</v>
      </c>
      <c r="F18" s="8">
        <v>6.84</v>
      </c>
      <c r="G18" s="12">
        <v>8</v>
      </c>
      <c r="H18" s="8">
        <v>2.72</v>
      </c>
      <c r="I18" s="12">
        <v>0</v>
      </c>
    </row>
    <row r="19" spans="2:9" ht="15" customHeight="1" x14ac:dyDescent="0.2">
      <c r="B19" t="s">
        <v>57</v>
      </c>
      <c r="C19" s="12">
        <v>18</v>
      </c>
      <c r="D19" s="8">
        <v>1.98</v>
      </c>
      <c r="E19" s="12">
        <v>9</v>
      </c>
      <c r="F19" s="8">
        <v>1.5</v>
      </c>
      <c r="G19" s="12">
        <v>8</v>
      </c>
      <c r="H19" s="8">
        <v>2.72</v>
      </c>
      <c r="I19" s="12">
        <v>1</v>
      </c>
    </row>
    <row r="20" spans="2:9" ht="15" customHeight="1" x14ac:dyDescent="0.2">
      <c r="B20" s="9" t="s">
        <v>232</v>
      </c>
      <c r="C20" s="12">
        <f>SUM(LTBL_21217[総数／事業所数])</f>
        <v>908</v>
      </c>
      <c r="E20" s="12">
        <f>SUBTOTAL(109,LTBL_21217[個人／事業所数])</f>
        <v>599</v>
      </c>
      <c r="G20" s="12">
        <f>SUBTOTAL(109,LTBL_21217[法人／事業所数])</f>
        <v>294</v>
      </c>
      <c r="I20" s="12">
        <f>SUBTOTAL(109,LTBL_21217[法人以外の団体／事業所数])</f>
        <v>1</v>
      </c>
    </row>
    <row r="21" spans="2:9" ht="15" customHeight="1" x14ac:dyDescent="0.2">
      <c r="E21" s="11">
        <f>LTBL_21217[[#Totals],[個人／事業所数]]/LTBL_21217[[#Totals],[総数／事業所数]]</f>
        <v>0.6596916299559471</v>
      </c>
      <c r="G21" s="11">
        <f>LTBL_21217[[#Totals],[法人／事業所数]]/LTBL_21217[[#Totals],[総数／事業所数]]</f>
        <v>0.32378854625550663</v>
      </c>
      <c r="I21" s="11">
        <f>LTBL_21217[[#Totals],[法人以外の団体／事業所数]]/LTBL_21217[[#Totals],[総数／事業所数]]</f>
        <v>1.1013215859030838E-3</v>
      </c>
    </row>
    <row r="23" spans="2:9" ht="33" customHeight="1" x14ac:dyDescent="0.2">
      <c r="B23" t="s">
        <v>233</v>
      </c>
      <c r="C23" s="10" t="s">
        <v>59</v>
      </c>
      <c r="D23" s="10" t="s">
        <v>60</v>
      </c>
      <c r="E23" s="10" t="s">
        <v>61</v>
      </c>
      <c r="F23" s="10" t="s">
        <v>62</v>
      </c>
      <c r="G23" s="10" t="s">
        <v>63</v>
      </c>
      <c r="H23" s="10" t="s">
        <v>64</v>
      </c>
      <c r="I23" s="10" t="s">
        <v>65</v>
      </c>
    </row>
    <row r="24" spans="2:9" ht="15" customHeight="1" x14ac:dyDescent="0.2">
      <c r="B24" t="s">
        <v>81</v>
      </c>
      <c r="C24" s="12">
        <v>125</v>
      </c>
      <c r="D24" s="8">
        <v>13.77</v>
      </c>
      <c r="E24" s="12">
        <v>117</v>
      </c>
      <c r="F24" s="8">
        <v>19.53</v>
      </c>
      <c r="G24" s="12">
        <v>8</v>
      </c>
      <c r="H24" s="8">
        <v>2.72</v>
      </c>
      <c r="I24" s="12">
        <v>0</v>
      </c>
    </row>
    <row r="25" spans="2:9" ht="15" customHeight="1" x14ac:dyDescent="0.2">
      <c r="B25" t="s">
        <v>82</v>
      </c>
      <c r="C25" s="12">
        <v>95</v>
      </c>
      <c r="D25" s="8">
        <v>10.46</v>
      </c>
      <c r="E25" s="12">
        <v>87</v>
      </c>
      <c r="F25" s="8">
        <v>14.52</v>
      </c>
      <c r="G25" s="12">
        <v>8</v>
      </c>
      <c r="H25" s="8">
        <v>2.72</v>
      </c>
      <c r="I25" s="12">
        <v>0</v>
      </c>
    </row>
    <row r="26" spans="2:9" ht="15" customHeight="1" x14ac:dyDescent="0.2">
      <c r="B26" t="s">
        <v>77</v>
      </c>
      <c r="C26" s="12">
        <v>73</v>
      </c>
      <c r="D26" s="8">
        <v>8.0399999999999991</v>
      </c>
      <c r="E26" s="12">
        <v>48</v>
      </c>
      <c r="F26" s="8">
        <v>8.01</v>
      </c>
      <c r="G26" s="12">
        <v>25</v>
      </c>
      <c r="H26" s="8">
        <v>8.5</v>
      </c>
      <c r="I26" s="12">
        <v>0</v>
      </c>
    </row>
    <row r="27" spans="2:9" ht="15" customHeight="1" x14ac:dyDescent="0.2">
      <c r="B27" t="s">
        <v>66</v>
      </c>
      <c r="C27" s="12">
        <v>71</v>
      </c>
      <c r="D27" s="8">
        <v>7.82</v>
      </c>
      <c r="E27" s="12">
        <v>33</v>
      </c>
      <c r="F27" s="8">
        <v>5.51</v>
      </c>
      <c r="G27" s="12">
        <v>38</v>
      </c>
      <c r="H27" s="8">
        <v>12.93</v>
      </c>
      <c r="I27" s="12">
        <v>0</v>
      </c>
    </row>
    <row r="28" spans="2:9" ht="15" customHeight="1" x14ac:dyDescent="0.2">
      <c r="B28" t="s">
        <v>83</v>
      </c>
      <c r="C28" s="12">
        <v>53</v>
      </c>
      <c r="D28" s="8">
        <v>5.84</v>
      </c>
      <c r="E28" s="12">
        <v>44</v>
      </c>
      <c r="F28" s="8">
        <v>7.35</v>
      </c>
      <c r="G28" s="12">
        <v>5</v>
      </c>
      <c r="H28" s="8">
        <v>1.7</v>
      </c>
      <c r="I28" s="12">
        <v>0</v>
      </c>
    </row>
    <row r="29" spans="2:9" ht="15" customHeight="1" x14ac:dyDescent="0.2">
      <c r="B29" t="s">
        <v>75</v>
      </c>
      <c r="C29" s="12">
        <v>49</v>
      </c>
      <c r="D29" s="8">
        <v>5.4</v>
      </c>
      <c r="E29" s="12">
        <v>40</v>
      </c>
      <c r="F29" s="8">
        <v>6.68</v>
      </c>
      <c r="G29" s="12">
        <v>9</v>
      </c>
      <c r="H29" s="8">
        <v>3.06</v>
      </c>
      <c r="I29" s="12">
        <v>0</v>
      </c>
    </row>
    <row r="30" spans="2:9" ht="15" customHeight="1" x14ac:dyDescent="0.2">
      <c r="B30" t="s">
        <v>84</v>
      </c>
      <c r="C30" s="12">
        <v>42</v>
      </c>
      <c r="D30" s="8">
        <v>4.63</v>
      </c>
      <c r="E30" s="12">
        <v>41</v>
      </c>
      <c r="F30" s="8">
        <v>6.84</v>
      </c>
      <c r="G30" s="12">
        <v>1</v>
      </c>
      <c r="H30" s="8">
        <v>0.34</v>
      </c>
      <c r="I30" s="12">
        <v>0</v>
      </c>
    </row>
    <row r="31" spans="2:9" ht="15" customHeight="1" x14ac:dyDescent="0.2">
      <c r="B31" t="s">
        <v>67</v>
      </c>
      <c r="C31" s="12">
        <v>40</v>
      </c>
      <c r="D31" s="8">
        <v>4.41</v>
      </c>
      <c r="E31" s="12">
        <v>25</v>
      </c>
      <c r="F31" s="8">
        <v>4.17</v>
      </c>
      <c r="G31" s="12">
        <v>15</v>
      </c>
      <c r="H31" s="8">
        <v>5.0999999999999996</v>
      </c>
      <c r="I31" s="12">
        <v>0</v>
      </c>
    </row>
    <row r="32" spans="2:9" ht="15" customHeight="1" x14ac:dyDescent="0.2">
      <c r="B32" t="s">
        <v>95</v>
      </c>
      <c r="C32" s="12">
        <v>32</v>
      </c>
      <c r="D32" s="8">
        <v>3.52</v>
      </c>
      <c r="E32" s="12">
        <v>28</v>
      </c>
      <c r="F32" s="8">
        <v>4.67</v>
      </c>
      <c r="G32" s="12">
        <v>4</v>
      </c>
      <c r="H32" s="8">
        <v>1.36</v>
      </c>
      <c r="I32" s="12">
        <v>0</v>
      </c>
    </row>
    <row r="33" spans="2:9" ht="15" customHeight="1" x14ac:dyDescent="0.2">
      <c r="B33" t="s">
        <v>76</v>
      </c>
      <c r="C33" s="12">
        <v>29</v>
      </c>
      <c r="D33" s="8">
        <v>3.19</v>
      </c>
      <c r="E33" s="12">
        <v>16</v>
      </c>
      <c r="F33" s="8">
        <v>2.67</v>
      </c>
      <c r="G33" s="12">
        <v>13</v>
      </c>
      <c r="H33" s="8">
        <v>4.42</v>
      </c>
      <c r="I33" s="12">
        <v>0</v>
      </c>
    </row>
    <row r="34" spans="2:9" ht="15" customHeight="1" x14ac:dyDescent="0.2">
      <c r="B34" t="s">
        <v>80</v>
      </c>
      <c r="C34" s="12">
        <v>26</v>
      </c>
      <c r="D34" s="8">
        <v>2.86</v>
      </c>
      <c r="E34" s="12">
        <v>7</v>
      </c>
      <c r="F34" s="8">
        <v>1.17</v>
      </c>
      <c r="G34" s="12">
        <v>18</v>
      </c>
      <c r="H34" s="8">
        <v>6.12</v>
      </c>
      <c r="I34" s="12">
        <v>0</v>
      </c>
    </row>
    <row r="35" spans="2:9" ht="15" customHeight="1" x14ac:dyDescent="0.2">
      <c r="B35" t="s">
        <v>74</v>
      </c>
      <c r="C35" s="12">
        <v>24</v>
      </c>
      <c r="D35" s="8">
        <v>2.64</v>
      </c>
      <c r="E35" s="12">
        <v>19</v>
      </c>
      <c r="F35" s="8">
        <v>3.17</v>
      </c>
      <c r="G35" s="12">
        <v>5</v>
      </c>
      <c r="H35" s="8">
        <v>1.7</v>
      </c>
      <c r="I35" s="12">
        <v>0</v>
      </c>
    </row>
    <row r="36" spans="2:9" ht="15" customHeight="1" x14ac:dyDescent="0.2">
      <c r="B36" t="s">
        <v>68</v>
      </c>
      <c r="C36" s="12">
        <v>22</v>
      </c>
      <c r="D36" s="8">
        <v>2.42</v>
      </c>
      <c r="E36" s="12">
        <v>4</v>
      </c>
      <c r="F36" s="8">
        <v>0.67</v>
      </c>
      <c r="G36" s="12">
        <v>18</v>
      </c>
      <c r="H36" s="8">
        <v>6.12</v>
      </c>
      <c r="I36" s="12">
        <v>0</v>
      </c>
    </row>
    <row r="37" spans="2:9" ht="15" customHeight="1" x14ac:dyDescent="0.2">
      <c r="B37" t="s">
        <v>78</v>
      </c>
      <c r="C37" s="12">
        <v>15</v>
      </c>
      <c r="D37" s="8">
        <v>1.65</v>
      </c>
      <c r="E37" s="12">
        <v>10</v>
      </c>
      <c r="F37" s="8">
        <v>1.67</v>
      </c>
      <c r="G37" s="12">
        <v>5</v>
      </c>
      <c r="H37" s="8">
        <v>1.7</v>
      </c>
      <c r="I37" s="12">
        <v>0</v>
      </c>
    </row>
    <row r="38" spans="2:9" ht="15" customHeight="1" x14ac:dyDescent="0.2">
      <c r="B38" t="s">
        <v>91</v>
      </c>
      <c r="C38" s="12">
        <v>14</v>
      </c>
      <c r="D38" s="8">
        <v>1.54</v>
      </c>
      <c r="E38" s="12">
        <v>6</v>
      </c>
      <c r="F38" s="8">
        <v>1</v>
      </c>
      <c r="G38" s="12">
        <v>8</v>
      </c>
      <c r="H38" s="8">
        <v>2.72</v>
      </c>
      <c r="I38" s="12">
        <v>0</v>
      </c>
    </row>
    <row r="39" spans="2:9" ht="15" customHeight="1" x14ac:dyDescent="0.2">
      <c r="B39" t="s">
        <v>79</v>
      </c>
      <c r="C39" s="12">
        <v>14</v>
      </c>
      <c r="D39" s="8">
        <v>1.54</v>
      </c>
      <c r="E39" s="12">
        <v>12</v>
      </c>
      <c r="F39" s="8">
        <v>2</v>
      </c>
      <c r="G39" s="12">
        <v>2</v>
      </c>
      <c r="H39" s="8">
        <v>0.68</v>
      </c>
      <c r="I39" s="12">
        <v>0</v>
      </c>
    </row>
    <row r="40" spans="2:9" ht="15" customHeight="1" x14ac:dyDescent="0.2">
      <c r="B40" t="s">
        <v>93</v>
      </c>
      <c r="C40" s="12">
        <v>12</v>
      </c>
      <c r="D40" s="8">
        <v>1.32</v>
      </c>
      <c r="E40" s="12">
        <v>9</v>
      </c>
      <c r="F40" s="8">
        <v>1.5</v>
      </c>
      <c r="G40" s="12">
        <v>3</v>
      </c>
      <c r="H40" s="8">
        <v>1.02</v>
      </c>
      <c r="I40" s="12">
        <v>0</v>
      </c>
    </row>
    <row r="41" spans="2:9" ht="15" customHeight="1" x14ac:dyDescent="0.2">
      <c r="B41" t="s">
        <v>71</v>
      </c>
      <c r="C41" s="12">
        <v>12</v>
      </c>
      <c r="D41" s="8">
        <v>1.32</v>
      </c>
      <c r="E41" s="12">
        <v>7</v>
      </c>
      <c r="F41" s="8">
        <v>1.17</v>
      </c>
      <c r="G41" s="12">
        <v>5</v>
      </c>
      <c r="H41" s="8">
        <v>1.7</v>
      </c>
      <c r="I41" s="12">
        <v>0</v>
      </c>
    </row>
    <row r="42" spans="2:9" ht="15" customHeight="1" x14ac:dyDescent="0.2">
      <c r="B42" t="s">
        <v>97</v>
      </c>
      <c r="C42" s="12">
        <v>12</v>
      </c>
      <c r="D42" s="8">
        <v>1.32</v>
      </c>
      <c r="E42" s="12">
        <v>0</v>
      </c>
      <c r="F42" s="8">
        <v>0</v>
      </c>
      <c r="G42" s="12">
        <v>7</v>
      </c>
      <c r="H42" s="8">
        <v>2.38</v>
      </c>
      <c r="I42" s="12">
        <v>0</v>
      </c>
    </row>
    <row r="43" spans="2:9" ht="15" customHeight="1" x14ac:dyDescent="0.2">
      <c r="B43" t="s">
        <v>73</v>
      </c>
      <c r="C43" s="12">
        <v>9</v>
      </c>
      <c r="D43" s="8">
        <v>0.99</v>
      </c>
      <c r="E43" s="12">
        <v>4</v>
      </c>
      <c r="F43" s="8">
        <v>0.67</v>
      </c>
      <c r="G43" s="12">
        <v>5</v>
      </c>
      <c r="H43" s="8">
        <v>1.7</v>
      </c>
      <c r="I43" s="12">
        <v>0</v>
      </c>
    </row>
    <row r="46" spans="2:9" ht="33" customHeight="1" x14ac:dyDescent="0.2">
      <c r="B46" t="s">
        <v>234</v>
      </c>
      <c r="C46" s="10" t="s">
        <v>59</v>
      </c>
      <c r="D46" s="10" t="s">
        <v>60</v>
      </c>
      <c r="E46" s="10" t="s">
        <v>61</v>
      </c>
      <c r="F46" s="10" t="s">
        <v>62</v>
      </c>
      <c r="G46" s="10" t="s">
        <v>63</v>
      </c>
      <c r="H46" s="10" t="s">
        <v>64</v>
      </c>
      <c r="I46" s="10" t="s">
        <v>65</v>
      </c>
    </row>
    <row r="47" spans="2:9" ht="15" customHeight="1" x14ac:dyDescent="0.2">
      <c r="B47" t="s">
        <v>138</v>
      </c>
      <c r="C47" s="12">
        <v>54</v>
      </c>
      <c r="D47" s="8">
        <v>5.95</v>
      </c>
      <c r="E47" s="12">
        <v>53</v>
      </c>
      <c r="F47" s="8">
        <v>8.85</v>
      </c>
      <c r="G47" s="12">
        <v>1</v>
      </c>
      <c r="H47" s="8">
        <v>0.34</v>
      </c>
      <c r="I47" s="12">
        <v>0</v>
      </c>
    </row>
    <row r="48" spans="2:9" ht="15" customHeight="1" x14ac:dyDescent="0.2">
      <c r="B48" t="s">
        <v>140</v>
      </c>
      <c r="C48" s="12">
        <v>39</v>
      </c>
      <c r="D48" s="8">
        <v>4.3</v>
      </c>
      <c r="E48" s="12">
        <v>39</v>
      </c>
      <c r="F48" s="8">
        <v>6.51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135</v>
      </c>
      <c r="C49" s="12">
        <v>32</v>
      </c>
      <c r="D49" s="8">
        <v>3.52</v>
      </c>
      <c r="E49" s="12">
        <v>32</v>
      </c>
      <c r="F49" s="8">
        <v>5.34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139</v>
      </c>
      <c r="C50" s="12">
        <v>32</v>
      </c>
      <c r="D50" s="8">
        <v>3.52</v>
      </c>
      <c r="E50" s="12">
        <v>31</v>
      </c>
      <c r="F50" s="8">
        <v>5.18</v>
      </c>
      <c r="G50" s="12">
        <v>1</v>
      </c>
      <c r="H50" s="8">
        <v>0.34</v>
      </c>
      <c r="I50" s="12">
        <v>0</v>
      </c>
    </row>
    <row r="51" spans="2:9" ht="15" customHeight="1" x14ac:dyDescent="0.2">
      <c r="B51" t="s">
        <v>149</v>
      </c>
      <c r="C51" s="12">
        <v>29</v>
      </c>
      <c r="D51" s="8">
        <v>3.19</v>
      </c>
      <c r="E51" s="12">
        <v>26</v>
      </c>
      <c r="F51" s="8">
        <v>4.34</v>
      </c>
      <c r="G51" s="12">
        <v>3</v>
      </c>
      <c r="H51" s="8">
        <v>1.02</v>
      </c>
      <c r="I51" s="12">
        <v>0</v>
      </c>
    </row>
    <row r="52" spans="2:9" ht="15" customHeight="1" x14ac:dyDescent="0.2">
      <c r="B52" t="s">
        <v>137</v>
      </c>
      <c r="C52" s="12">
        <v>29</v>
      </c>
      <c r="D52" s="8">
        <v>3.19</v>
      </c>
      <c r="E52" s="12">
        <v>28</v>
      </c>
      <c r="F52" s="8">
        <v>4.67</v>
      </c>
      <c r="G52" s="12">
        <v>1</v>
      </c>
      <c r="H52" s="8">
        <v>0.34</v>
      </c>
      <c r="I52" s="12">
        <v>0</v>
      </c>
    </row>
    <row r="53" spans="2:9" ht="15" customHeight="1" x14ac:dyDescent="0.2">
      <c r="B53" t="s">
        <v>134</v>
      </c>
      <c r="C53" s="12">
        <v>26</v>
      </c>
      <c r="D53" s="8">
        <v>2.86</v>
      </c>
      <c r="E53" s="12">
        <v>23</v>
      </c>
      <c r="F53" s="8">
        <v>3.84</v>
      </c>
      <c r="G53" s="12">
        <v>3</v>
      </c>
      <c r="H53" s="8">
        <v>1.02</v>
      </c>
      <c r="I53" s="12">
        <v>0</v>
      </c>
    </row>
    <row r="54" spans="2:9" ht="15" customHeight="1" x14ac:dyDescent="0.2">
      <c r="B54" t="s">
        <v>124</v>
      </c>
      <c r="C54" s="12">
        <v>24</v>
      </c>
      <c r="D54" s="8">
        <v>2.64</v>
      </c>
      <c r="E54" s="12">
        <v>16</v>
      </c>
      <c r="F54" s="8">
        <v>2.67</v>
      </c>
      <c r="G54" s="12">
        <v>8</v>
      </c>
      <c r="H54" s="8">
        <v>2.72</v>
      </c>
      <c r="I54" s="12">
        <v>0</v>
      </c>
    </row>
    <row r="55" spans="2:9" ht="15" customHeight="1" x14ac:dyDescent="0.2">
      <c r="B55" t="s">
        <v>143</v>
      </c>
      <c r="C55" s="12">
        <v>23</v>
      </c>
      <c r="D55" s="8">
        <v>2.5299999999999998</v>
      </c>
      <c r="E55" s="12">
        <v>22</v>
      </c>
      <c r="F55" s="8">
        <v>3.67</v>
      </c>
      <c r="G55" s="12">
        <v>1</v>
      </c>
      <c r="H55" s="8">
        <v>0.34</v>
      </c>
      <c r="I55" s="12">
        <v>0</v>
      </c>
    </row>
    <row r="56" spans="2:9" ht="15" customHeight="1" x14ac:dyDescent="0.2">
      <c r="B56" t="s">
        <v>136</v>
      </c>
      <c r="C56" s="12">
        <v>22</v>
      </c>
      <c r="D56" s="8">
        <v>2.42</v>
      </c>
      <c r="E56" s="12">
        <v>21</v>
      </c>
      <c r="F56" s="8">
        <v>3.51</v>
      </c>
      <c r="G56" s="12">
        <v>1</v>
      </c>
      <c r="H56" s="8">
        <v>0.34</v>
      </c>
      <c r="I56" s="12">
        <v>0</v>
      </c>
    </row>
    <row r="57" spans="2:9" ht="15" customHeight="1" x14ac:dyDescent="0.2">
      <c r="B57" t="s">
        <v>133</v>
      </c>
      <c r="C57" s="12">
        <v>19</v>
      </c>
      <c r="D57" s="8">
        <v>2.09</v>
      </c>
      <c r="E57" s="12">
        <v>4</v>
      </c>
      <c r="F57" s="8">
        <v>0.67</v>
      </c>
      <c r="G57" s="12">
        <v>14</v>
      </c>
      <c r="H57" s="8">
        <v>4.76</v>
      </c>
      <c r="I57" s="12">
        <v>0</v>
      </c>
    </row>
    <row r="58" spans="2:9" ht="15" customHeight="1" x14ac:dyDescent="0.2">
      <c r="B58" t="s">
        <v>123</v>
      </c>
      <c r="C58" s="12">
        <v>18</v>
      </c>
      <c r="D58" s="8">
        <v>1.98</v>
      </c>
      <c r="E58" s="12">
        <v>7</v>
      </c>
      <c r="F58" s="8">
        <v>1.17</v>
      </c>
      <c r="G58" s="12">
        <v>11</v>
      </c>
      <c r="H58" s="8">
        <v>3.74</v>
      </c>
      <c r="I58" s="12">
        <v>0</v>
      </c>
    </row>
    <row r="59" spans="2:9" ht="15" customHeight="1" x14ac:dyDescent="0.2">
      <c r="B59" t="s">
        <v>129</v>
      </c>
      <c r="C59" s="12">
        <v>18</v>
      </c>
      <c r="D59" s="8">
        <v>1.98</v>
      </c>
      <c r="E59" s="12">
        <v>12</v>
      </c>
      <c r="F59" s="8">
        <v>2</v>
      </c>
      <c r="G59" s="12">
        <v>6</v>
      </c>
      <c r="H59" s="8">
        <v>2.04</v>
      </c>
      <c r="I59" s="12">
        <v>0</v>
      </c>
    </row>
    <row r="60" spans="2:9" ht="15" customHeight="1" x14ac:dyDescent="0.2">
      <c r="B60" t="s">
        <v>122</v>
      </c>
      <c r="C60" s="12">
        <v>17</v>
      </c>
      <c r="D60" s="8">
        <v>1.87</v>
      </c>
      <c r="E60" s="12">
        <v>4</v>
      </c>
      <c r="F60" s="8">
        <v>0.67</v>
      </c>
      <c r="G60" s="12">
        <v>13</v>
      </c>
      <c r="H60" s="8">
        <v>4.42</v>
      </c>
      <c r="I60" s="12">
        <v>0</v>
      </c>
    </row>
    <row r="61" spans="2:9" ht="15" customHeight="1" x14ac:dyDescent="0.2">
      <c r="B61" t="s">
        <v>127</v>
      </c>
      <c r="C61" s="12">
        <v>17</v>
      </c>
      <c r="D61" s="8">
        <v>1.87</v>
      </c>
      <c r="E61" s="12">
        <v>15</v>
      </c>
      <c r="F61" s="8">
        <v>2.5</v>
      </c>
      <c r="G61" s="12">
        <v>2</v>
      </c>
      <c r="H61" s="8">
        <v>0.68</v>
      </c>
      <c r="I61" s="12">
        <v>0</v>
      </c>
    </row>
    <row r="62" spans="2:9" ht="15" customHeight="1" x14ac:dyDescent="0.2">
      <c r="B62" t="s">
        <v>163</v>
      </c>
      <c r="C62" s="12">
        <v>14</v>
      </c>
      <c r="D62" s="8">
        <v>1.54</v>
      </c>
      <c r="E62" s="12">
        <v>8</v>
      </c>
      <c r="F62" s="8">
        <v>1.34</v>
      </c>
      <c r="G62" s="12">
        <v>6</v>
      </c>
      <c r="H62" s="8">
        <v>2.04</v>
      </c>
      <c r="I62" s="12">
        <v>0</v>
      </c>
    </row>
    <row r="63" spans="2:9" ht="15" customHeight="1" x14ac:dyDescent="0.2">
      <c r="B63" t="s">
        <v>170</v>
      </c>
      <c r="C63" s="12">
        <v>14</v>
      </c>
      <c r="D63" s="8">
        <v>1.54</v>
      </c>
      <c r="E63" s="12">
        <v>2</v>
      </c>
      <c r="F63" s="8">
        <v>0.33</v>
      </c>
      <c r="G63" s="12">
        <v>12</v>
      </c>
      <c r="H63" s="8">
        <v>4.08</v>
      </c>
      <c r="I63" s="12">
        <v>0</v>
      </c>
    </row>
    <row r="64" spans="2:9" ht="15" customHeight="1" x14ac:dyDescent="0.2">
      <c r="B64" t="s">
        <v>130</v>
      </c>
      <c r="C64" s="12">
        <v>14</v>
      </c>
      <c r="D64" s="8">
        <v>1.54</v>
      </c>
      <c r="E64" s="12">
        <v>13</v>
      </c>
      <c r="F64" s="8">
        <v>2.17</v>
      </c>
      <c r="G64" s="12">
        <v>1</v>
      </c>
      <c r="H64" s="8">
        <v>0.34</v>
      </c>
      <c r="I64" s="12">
        <v>0</v>
      </c>
    </row>
    <row r="65" spans="2:9" ht="15" customHeight="1" x14ac:dyDescent="0.2">
      <c r="B65" t="s">
        <v>145</v>
      </c>
      <c r="C65" s="12">
        <v>14</v>
      </c>
      <c r="D65" s="8">
        <v>1.54</v>
      </c>
      <c r="E65" s="12">
        <v>13</v>
      </c>
      <c r="F65" s="8">
        <v>2.17</v>
      </c>
      <c r="G65" s="12">
        <v>1</v>
      </c>
      <c r="H65" s="8">
        <v>0.34</v>
      </c>
      <c r="I65" s="12">
        <v>0</v>
      </c>
    </row>
    <row r="66" spans="2:9" ht="15" customHeight="1" x14ac:dyDescent="0.2">
      <c r="B66" t="s">
        <v>181</v>
      </c>
      <c r="C66" s="12">
        <v>13</v>
      </c>
      <c r="D66" s="8">
        <v>1.43</v>
      </c>
      <c r="E66" s="12">
        <v>11</v>
      </c>
      <c r="F66" s="8">
        <v>1.84</v>
      </c>
      <c r="G66" s="12">
        <v>2</v>
      </c>
      <c r="H66" s="8">
        <v>0.68</v>
      </c>
      <c r="I66" s="12">
        <v>0</v>
      </c>
    </row>
    <row r="67" spans="2:9" ht="15" customHeight="1" x14ac:dyDescent="0.2">
      <c r="B67" t="s">
        <v>148</v>
      </c>
      <c r="C67" s="12">
        <v>13</v>
      </c>
      <c r="D67" s="8">
        <v>1.43</v>
      </c>
      <c r="E67" s="12">
        <v>10</v>
      </c>
      <c r="F67" s="8">
        <v>1.67</v>
      </c>
      <c r="G67" s="12">
        <v>3</v>
      </c>
      <c r="H67" s="8">
        <v>1.02</v>
      </c>
      <c r="I67" s="12">
        <v>0</v>
      </c>
    </row>
    <row r="69" spans="2:9" ht="15" customHeight="1" x14ac:dyDescent="0.2">
      <c r="B69" t="s">
        <v>235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3C6CE-ACA8-43E6-8A0E-20CF3664835E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253</v>
      </c>
    </row>
    <row r="4" spans="2:9" ht="33" customHeight="1" x14ac:dyDescent="0.2">
      <c r="B4" t="s">
        <v>231</v>
      </c>
      <c r="C4" s="10" t="s">
        <v>59</v>
      </c>
      <c r="D4" s="10" t="s">
        <v>60</v>
      </c>
      <c r="E4" s="10" t="s">
        <v>61</v>
      </c>
      <c r="F4" s="10" t="s">
        <v>62</v>
      </c>
      <c r="G4" s="10" t="s">
        <v>63</v>
      </c>
      <c r="H4" s="10" t="s">
        <v>64</v>
      </c>
      <c r="I4" s="10" t="s">
        <v>65</v>
      </c>
    </row>
    <row r="5" spans="2:9" ht="15" customHeight="1" x14ac:dyDescent="0.2">
      <c r="B5" t="s">
        <v>43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44</v>
      </c>
      <c r="C6" s="12">
        <v>156</v>
      </c>
      <c r="D6" s="8">
        <v>22.45</v>
      </c>
      <c r="E6" s="12">
        <v>50</v>
      </c>
      <c r="F6" s="8">
        <v>15.02</v>
      </c>
      <c r="G6" s="12">
        <v>106</v>
      </c>
      <c r="H6" s="8">
        <v>30.29</v>
      </c>
      <c r="I6" s="12">
        <v>0</v>
      </c>
    </row>
    <row r="7" spans="2:9" ht="15" customHeight="1" x14ac:dyDescent="0.2">
      <c r="B7" t="s">
        <v>45</v>
      </c>
      <c r="C7" s="12">
        <v>89</v>
      </c>
      <c r="D7" s="8">
        <v>12.81</v>
      </c>
      <c r="E7" s="12">
        <v>31</v>
      </c>
      <c r="F7" s="8">
        <v>9.31</v>
      </c>
      <c r="G7" s="12">
        <v>58</v>
      </c>
      <c r="H7" s="8">
        <v>16.57</v>
      </c>
      <c r="I7" s="12">
        <v>0</v>
      </c>
    </row>
    <row r="8" spans="2:9" ht="15" customHeight="1" x14ac:dyDescent="0.2">
      <c r="B8" t="s">
        <v>46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47</v>
      </c>
      <c r="C9" s="12">
        <v>6</v>
      </c>
      <c r="D9" s="8">
        <v>0.86</v>
      </c>
      <c r="E9" s="12">
        <v>1</v>
      </c>
      <c r="F9" s="8">
        <v>0.3</v>
      </c>
      <c r="G9" s="12">
        <v>5</v>
      </c>
      <c r="H9" s="8">
        <v>1.43</v>
      </c>
      <c r="I9" s="12">
        <v>0</v>
      </c>
    </row>
    <row r="10" spans="2:9" ht="15" customHeight="1" x14ac:dyDescent="0.2">
      <c r="B10" t="s">
        <v>48</v>
      </c>
      <c r="C10" s="12">
        <v>4</v>
      </c>
      <c r="D10" s="8">
        <v>0.57999999999999996</v>
      </c>
      <c r="E10" s="12">
        <v>1</v>
      </c>
      <c r="F10" s="8">
        <v>0.3</v>
      </c>
      <c r="G10" s="12">
        <v>1</v>
      </c>
      <c r="H10" s="8">
        <v>0.28999999999999998</v>
      </c>
      <c r="I10" s="12">
        <v>2</v>
      </c>
    </row>
    <row r="11" spans="2:9" ht="15" customHeight="1" x14ac:dyDescent="0.2">
      <c r="B11" t="s">
        <v>49</v>
      </c>
      <c r="C11" s="12">
        <v>140</v>
      </c>
      <c r="D11" s="8">
        <v>20.14</v>
      </c>
      <c r="E11" s="12">
        <v>52</v>
      </c>
      <c r="F11" s="8">
        <v>15.62</v>
      </c>
      <c r="G11" s="12">
        <v>88</v>
      </c>
      <c r="H11" s="8">
        <v>25.14</v>
      </c>
      <c r="I11" s="12">
        <v>0</v>
      </c>
    </row>
    <row r="12" spans="2:9" ht="15" customHeight="1" x14ac:dyDescent="0.2">
      <c r="B12" t="s">
        <v>50</v>
      </c>
      <c r="C12" s="12">
        <v>3</v>
      </c>
      <c r="D12" s="8">
        <v>0.43</v>
      </c>
      <c r="E12" s="12">
        <v>0</v>
      </c>
      <c r="F12" s="8">
        <v>0</v>
      </c>
      <c r="G12" s="12">
        <v>3</v>
      </c>
      <c r="H12" s="8">
        <v>0.86</v>
      </c>
      <c r="I12" s="12">
        <v>0</v>
      </c>
    </row>
    <row r="13" spans="2:9" ht="15" customHeight="1" x14ac:dyDescent="0.2">
      <c r="B13" t="s">
        <v>51</v>
      </c>
      <c r="C13" s="12">
        <v>29</v>
      </c>
      <c r="D13" s="8">
        <v>4.17</v>
      </c>
      <c r="E13" s="12">
        <v>14</v>
      </c>
      <c r="F13" s="8">
        <v>4.2</v>
      </c>
      <c r="G13" s="12">
        <v>15</v>
      </c>
      <c r="H13" s="8">
        <v>4.29</v>
      </c>
      <c r="I13" s="12">
        <v>0</v>
      </c>
    </row>
    <row r="14" spans="2:9" ht="15" customHeight="1" x14ac:dyDescent="0.2">
      <c r="B14" t="s">
        <v>52</v>
      </c>
      <c r="C14" s="12">
        <v>19</v>
      </c>
      <c r="D14" s="8">
        <v>2.73</v>
      </c>
      <c r="E14" s="12">
        <v>4</v>
      </c>
      <c r="F14" s="8">
        <v>1.2</v>
      </c>
      <c r="G14" s="12">
        <v>15</v>
      </c>
      <c r="H14" s="8">
        <v>4.29</v>
      </c>
      <c r="I14" s="12">
        <v>0</v>
      </c>
    </row>
    <row r="15" spans="2:9" ht="15" customHeight="1" x14ac:dyDescent="0.2">
      <c r="B15" t="s">
        <v>53</v>
      </c>
      <c r="C15" s="12">
        <v>83</v>
      </c>
      <c r="D15" s="8">
        <v>11.94</v>
      </c>
      <c r="E15" s="12">
        <v>67</v>
      </c>
      <c r="F15" s="8">
        <v>20.12</v>
      </c>
      <c r="G15" s="12">
        <v>16</v>
      </c>
      <c r="H15" s="8">
        <v>4.57</v>
      </c>
      <c r="I15" s="12">
        <v>0</v>
      </c>
    </row>
    <row r="16" spans="2:9" ht="15" customHeight="1" x14ac:dyDescent="0.2">
      <c r="B16" t="s">
        <v>54</v>
      </c>
      <c r="C16" s="12">
        <v>73</v>
      </c>
      <c r="D16" s="8">
        <v>10.5</v>
      </c>
      <c r="E16" s="12">
        <v>52</v>
      </c>
      <c r="F16" s="8">
        <v>15.62</v>
      </c>
      <c r="G16" s="12">
        <v>20</v>
      </c>
      <c r="H16" s="8">
        <v>5.71</v>
      </c>
      <c r="I16" s="12">
        <v>0</v>
      </c>
    </row>
    <row r="17" spans="2:9" ht="15" customHeight="1" x14ac:dyDescent="0.2">
      <c r="B17" t="s">
        <v>55</v>
      </c>
      <c r="C17" s="12">
        <v>21</v>
      </c>
      <c r="D17" s="8">
        <v>3.02</v>
      </c>
      <c r="E17" s="12">
        <v>16</v>
      </c>
      <c r="F17" s="8">
        <v>4.8</v>
      </c>
      <c r="G17" s="12">
        <v>1</v>
      </c>
      <c r="H17" s="8">
        <v>0.28999999999999998</v>
      </c>
      <c r="I17" s="12">
        <v>0</v>
      </c>
    </row>
    <row r="18" spans="2:9" ht="15" customHeight="1" x14ac:dyDescent="0.2">
      <c r="B18" t="s">
        <v>56</v>
      </c>
      <c r="C18" s="12">
        <v>39</v>
      </c>
      <c r="D18" s="8">
        <v>5.61</v>
      </c>
      <c r="E18" s="12">
        <v>26</v>
      </c>
      <c r="F18" s="8">
        <v>7.81</v>
      </c>
      <c r="G18" s="12">
        <v>10</v>
      </c>
      <c r="H18" s="8">
        <v>2.86</v>
      </c>
      <c r="I18" s="12">
        <v>0</v>
      </c>
    </row>
    <row r="19" spans="2:9" ht="15" customHeight="1" x14ac:dyDescent="0.2">
      <c r="B19" t="s">
        <v>57</v>
      </c>
      <c r="C19" s="12">
        <v>33</v>
      </c>
      <c r="D19" s="8">
        <v>4.75</v>
      </c>
      <c r="E19" s="12">
        <v>19</v>
      </c>
      <c r="F19" s="8">
        <v>5.71</v>
      </c>
      <c r="G19" s="12">
        <v>12</v>
      </c>
      <c r="H19" s="8">
        <v>3.43</v>
      </c>
      <c r="I19" s="12">
        <v>0</v>
      </c>
    </row>
    <row r="20" spans="2:9" ht="15" customHeight="1" x14ac:dyDescent="0.2">
      <c r="B20" s="9" t="s">
        <v>232</v>
      </c>
      <c r="C20" s="12">
        <f>SUM(LTBL_21218[総数／事業所数])</f>
        <v>695</v>
      </c>
      <c r="E20" s="12">
        <f>SUBTOTAL(109,LTBL_21218[個人／事業所数])</f>
        <v>333</v>
      </c>
      <c r="G20" s="12">
        <f>SUBTOTAL(109,LTBL_21218[法人／事業所数])</f>
        <v>350</v>
      </c>
      <c r="I20" s="12">
        <f>SUBTOTAL(109,LTBL_21218[法人以外の団体／事業所数])</f>
        <v>2</v>
      </c>
    </row>
    <row r="21" spans="2:9" ht="15" customHeight="1" x14ac:dyDescent="0.2">
      <c r="E21" s="11">
        <f>LTBL_21218[[#Totals],[個人／事業所数]]/LTBL_21218[[#Totals],[総数／事業所数]]</f>
        <v>0.47913669064748199</v>
      </c>
      <c r="G21" s="11">
        <f>LTBL_21218[[#Totals],[法人／事業所数]]/LTBL_21218[[#Totals],[総数／事業所数]]</f>
        <v>0.50359712230215825</v>
      </c>
      <c r="I21" s="11">
        <f>LTBL_21218[[#Totals],[法人以外の団体／事業所数]]/LTBL_21218[[#Totals],[総数／事業所数]]</f>
        <v>2.8776978417266188E-3</v>
      </c>
    </row>
    <row r="23" spans="2:9" ht="33" customHeight="1" x14ac:dyDescent="0.2">
      <c r="B23" t="s">
        <v>233</v>
      </c>
      <c r="C23" s="10" t="s">
        <v>59</v>
      </c>
      <c r="D23" s="10" t="s">
        <v>60</v>
      </c>
      <c r="E23" s="10" t="s">
        <v>61</v>
      </c>
      <c r="F23" s="10" t="s">
        <v>62</v>
      </c>
      <c r="G23" s="10" t="s">
        <v>63</v>
      </c>
      <c r="H23" s="10" t="s">
        <v>64</v>
      </c>
      <c r="I23" s="10" t="s">
        <v>65</v>
      </c>
    </row>
    <row r="24" spans="2:9" ht="15" customHeight="1" x14ac:dyDescent="0.2">
      <c r="B24" t="s">
        <v>66</v>
      </c>
      <c r="C24" s="12">
        <v>81</v>
      </c>
      <c r="D24" s="8">
        <v>11.65</v>
      </c>
      <c r="E24" s="12">
        <v>20</v>
      </c>
      <c r="F24" s="8">
        <v>6.01</v>
      </c>
      <c r="G24" s="12">
        <v>61</v>
      </c>
      <c r="H24" s="8">
        <v>17.43</v>
      </c>
      <c r="I24" s="12">
        <v>0</v>
      </c>
    </row>
    <row r="25" spans="2:9" ht="15" customHeight="1" x14ac:dyDescent="0.2">
      <c r="B25" t="s">
        <v>81</v>
      </c>
      <c r="C25" s="12">
        <v>72</v>
      </c>
      <c r="D25" s="8">
        <v>10.36</v>
      </c>
      <c r="E25" s="12">
        <v>66</v>
      </c>
      <c r="F25" s="8">
        <v>19.82</v>
      </c>
      <c r="G25" s="12">
        <v>6</v>
      </c>
      <c r="H25" s="8">
        <v>1.71</v>
      </c>
      <c r="I25" s="12">
        <v>0</v>
      </c>
    </row>
    <row r="26" spans="2:9" ht="15" customHeight="1" x14ac:dyDescent="0.2">
      <c r="B26" t="s">
        <v>82</v>
      </c>
      <c r="C26" s="12">
        <v>62</v>
      </c>
      <c r="D26" s="8">
        <v>8.92</v>
      </c>
      <c r="E26" s="12">
        <v>49</v>
      </c>
      <c r="F26" s="8">
        <v>14.71</v>
      </c>
      <c r="G26" s="12">
        <v>13</v>
      </c>
      <c r="H26" s="8">
        <v>3.71</v>
      </c>
      <c r="I26" s="12">
        <v>0</v>
      </c>
    </row>
    <row r="27" spans="2:9" ht="15" customHeight="1" x14ac:dyDescent="0.2">
      <c r="B27" t="s">
        <v>67</v>
      </c>
      <c r="C27" s="12">
        <v>46</v>
      </c>
      <c r="D27" s="8">
        <v>6.62</v>
      </c>
      <c r="E27" s="12">
        <v>23</v>
      </c>
      <c r="F27" s="8">
        <v>6.91</v>
      </c>
      <c r="G27" s="12">
        <v>23</v>
      </c>
      <c r="H27" s="8">
        <v>6.57</v>
      </c>
      <c r="I27" s="12">
        <v>0</v>
      </c>
    </row>
    <row r="28" spans="2:9" ht="15" customHeight="1" x14ac:dyDescent="0.2">
      <c r="B28" t="s">
        <v>74</v>
      </c>
      <c r="C28" s="12">
        <v>35</v>
      </c>
      <c r="D28" s="8">
        <v>5.04</v>
      </c>
      <c r="E28" s="12">
        <v>7</v>
      </c>
      <c r="F28" s="8">
        <v>2.1</v>
      </c>
      <c r="G28" s="12">
        <v>28</v>
      </c>
      <c r="H28" s="8">
        <v>8</v>
      </c>
      <c r="I28" s="12">
        <v>0</v>
      </c>
    </row>
    <row r="29" spans="2:9" ht="15" customHeight="1" x14ac:dyDescent="0.2">
      <c r="B29" t="s">
        <v>77</v>
      </c>
      <c r="C29" s="12">
        <v>35</v>
      </c>
      <c r="D29" s="8">
        <v>5.04</v>
      </c>
      <c r="E29" s="12">
        <v>13</v>
      </c>
      <c r="F29" s="8">
        <v>3.9</v>
      </c>
      <c r="G29" s="12">
        <v>22</v>
      </c>
      <c r="H29" s="8">
        <v>6.29</v>
      </c>
      <c r="I29" s="12">
        <v>0</v>
      </c>
    </row>
    <row r="30" spans="2:9" ht="15" customHeight="1" x14ac:dyDescent="0.2">
      <c r="B30" t="s">
        <v>76</v>
      </c>
      <c r="C30" s="12">
        <v>30</v>
      </c>
      <c r="D30" s="8">
        <v>4.32</v>
      </c>
      <c r="E30" s="12">
        <v>18</v>
      </c>
      <c r="F30" s="8">
        <v>5.41</v>
      </c>
      <c r="G30" s="12">
        <v>12</v>
      </c>
      <c r="H30" s="8">
        <v>3.43</v>
      </c>
      <c r="I30" s="12">
        <v>0</v>
      </c>
    </row>
    <row r="31" spans="2:9" ht="15" customHeight="1" x14ac:dyDescent="0.2">
      <c r="B31" t="s">
        <v>68</v>
      </c>
      <c r="C31" s="12">
        <v>29</v>
      </c>
      <c r="D31" s="8">
        <v>4.17</v>
      </c>
      <c r="E31" s="12">
        <v>7</v>
      </c>
      <c r="F31" s="8">
        <v>2.1</v>
      </c>
      <c r="G31" s="12">
        <v>22</v>
      </c>
      <c r="H31" s="8">
        <v>6.29</v>
      </c>
      <c r="I31" s="12">
        <v>0</v>
      </c>
    </row>
    <row r="32" spans="2:9" ht="15" customHeight="1" x14ac:dyDescent="0.2">
      <c r="B32" t="s">
        <v>84</v>
      </c>
      <c r="C32" s="12">
        <v>29</v>
      </c>
      <c r="D32" s="8">
        <v>4.17</v>
      </c>
      <c r="E32" s="12">
        <v>26</v>
      </c>
      <c r="F32" s="8">
        <v>7.81</v>
      </c>
      <c r="G32" s="12">
        <v>3</v>
      </c>
      <c r="H32" s="8">
        <v>0.86</v>
      </c>
      <c r="I32" s="12">
        <v>0</v>
      </c>
    </row>
    <row r="33" spans="2:9" ht="15" customHeight="1" x14ac:dyDescent="0.2">
      <c r="B33" t="s">
        <v>83</v>
      </c>
      <c r="C33" s="12">
        <v>21</v>
      </c>
      <c r="D33" s="8">
        <v>3.02</v>
      </c>
      <c r="E33" s="12">
        <v>16</v>
      </c>
      <c r="F33" s="8">
        <v>4.8</v>
      </c>
      <c r="G33" s="12">
        <v>1</v>
      </c>
      <c r="H33" s="8">
        <v>0.28999999999999998</v>
      </c>
      <c r="I33" s="12">
        <v>0</v>
      </c>
    </row>
    <row r="34" spans="2:9" ht="15" customHeight="1" x14ac:dyDescent="0.2">
      <c r="B34" t="s">
        <v>69</v>
      </c>
      <c r="C34" s="12">
        <v>18</v>
      </c>
      <c r="D34" s="8">
        <v>2.59</v>
      </c>
      <c r="E34" s="12">
        <v>9</v>
      </c>
      <c r="F34" s="8">
        <v>2.7</v>
      </c>
      <c r="G34" s="12">
        <v>9</v>
      </c>
      <c r="H34" s="8">
        <v>2.57</v>
      </c>
      <c r="I34" s="12">
        <v>0</v>
      </c>
    </row>
    <row r="35" spans="2:9" ht="15" customHeight="1" x14ac:dyDescent="0.2">
      <c r="B35" t="s">
        <v>78</v>
      </c>
      <c r="C35" s="12">
        <v>18</v>
      </c>
      <c r="D35" s="8">
        <v>2.59</v>
      </c>
      <c r="E35" s="12">
        <v>13</v>
      </c>
      <c r="F35" s="8">
        <v>3.9</v>
      </c>
      <c r="G35" s="12">
        <v>5</v>
      </c>
      <c r="H35" s="8">
        <v>1.43</v>
      </c>
      <c r="I35" s="12">
        <v>0</v>
      </c>
    </row>
    <row r="36" spans="2:9" ht="15" customHeight="1" x14ac:dyDescent="0.2">
      <c r="B36" t="s">
        <v>85</v>
      </c>
      <c r="C36" s="12">
        <v>18</v>
      </c>
      <c r="D36" s="8">
        <v>2.59</v>
      </c>
      <c r="E36" s="12">
        <v>13</v>
      </c>
      <c r="F36" s="8">
        <v>3.9</v>
      </c>
      <c r="G36" s="12">
        <v>5</v>
      </c>
      <c r="H36" s="8">
        <v>1.43</v>
      </c>
      <c r="I36" s="12">
        <v>0</v>
      </c>
    </row>
    <row r="37" spans="2:9" ht="15" customHeight="1" x14ac:dyDescent="0.2">
      <c r="B37" t="s">
        <v>80</v>
      </c>
      <c r="C37" s="12">
        <v>16</v>
      </c>
      <c r="D37" s="8">
        <v>2.2999999999999998</v>
      </c>
      <c r="E37" s="12">
        <v>3</v>
      </c>
      <c r="F37" s="8">
        <v>0.9</v>
      </c>
      <c r="G37" s="12">
        <v>13</v>
      </c>
      <c r="H37" s="8">
        <v>3.71</v>
      </c>
      <c r="I37" s="12">
        <v>0</v>
      </c>
    </row>
    <row r="38" spans="2:9" ht="15" customHeight="1" x14ac:dyDescent="0.2">
      <c r="B38" t="s">
        <v>75</v>
      </c>
      <c r="C38" s="12">
        <v>14</v>
      </c>
      <c r="D38" s="8">
        <v>2.0099999999999998</v>
      </c>
      <c r="E38" s="12">
        <v>10</v>
      </c>
      <c r="F38" s="8">
        <v>3</v>
      </c>
      <c r="G38" s="12">
        <v>4</v>
      </c>
      <c r="H38" s="8">
        <v>1.1399999999999999</v>
      </c>
      <c r="I38" s="12">
        <v>0</v>
      </c>
    </row>
    <row r="39" spans="2:9" ht="15" customHeight="1" x14ac:dyDescent="0.2">
      <c r="B39" t="s">
        <v>94</v>
      </c>
      <c r="C39" s="12">
        <v>12</v>
      </c>
      <c r="D39" s="8">
        <v>1.73</v>
      </c>
      <c r="E39" s="12">
        <v>6</v>
      </c>
      <c r="F39" s="8">
        <v>1.8</v>
      </c>
      <c r="G39" s="12">
        <v>6</v>
      </c>
      <c r="H39" s="8">
        <v>1.71</v>
      </c>
      <c r="I39" s="12">
        <v>0</v>
      </c>
    </row>
    <row r="40" spans="2:9" ht="15" customHeight="1" x14ac:dyDescent="0.2">
      <c r="B40" t="s">
        <v>97</v>
      </c>
      <c r="C40" s="12">
        <v>10</v>
      </c>
      <c r="D40" s="8">
        <v>1.44</v>
      </c>
      <c r="E40" s="12">
        <v>0</v>
      </c>
      <c r="F40" s="8">
        <v>0</v>
      </c>
      <c r="G40" s="12">
        <v>7</v>
      </c>
      <c r="H40" s="8">
        <v>2</v>
      </c>
      <c r="I40" s="12">
        <v>0</v>
      </c>
    </row>
    <row r="41" spans="2:9" ht="15" customHeight="1" x14ac:dyDescent="0.2">
      <c r="B41" t="s">
        <v>70</v>
      </c>
      <c r="C41" s="12">
        <v>9</v>
      </c>
      <c r="D41" s="8">
        <v>1.29</v>
      </c>
      <c r="E41" s="12">
        <v>3</v>
      </c>
      <c r="F41" s="8">
        <v>0.9</v>
      </c>
      <c r="G41" s="12">
        <v>6</v>
      </c>
      <c r="H41" s="8">
        <v>1.71</v>
      </c>
      <c r="I41" s="12">
        <v>0</v>
      </c>
    </row>
    <row r="42" spans="2:9" ht="15" customHeight="1" x14ac:dyDescent="0.2">
      <c r="B42" t="s">
        <v>87</v>
      </c>
      <c r="C42" s="12">
        <v>9</v>
      </c>
      <c r="D42" s="8">
        <v>1.29</v>
      </c>
      <c r="E42" s="12">
        <v>1</v>
      </c>
      <c r="F42" s="8">
        <v>0.3</v>
      </c>
      <c r="G42" s="12">
        <v>8</v>
      </c>
      <c r="H42" s="8">
        <v>2.29</v>
      </c>
      <c r="I42" s="12">
        <v>0</v>
      </c>
    </row>
    <row r="43" spans="2:9" ht="15" customHeight="1" x14ac:dyDescent="0.2">
      <c r="B43" t="s">
        <v>71</v>
      </c>
      <c r="C43" s="12">
        <v>8</v>
      </c>
      <c r="D43" s="8">
        <v>1.1499999999999999</v>
      </c>
      <c r="E43" s="12">
        <v>4</v>
      </c>
      <c r="F43" s="8">
        <v>1.2</v>
      </c>
      <c r="G43" s="12">
        <v>4</v>
      </c>
      <c r="H43" s="8">
        <v>1.1399999999999999</v>
      </c>
      <c r="I43" s="12">
        <v>0</v>
      </c>
    </row>
    <row r="44" spans="2:9" ht="15" customHeight="1" x14ac:dyDescent="0.2">
      <c r="B44" t="s">
        <v>72</v>
      </c>
      <c r="C44" s="12">
        <v>8</v>
      </c>
      <c r="D44" s="8">
        <v>1.1499999999999999</v>
      </c>
      <c r="E44" s="12">
        <v>0</v>
      </c>
      <c r="F44" s="8">
        <v>0</v>
      </c>
      <c r="G44" s="12">
        <v>8</v>
      </c>
      <c r="H44" s="8">
        <v>2.29</v>
      </c>
      <c r="I44" s="12">
        <v>0</v>
      </c>
    </row>
    <row r="45" spans="2:9" ht="15" customHeight="1" x14ac:dyDescent="0.2">
      <c r="B45" t="s">
        <v>102</v>
      </c>
      <c r="C45" s="12">
        <v>8</v>
      </c>
      <c r="D45" s="8">
        <v>1.1499999999999999</v>
      </c>
      <c r="E45" s="12">
        <v>1</v>
      </c>
      <c r="F45" s="8">
        <v>0.3</v>
      </c>
      <c r="G45" s="12">
        <v>7</v>
      </c>
      <c r="H45" s="8">
        <v>2</v>
      </c>
      <c r="I45" s="12">
        <v>0</v>
      </c>
    </row>
    <row r="48" spans="2:9" ht="33" customHeight="1" x14ac:dyDescent="0.2">
      <c r="B48" t="s">
        <v>234</v>
      </c>
      <c r="C48" s="10" t="s">
        <v>59</v>
      </c>
      <c r="D48" s="10" t="s">
        <v>60</v>
      </c>
      <c r="E48" s="10" t="s">
        <v>61</v>
      </c>
      <c r="F48" s="10" t="s">
        <v>62</v>
      </c>
      <c r="G48" s="10" t="s">
        <v>63</v>
      </c>
      <c r="H48" s="10" t="s">
        <v>64</v>
      </c>
      <c r="I48" s="10" t="s">
        <v>65</v>
      </c>
    </row>
    <row r="49" spans="2:9" ht="15" customHeight="1" x14ac:dyDescent="0.2">
      <c r="B49" t="s">
        <v>122</v>
      </c>
      <c r="C49" s="12">
        <v>42</v>
      </c>
      <c r="D49" s="8">
        <v>6.04</v>
      </c>
      <c r="E49" s="12">
        <v>10</v>
      </c>
      <c r="F49" s="8">
        <v>3</v>
      </c>
      <c r="G49" s="12">
        <v>32</v>
      </c>
      <c r="H49" s="8">
        <v>9.14</v>
      </c>
      <c r="I49" s="12">
        <v>0</v>
      </c>
    </row>
    <row r="50" spans="2:9" ht="15" customHeight="1" x14ac:dyDescent="0.2">
      <c r="B50" t="s">
        <v>136</v>
      </c>
      <c r="C50" s="12">
        <v>35</v>
      </c>
      <c r="D50" s="8">
        <v>5.04</v>
      </c>
      <c r="E50" s="12">
        <v>34</v>
      </c>
      <c r="F50" s="8">
        <v>10.210000000000001</v>
      </c>
      <c r="G50" s="12">
        <v>1</v>
      </c>
      <c r="H50" s="8">
        <v>0.28999999999999998</v>
      </c>
      <c r="I50" s="12">
        <v>0</v>
      </c>
    </row>
    <row r="51" spans="2:9" ht="15" customHeight="1" x14ac:dyDescent="0.2">
      <c r="B51" t="s">
        <v>138</v>
      </c>
      <c r="C51" s="12">
        <v>29</v>
      </c>
      <c r="D51" s="8">
        <v>4.17</v>
      </c>
      <c r="E51" s="12">
        <v>25</v>
      </c>
      <c r="F51" s="8">
        <v>7.51</v>
      </c>
      <c r="G51" s="12">
        <v>4</v>
      </c>
      <c r="H51" s="8">
        <v>1.1399999999999999</v>
      </c>
      <c r="I51" s="12">
        <v>0</v>
      </c>
    </row>
    <row r="52" spans="2:9" ht="15" customHeight="1" x14ac:dyDescent="0.2">
      <c r="B52" t="s">
        <v>140</v>
      </c>
      <c r="C52" s="12">
        <v>24</v>
      </c>
      <c r="D52" s="8">
        <v>3.45</v>
      </c>
      <c r="E52" s="12">
        <v>22</v>
      </c>
      <c r="F52" s="8">
        <v>6.61</v>
      </c>
      <c r="G52" s="12">
        <v>2</v>
      </c>
      <c r="H52" s="8">
        <v>0.56999999999999995</v>
      </c>
      <c r="I52" s="12">
        <v>0</v>
      </c>
    </row>
    <row r="53" spans="2:9" ht="15" customHeight="1" x14ac:dyDescent="0.2">
      <c r="B53" t="s">
        <v>137</v>
      </c>
      <c r="C53" s="12">
        <v>21</v>
      </c>
      <c r="D53" s="8">
        <v>3.02</v>
      </c>
      <c r="E53" s="12">
        <v>19</v>
      </c>
      <c r="F53" s="8">
        <v>5.71</v>
      </c>
      <c r="G53" s="12">
        <v>2</v>
      </c>
      <c r="H53" s="8">
        <v>0.56999999999999995</v>
      </c>
      <c r="I53" s="12">
        <v>0</v>
      </c>
    </row>
    <row r="54" spans="2:9" ht="15" customHeight="1" x14ac:dyDescent="0.2">
      <c r="B54" t="s">
        <v>134</v>
      </c>
      <c r="C54" s="12">
        <v>20</v>
      </c>
      <c r="D54" s="8">
        <v>2.88</v>
      </c>
      <c r="E54" s="12">
        <v>16</v>
      </c>
      <c r="F54" s="8">
        <v>4.8</v>
      </c>
      <c r="G54" s="12">
        <v>4</v>
      </c>
      <c r="H54" s="8">
        <v>1.1399999999999999</v>
      </c>
      <c r="I54" s="12">
        <v>0</v>
      </c>
    </row>
    <row r="55" spans="2:9" ht="15" customHeight="1" x14ac:dyDescent="0.2">
      <c r="B55" t="s">
        <v>128</v>
      </c>
      <c r="C55" s="12">
        <v>18</v>
      </c>
      <c r="D55" s="8">
        <v>2.59</v>
      </c>
      <c r="E55" s="12">
        <v>9</v>
      </c>
      <c r="F55" s="8">
        <v>2.7</v>
      </c>
      <c r="G55" s="12">
        <v>9</v>
      </c>
      <c r="H55" s="8">
        <v>2.57</v>
      </c>
      <c r="I55" s="12">
        <v>0</v>
      </c>
    </row>
    <row r="56" spans="2:9" ht="15" customHeight="1" x14ac:dyDescent="0.2">
      <c r="B56" t="s">
        <v>141</v>
      </c>
      <c r="C56" s="12">
        <v>18</v>
      </c>
      <c r="D56" s="8">
        <v>2.59</v>
      </c>
      <c r="E56" s="12">
        <v>13</v>
      </c>
      <c r="F56" s="8">
        <v>3.9</v>
      </c>
      <c r="G56" s="12">
        <v>5</v>
      </c>
      <c r="H56" s="8">
        <v>1.43</v>
      </c>
      <c r="I56" s="12">
        <v>0</v>
      </c>
    </row>
    <row r="57" spans="2:9" ht="15" customHeight="1" x14ac:dyDescent="0.2">
      <c r="B57" t="s">
        <v>123</v>
      </c>
      <c r="C57" s="12">
        <v>15</v>
      </c>
      <c r="D57" s="8">
        <v>2.16</v>
      </c>
      <c r="E57" s="12">
        <v>3</v>
      </c>
      <c r="F57" s="8">
        <v>0.9</v>
      </c>
      <c r="G57" s="12">
        <v>12</v>
      </c>
      <c r="H57" s="8">
        <v>3.43</v>
      </c>
      <c r="I57" s="12">
        <v>0</v>
      </c>
    </row>
    <row r="58" spans="2:9" ht="15" customHeight="1" x14ac:dyDescent="0.2">
      <c r="B58" t="s">
        <v>124</v>
      </c>
      <c r="C58" s="12">
        <v>15</v>
      </c>
      <c r="D58" s="8">
        <v>2.16</v>
      </c>
      <c r="E58" s="12">
        <v>4</v>
      </c>
      <c r="F58" s="8">
        <v>1.2</v>
      </c>
      <c r="G58" s="12">
        <v>11</v>
      </c>
      <c r="H58" s="8">
        <v>3.14</v>
      </c>
      <c r="I58" s="12">
        <v>0</v>
      </c>
    </row>
    <row r="59" spans="2:9" ht="15" customHeight="1" x14ac:dyDescent="0.2">
      <c r="B59" t="s">
        <v>157</v>
      </c>
      <c r="C59" s="12">
        <v>15</v>
      </c>
      <c r="D59" s="8">
        <v>2.16</v>
      </c>
      <c r="E59" s="12">
        <v>3</v>
      </c>
      <c r="F59" s="8">
        <v>0.9</v>
      </c>
      <c r="G59" s="12">
        <v>12</v>
      </c>
      <c r="H59" s="8">
        <v>3.43</v>
      </c>
      <c r="I59" s="12">
        <v>0</v>
      </c>
    </row>
    <row r="60" spans="2:9" ht="15" customHeight="1" x14ac:dyDescent="0.2">
      <c r="B60" t="s">
        <v>165</v>
      </c>
      <c r="C60" s="12">
        <v>13</v>
      </c>
      <c r="D60" s="8">
        <v>1.87</v>
      </c>
      <c r="E60" s="12">
        <v>7</v>
      </c>
      <c r="F60" s="8">
        <v>2.1</v>
      </c>
      <c r="G60" s="12">
        <v>6</v>
      </c>
      <c r="H60" s="8">
        <v>1.71</v>
      </c>
      <c r="I60" s="12">
        <v>0</v>
      </c>
    </row>
    <row r="61" spans="2:9" ht="15" customHeight="1" x14ac:dyDescent="0.2">
      <c r="B61" t="s">
        <v>132</v>
      </c>
      <c r="C61" s="12">
        <v>13</v>
      </c>
      <c r="D61" s="8">
        <v>1.87</v>
      </c>
      <c r="E61" s="12">
        <v>11</v>
      </c>
      <c r="F61" s="8">
        <v>3.3</v>
      </c>
      <c r="G61" s="12">
        <v>2</v>
      </c>
      <c r="H61" s="8">
        <v>0.56999999999999995</v>
      </c>
      <c r="I61" s="12">
        <v>0</v>
      </c>
    </row>
    <row r="62" spans="2:9" ht="15" customHeight="1" x14ac:dyDescent="0.2">
      <c r="B62" t="s">
        <v>125</v>
      </c>
      <c r="C62" s="12">
        <v>12</v>
      </c>
      <c r="D62" s="8">
        <v>1.73</v>
      </c>
      <c r="E62" s="12">
        <v>5</v>
      </c>
      <c r="F62" s="8">
        <v>1.5</v>
      </c>
      <c r="G62" s="12">
        <v>7</v>
      </c>
      <c r="H62" s="8">
        <v>2</v>
      </c>
      <c r="I62" s="12">
        <v>0</v>
      </c>
    </row>
    <row r="63" spans="2:9" ht="15" customHeight="1" x14ac:dyDescent="0.2">
      <c r="B63" t="s">
        <v>158</v>
      </c>
      <c r="C63" s="12">
        <v>12</v>
      </c>
      <c r="D63" s="8">
        <v>1.73</v>
      </c>
      <c r="E63" s="12">
        <v>2</v>
      </c>
      <c r="F63" s="8">
        <v>0.6</v>
      </c>
      <c r="G63" s="12">
        <v>10</v>
      </c>
      <c r="H63" s="8">
        <v>2.86</v>
      </c>
      <c r="I63" s="12">
        <v>0</v>
      </c>
    </row>
    <row r="64" spans="2:9" ht="15" customHeight="1" x14ac:dyDescent="0.2">
      <c r="B64" t="s">
        <v>142</v>
      </c>
      <c r="C64" s="12">
        <v>11</v>
      </c>
      <c r="D64" s="8">
        <v>1.58</v>
      </c>
      <c r="E64" s="12">
        <v>5</v>
      </c>
      <c r="F64" s="8">
        <v>1.5</v>
      </c>
      <c r="G64" s="12">
        <v>6</v>
      </c>
      <c r="H64" s="8">
        <v>1.71</v>
      </c>
      <c r="I64" s="12">
        <v>0</v>
      </c>
    </row>
    <row r="65" spans="2:9" ht="15" customHeight="1" x14ac:dyDescent="0.2">
      <c r="B65" t="s">
        <v>130</v>
      </c>
      <c r="C65" s="12">
        <v>11</v>
      </c>
      <c r="D65" s="8">
        <v>1.58</v>
      </c>
      <c r="E65" s="12">
        <v>6</v>
      </c>
      <c r="F65" s="8">
        <v>1.8</v>
      </c>
      <c r="G65" s="12">
        <v>5</v>
      </c>
      <c r="H65" s="8">
        <v>1.43</v>
      </c>
      <c r="I65" s="12">
        <v>0</v>
      </c>
    </row>
    <row r="66" spans="2:9" ht="15" customHeight="1" x14ac:dyDescent="0.2">
      <c r="B66" t="s">
        <v>139</v>
      </c>
      <c r="C66" s="12">
        <v>11</v>
      </c>
      <c r="D66" s="8">
        <v>1.58</v>
      </c>
      <c r="E66" s="12">
        <v>10</v>
      </c>
      <c r="F66" s="8">
        <v>3</v>
      </c>
      <c r="G66" s="12">
        <v>1</v>
      </c>
      <c r="H66" s="8">
        <v>0.28999999999999998</v>
      </c>
      <c r="I66" s="12">
        <v>0</v>
      </c>
    </row>
    <row r="67" spans="2:9" ht="15" customHeight="1" x14ac:dyDescent="0.2">
      <c r="B67" t="s">
        <v>182</v>
      </c>
      <c r="C67" s="12">
        <v>10</v>
      </c>
      <c r="D67" s="8">
        <v>1.44</v>
      </c>
      <c r="E67" s="12">
        <v>2</v>
      </c>
      <c r="F67" s="8">
        <v>0.6</v>
      </c>
      <c r="G67" s="12">
        <v>8</v>
      </c>
      <c r="H67" s="8">
        <v>2.29</v>
      </c>
      <c r="I67" s="12">
        <v>0</v>
      </c>
    </row>
    <row r="68" spans="2:9" ht="15" customHeight="1" x14ac:dyDescent="0.2">
      <c r="B68" t="s">
        <v>163</v>
      </c>
      <c r="C68" s="12">
        <v>10</v>
      </c>
      <c r="D68" s="8">
        <v>1.44</v>
      </c>
      <c r="E68" s="12">
        <v>7</v>
      </c>
      <c r="F68" s="8">
        <v>2.1</v>
      </c>
      <c r="G68" s="12">
        <v>3</v>
      </c>
      <c r="H68" s="8">
        <v>0.86</v>
      </c>
      <c r="I68" s="12">
        <v>0</v>
      </c>
    </row>
    <row r="70" spans="2:9" ht="15" customHeight="1" x14ac:dyDescent="0.2">
      <c r="B70" t="s">
        <v>235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BF578-CD97-444E-A2C1-551E59DFE73C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254</v>
      </c>
    </row>
    <row r="4" spans="2:9" ht="33" customHeight="1" x14ac:dyDescent="0.2">
      <c r="B4" t="s">
        <v>231</v>
      </c>
      <c r="C4" s="10" t="s">
        <v>59</v>
      </c>
      <c r="D4" s="10" t="s">
        <v>60</v>
      </c>
      <c r="E4" s="10" t="s">
        <v>61</v>
      </c>
      <c r="F4" s="10" t="s">
        <v>62</v>
      </c>
      <c r="G4" s="10" t="s">
        <v>63</v>
      </c>
      <c r="H4" s="10" t="s">
        <v>64</v>
      </c>
      <c r="I4" s="10" t="s">
        <v>65</v>
      </c>
    </row>
    <row r="5" spans="2:9" ht="15" customHeight="1" x14ac:dyDescent="0.2">
      <c r="B5" t="s">
        <v>43</v>
      </c>
      <c r="C5" s="12">
        <v>1</v>
      </c>
      <c r="D5" s="8">
        <v>0.06</v>
      </c>
      <c r="E5" s="12">
        <v>0</v>
      </c>
      <c r="F5" s="8">
        <v>0</v>
      </c>
      <c r="G5" s="12">
        <v>1</v>
      </c>
      <c r="H5" s="8">
        <v>0.19</v>
      </c>
      <c r="I5" s="12">
        <v>0</v>
      </c>
    </row>
    <row r="6" spans="2:9" ht="15" customHeight="1" x14ac:dyDescent="0.2">
      <c r="B6" t="s">
        <v>44</v>
      </c>
      <c r="C6" s="12">
        <v>317</v>
      </c>
      <c r="D6" s="8">
        <v>17.61</v>
      </c>
      <c r="E6" s="12">
        <v>183</v>
      </c>
      <c r="F6" s="8">
        <v>14.82</v>
      </c>
      <c r="G6" s="12">
        <v>134</v>
      </c>
      <c r="H6" s="8">
        <v>25.43</v>
      </c>
      <c r="I6" s="12">
        <v>0</v>
      </c>
    </row>
    <row r="7" spans="2:9" ht="15" customHeight="1" x14ac:dyDescent="0.2">
      <c r="B7" t="s">
        <v>45</v>
      </c>
      <c r="C7" s="12">
        <v>227</v>
      </c>
      <c r="D7" s="8">
        <v>12.61</v>
      </c>
      <c r="E7" s="12">
        <v>132</v>
      </c>
      <c r="F7" s="8">
        <v>10.69</v>
      </c>
      <c r="G7" s="12">
        <v>95</v>
      </c>
      <c r="H7" s="8">
        <v>18.03</v>
      </c>
      <c r="I7" s="12">
        <v>0</v>
      </c>
    </row>
    <row r="8" spans="2:9" ht="15" customHeight="1" x14ac:dyDescent="0.2">
      <c r="B8" t="s">
        <v>46</v>
      </c>
      <c r="C8" s="12">
        <v>1</v>
      </c>
      <c r="D8" s="8">
        <v>0.06</v>
      </c>
      <c r="E8" s="12">
        <v>0</v>
      </c>
      <c r="F8" s="8">
        <v>0</v>
      </c>
      <c r="G8" s="12">
        <v>1</v>
      </c>
      <c r="H8" s="8">
        <v>0.19</v>
      </c>
      <c r="I8" s="12">
        <v>0</v>
      </c>
    </row>
    <row r="9" spans="2:9" ht="15" customHeight="1" x14ac:dyDescent="0.2">
      <c r="B9" t="s">
        <v>47</v>
      </c>
      <c r="C9" s="12">
        <v>5</v>
      </c>
      <c r="D9" s="8">
        <v>0.28000000000000003</v>
      </c>
      <c r="E9" s="12">
        <v>0</v>
      </c>
      <c r="F9" s="8">
        <v>0</v>
      </c>
      <c r="G9" s="12">
        <v>5</v>
      </c>
      <c r="H9" s="8">
        <v>0.95</v>
      </c>
      <c r="I9" s="12">
        <v>0</v>
      </c>
    </row>
    <row r="10" spans="2:9" ht="15" customHeight="1" x14ac:dyDescent="0.2">
      <c r="B10" t="s">
        <v>48</v>
      </c>
      <c r="C10" s="12">
        <v>11</v>
      </c>
      <c r="D10" s="8">
        <v>0.61</v>
      </c>
      <c r="E10" s="12">
        <v>2</v>
      </c>
      <c r="F10" s="8">
        <v>0.16</v>
      </c>
      <c r="G10" s="12">
        <v>8</v>
      </c>
      <c r="H10" s="8">
        <v>1.52</v>
      </c>
      <c r="I10" s="12">
        <v>1</v>
      </c>
    </row>
    <row r="11" spans="2:9" ht="15" customHeight="1" x14ac:dyDescent="0.2">
      <c r="B11" t="s">
        <v>49</v>
      </c>
      <c r="C11" s="12">
        <v>377</v>
      </c>
      <c r="D11" s="8">
        <v>20.94</v>
      </c>
      <c r="E11" s="12">
        <v>240</v>
      </c>
      <c r="F11" s="8">
        <v>19.43</v>
      </c>
      <c r="G11" s="12">
        <v>135</v>
      </c>
      <c r="H11" s="8">
        <v>25.62</v>
      </c>
      <c r="I11" s="12">
        <v>2</v>
      </c>
    </row>
    <row r="12" spans="2:9" ht="15" customHeight="1" x14ac:dyDescent="0.2">
      <c r="B12" t="s">
        <v>50</v>
      </c>
      <c r="C12" s="12">
        <v>6</v>
      </c>
      <c r="D12" s="8">
        <v>0.33</v>
      </c>
      <c r="E12" s="12">
        <v>2</v>
      </c>
      <c r="F12" s="8">
        <v>0.16</v>
      </c>
      <c r="G12" s="12">
        <v>3</v>
      </c>
      <c r="H12" s="8">
        <v>0.56999999999999995</v>
      </c>
      <c r="I12" s="12">
        <v>1</v>
      </c>
    </row>
    <row r="13" spans="2:9" ht="15" customHeight="1" x14ac:dyDescent="0.2">
      <c r="B13" t="s">
        <v>51</v>
      </c>
      <c r="C13" s="12">
        <v>46</v>
      </c>
      <c r="D13" s="8">
        <v>2.56</v>
      </c>
      <c r="E13" s="12">
        <v>22</v>
      </c>
      <c r="F13" s="8">
        <v>1.78</v>
      </c>
      <c r="G13" s="12">
        <v>24</v>
      </c>
      <c r="H13" s="8">
        <v>4.55</v>
      </c>
      <c r="I13" s="12">
        <v>0</v>
      </c>
    </row>
    <row r="14" spans="2:9" ht="15" customHeight="1" x14ac:dyDescent="0.2">
      <c r="B14" t="s">
        <v>52</v>
      </c>
      <c r="C14" s="12">
        <v>61</v>
      </c>
      <c r="D14" s="8">
        <v>3.39</v>
      </c>
      <c r="E14" s="12">
        <v>44</v>
      </c>
      <c r="F14" s="8">
        <v>3.56</v>
      </c>
      <c r="G14" s="12">
        <v>16</v>
      </c>
      <c r="H14" s="8">
        <v>3.04</v>
      </c>
      <c r="I14" s="12">
        <v>0</v>
      </c>
    </row>
    <row r="15" spans="2:9" ht="15" customHeight="1" x14ac:dyDescent="0.2">
      <c r="B15" t="s">
        <v>53</v>
      </c>
      <c r="C15" s="12">
        <v>353</v>
      </c>
      <c r="D15" s="8">
        <v>19.61</v>
      </c>
      <c r="E15" s="12">
        <v>313</v>
      </c>
      <c r="F15" s="8">
        <v>25.34</v>
      </c>
      <c r="G15" s="12">
        <v>37</v>
      </c>
      <c r="H15" s="8">
        <v>7.02</v>
      </c>
      <c r="I15" s="12">
        <v>3</v>
      </c>
    </row>
    <row r="16" spans="2:9" ht="15" customHeight="1" x14ac:dyDescent="0.2">
      <c r="B16" t="s">
        <v>54</v>
      </c>
      <c r="C16" s="12">
        <v>197</v>
      </c>
      <c r="D16" s="8">
        <v>10.94</v>
      </c>
      <c r="E16" s="12">
        <v>169</v>
      </c>
      <c r="F16" s="8">
        <v>13.68</v>
      </c>
      <c r="G16" s="12">
        <v>26</v>
      </c>
      <c r="H16" s="8">
        <v>4.93</v>
      </c>
      <c r="I16" s="12">
        <v>0</v>
      </c>
    </row>
    <row r="17" spans="2:9" ht="15" customHeight="1" x14ac:dyDescent="0.2">
      <c r="B17" t="s">
        <v>55</v>
      </c>
      <c r="C17" s="12">
        <v>80</v>
      </c>
      <c r="D17" s="8">
        <v>4.4400000000000004</v>
      </c>
      <c r="E17" s="12">
        <v>57</v>
      </c>
      <c r="F17" s="8">
        <v>4.62</v>
      </c>
      <c r="G17" s="12">
        <v>5</v>
      </c>
      <c r="H17" s="8">
        <v>0.95</v>
      </c>
      <c r="I17" s="12">
        <v>0</v>
      </c>
    </row>
    <row r="18" spans="2:9" ht="15" customHeight="1" x14ac:dyDescent="0.2">
      <c r="B18" t="s">
        <v>56</v>
      </c>
      <c r="C18" s="12">
        <v>71</v>
      </c>
      <c r="D18" s="8">
        <v>3.94</v>
      </c>
      <c r="E18" s="12">
        <v>49</v>
      </c>
      <c r="F18" s="8">
        <v>3.97</v>
      </c>
      <c r="G18" s="12">
        <v>17</v>
      </c>
      <c r="H18" s="8">
        <v>3.23</v>
      </c>
      <c r="I18" s="12">
        <v>0</v>
      </c>
    </row>
    <row r="19" spans="2:9" ht="15" customHeight="1" x14ac:dyDescent="0.2">
      <c r="B19" t="s">
        <v>57</v>
      </c>
      <c r="C19" s="12">
        <v>47</v>
      </c>
      <c r="D19" s="8">
        <v>2.61</v>
      </c>
      <c r="E19" s="12">
        <v>22</v>
      </c>
      <c r="F19" s="8">
        <v>1.78</v>
      </c>
      <c r="G19" s="12">
        <v>20</v>
      </c>
      <c r="H19" s="8">
        <v>3.8</v>
      </c>
      <c r="I19" s="12">
        <v>0</v>
      </c>
    </row>
    <row r="20" spans="2:9" ht="15" customHeight="1" x14ac:dyDescent="0.2">
      <c r="B20" s="9" t="s">
        <v>232</v>
      </c>
      <c r="C20" s="12">
        <f>SUM(LTBL_21219[総数／事業所数])</f>
        <v>1800</v>
      </c>
      <c r="E20" s="12">
        <f>SUBTOTAL(109,LTBL_21219[個人／事業所数])</f>
        <v>1235</v>
      </c>
      <c r="G20" s="12">
        <f>SUBTOTAL(109,LTBL_21219[法人／事業所数])</f>
        <v>527</v>
      </c>
      <c r="I20" s="12">
        <f>SUBTOTAL(109,LTBL_21219[法人以外の団体／事業所数])</f>
        <v>7</v>
      </c>
    </row>
    <row r="21" spans="2:9" ht="15" customHeight="1" x14ac:dyDescent="0.2">
      <c r="E21" s="11">
        <f>LTBL_21219[[#Totals],[個人／事業所数]]/LTBL_21219[[#Totals],[総数／事業所数]]</f>
        <v>0.68611111111111112</v>
      </c>
      <c r="G21" s="11">
        <f>LTBL_21219[[#Totals],[法人／事業所数]]/LTBL_21219[[#Totals],[総数／事業所数]]</f>
        <v>0.2927777777777778</v>
      </c>
      <c r="I21" s="11">
        <f>LTBL_21219[[#Totals],[法人以外の団体／事業所数]]/LTBL_21219[[#Totals],[総数／事業所数]]</f>
        <v>3.8888888888888888E-3</v>
      </c>
    </row>
    <row r="23" spans="2:9" ht="33" customHeight="1" x14ac:dyDescent="0.2">
      <c r="B23" t="s">
        <v>233</v>
      </c>
      <c r="C23" s="10" t="s">
        <v>59</v>
      </c>
      <c r="D23" s="10" t="s">
        <v>60</v>
      </c>
      <c r="E23" s="10" t="s">
        <v>61</v>
      </c>
      <c r="F23" s="10" t="s">
        <v>62</v>
      </c>
      <c r="G23" s="10" t="s">
        <v>63</v>
      </c>
      <c r="H23" s="10" t="s">
        <v>64</v>
      </c>
      <c r="I23" s="10" t="s">
        <v>65</v>
      </c>
    </row>
    <row r="24" spans="2:9" ht="15" customHeight="1" x14ac:dyDescent="0.2">
      <c r="B24" t="s">
        <v>81</v>
      </c>
      <c r="C24" s="12">
        <v>255</v>
      </c>
      <c r="D24" s="8">
        <v>14.17</v>
      </c>
      <c r="E24" s="12">
        <v>237</v>
      </c>
      <c r="F24" s="8">
        <v>19.190000000000001</v>
      </c>
      <c r="G24" s="12">
        <v>17</v>
      </c>
      <c r="H24" s="8">
        <v>3.23</v>
      </c>
      <c r="I24" s="12">
        <v>1</v>
      </c>
    </row>
    <row r="25" spans="2:9" ht="15" customHeight="1" x14ac:dyDescent="0.2">
      <c r="B25" t="s">
        <v>66</v>
      </c>
      <c r="C25" s="12">
        <v>161</v>
      </c>
      <c r="D25" s="8">
        <v>8.94</v>
      </c>
      <c r="E25" s="12">
        <v>79</v>
      </c>
      <c r="F25" s="8">
        <v>6.4</v>
      </c>
      <c r="G25" s="12">
        <v>82</v>
      </c>
      <c r="H25" s="8">
        <v>15.56</v>
      </c>
      <c r="I25" s="12">
        <v>0</v>
      </c>
    </row>
    <row r="26" spans="2:9" ht="15" customHeight="1" x14ac:dyDescent="0.2">
      <c r="B26" t="s">
        <v>82</v>
      </c>
      <c r="C26" s="12">
        <v>161</v>
      </c>
      <c r="D26" s="8">
        <v>8.94</v>
      </c>
      <c r="E26" s="12">
        <v>154</v>
      </c>
      <c r="F26" s="8">
        <v>12.47</v>
      </c>
      <c r="G26" s="12">
        <v>7</v>
      </c>
      <c r="H26" s="8">
        <v>1.33</v>
      </c>
      <c r="I26" s="12">
        <v>0</v>
      </c>
    </row>
    <row r="27" spans="2:9" ht="15" customHeight="1" x14ac:dyDescent="0.2">
      <c r="B27" t="s">
        <v>77</v>
      </c>
      <c r="C27" s="12">
        <v>143</v>
      </c>
      <c r="D27" s="8">
        <v>7.94</v>
      </c>
      <c r="E27" s="12">
        <v>87</v>
      </c>
      <c r="F27" s="8">
        <v>7.04</v>
      </c>
      <c r="G27" s="12">
        <v>56</v>
      </c>
      <c r="H27" s="8">
        <v>10.63</v>
      </c>
      <c r="I27" s="12">
        <v>0</v>
      </c>
    </row>
    <row r="28" spans="2:9" ht="15" customHeight="1" x14ac:dyDescent="0.2">
      <c r="B28" t="s">
        <v>67</v>
      </c>
      <c r="C28" s="12">
        <v>101</v>
      </c>
      <c r="D28" s="8">
        <v>5.61</v>
      </c>
      <c r="E28" s="12">
        <v>78</v>
      </c>
      <c r="F28" s="8">
        <v>6.32</v>
      </c>
      <c r="G28" s="12">
        <v>23</v>
      </c>
      <c r="H28" s="8">
        <v>4.3600000000000003</v>
      </c>
      <c r="I28" s="12">
        <v>0</v>
      </c>
    </row>
    <row r="29" spans="2:9" ht="15" customHeight="1" x14ac:dyDescent="0.2">
      <c r="B29" t="s">
        <v>75</v>
      </c>
      <c r="C29" s="12">
        <v>89</v>
      </c>
      <c r="D29" s="8">
        <v>4.9400000000000004</v>
      </c>
      <c r="E29" s="12">
        <v>73</v>
      </c>
      <c r="F29" s="8">
        <v>5.91</v>
      </c>
      <c r="G29" s="12">
        <v>16</v>
      </c>
      <c r="H29" s="8">
        <v>3.04</v>
      </c>
      <c r="I29" s="12">
        <v>0</v>
      </c>
    </row>
    <row r="30" spans="2:9" ht="15" customHeight="1" x14ac:dyDescent="0.2">
      <c r="B30" t="s">
        <v>95</v>
      </c>
      <c r="C30" s="12">
        <v>88</v>
      </c>
      <c r="D30" s="8">
        <v>4.8899999999999997</v>
      </c>
      <c r="E30" s="12">
        <v>69</v>
      </c>
      <c r="F30" s="8">
        <v>5.59</v>
      </c>
      <c r="G30" s="12">
        <v>17</v>
      </c>
      <c r="H30" s="8">
        <v>3.23</v>
      </c>
      <c r="I30" s="12">
        <v>2</v>
      </c>
    </row>
    <row r="31" spans="2:9" ht="15" customHeight="1" x14ac:dyDescent="0.2">
      <c r="B31" t="s">
        <v>83</v>
      </c>
      <c r="C31" s="12">
        <v>80</v>
      </c>
      <c r="D31" s="8">
        <v>4.4400000000000004</v>
      </c>
      <c r="E31" s="12">
        <v>57</v>
      </c>
      <c r="F31" s="8">
        <v>4.62</v>
      </c>
      <c r="G31" s="12">
        <v>5</v>
      </c>
      <c r="H31" s="8">
        <v>0.95</v>
      </c>
      <c r="I31" s="12">
        <v>0</v>
      </c>
    </row>
    <row r="32" spans="2:9" ht="15" customHeight="1" x14ac:dyDescent="0.2">
      <c r="B32" t="s">
        <v>68</v>
      </c>
      <c r="C32" s="12">
        <v>55</v>
      </c>
      <c r="D32" s="8">
        <v>3.06</v>
      </c>
      <c r="E32" s="12">
        <v>26</v>
      </c>
      <c r="F32" s="8">
        <v>2.11</v>
      </c>
      <c r="G32" s="12">
        <v>29</v>
      </c>
      <c r="H32" s="8">
        <v>5.5</v>
      </c>
      <c r="I32" s="12">
        <v>0</v>
      </c>
    </row>
    <row r="33" spans="2:9" ht="15" customHeight="1" x14ac:dyDescent="0.2">
      <c r="B33" t="s">
        <v>84</v>
      </c>
      <c r="C33" s="12">
        <v>50</v>
      </c>
      <c r="D33" s="8">
        <v>2.78</v>
      </c>
      <c r="E33" s="12">
        <v>49</v>
      </c>
      <c r="F33" s="8">
        <v>3.97</v>
      </c>
      <c r="G33" s="12">
        <v>1</v>
      </c>
      <c r="H33" s="8">
        <v>0.19</v>
      </c>
      <c r="I33" s="12">
        <v>0</v>
      </c>
    </row>
    <row r="34" spans="2:9" ht="15" customHeight="1" x14ac:dyDescent="0.2">
      <c r="B34" t="s">
        <v>74</v>
      </c>
      <c r="C34" s="12">
        <v>45</v>
      </c>
      <c r="D34" s="8">
        <v>2.5</v>
      </c>
      <c r="E34" s="12">
        <v>32</v>
      </c>
      <c r="F34" s="8">
        <v>2.59</v>
      </c>
      <c r="G34" s="12">
        <v>13</v>
      </c>
      <c r="H34" s="8">
        <v>2.4700000000000002</v>
      </c>
      <c r="I34" s="12">
        <v>0</v>
      </c>
    </row>
    <row r="35" spans="2:9" ht="15" customHeight="1" x14ac:dyDescent="0.2">
      <c r="B35" t="s">
        <v>76</v>
      </c>
      <c r="C35" s="12">
        <v>41</v>
      </c>
      <c r="D35" s="8">
        <v>2.2799999999999998</v>
      </c>
      <c r="E35" s="12">
        <v>25</v>
      </c>
      <c r="F35" s="8">
        <v>2.02</v>
      </c>
      <c r="G35" s="12">
        <v>16</v>
      </c>
      <c r="H35" s="8">
        <v>3.04</v>
      </c>
      <c r="I35" s="12">
        <v>0</v>
      </c>
    </row>
    <row r="36" spans="2:9" ht="15" customHeight="1" x14ac:dyDescent="0.2">
      <c r="B36" t="s">
        <v>78</v>
      </c>
      <c r="C36" s="12">
        <v>35</v>
      </c>
      <c r="D36" s="8">
        <v>1.94</v>
      </c>
      <c r="E36" s="12">
        <v>19</v>
      </c>
      <c r="F36" s="8">
        <v>1.54</v>
      </c>
      <c r="G36" s="12">
        <v>16</v>
      </c>
      <c r="H36" s="8">
        <v>3.04</v>
      </c>
      <c r="I36" s="12">
        <v>0</v>
      </c>
    </row>
    <row r="37" spans="2:9" ht="15" customHeight="1" x14ac:dyDescent="0.2">
      <c r="B37" t="s">
        <v>91</v>
      </c>
      <c r="C37" s="12">
        <v>34</v>
      </c>
      <c r="D37" s="8">
        <v>1.89</v>
      </c>
      <c r="E37" s="12">
        <v>20</v>
      </c>
      <c r="F37" s="8">
        <v>1.62</v>
      </c>
      <c r="G37" s="12">
        <v>14</v>
      </c>
      <c r="H37" s="8">
        <v>2.66</v>
      </c>
      <c r="I37" s="12">
        <v>0</v>
      </c>
    </row>
    <row r="38" spans="2:9" ht="15" customHeight="1" x14ac:dyDescent="0.2">
      <c r="B38" t="s">
        <v>79</v>
      </c>
      <c r="C38" s="12">
        <v>30</v>
      </c>
      <c r="D38" s="8">
        <v>1.67</v>
      </c>
      <c r="E38" s="12">
        <v>27</v>
      </c>
      <c r="F38" s="8">
        <v>2.19</v>
      </c>
      <c r="G38" s="12">
        <v>3</v>
      </c>
      <c r="H38" s="8">
        <v>0.56999999999999995</v>
      </c>
      <c r="I38" s="12">
        <v>0</v>
      </c>
    </row>
    <row r="39" spans="2:9" ht="15" customHeight="1" x14ac:dyDescent="0.2">
      <c r="B39" t="s">
        <v>80</v>
      </c>
      <c r="C39" s="12">
        <v>30</v>
      </c>
      <c r="D39" s="8">
        <v>1.67</v>
      </c>
      <c r="E39" s="12">
        <v>17</v>
      </c>
      <c r="F39" s="8">
        <v>1.38</v>
      </c>
      <c r="G39" s="12">
        <v>12</v>
      </c>
      <c r="H39" s="8">
        <v>2.2799999999999998</v>
      </c>
      <c r="I39" s="12">
        <v>0</v>
      </c>
    </row>
    <row r="40" spans="2:9" ht="15" customHeight="1" x14ac:dyDescent="0.2">
      <c r="B40" t="s">
        <v>71</v>
      </c>
      <c r="C40" s="12">
        <v>27</v>
      </c>
      <c r="D40" s="8">
        <v>1.5</v>
      </c>
      <c r="E40" s="12">
        <v>14</v>
      </c>
      <c r="F40" s="8">
        <v>1.1299999999999999</v>
      </c>
      <c r="G40" s="12">
        <v>13</v>
      </c>
      <c r="H40" s="8">
        <v>2.4700000000000002</v>
      </c>
      <c r="I40" s="12">
        <v>0</v>
      </c>
    </row>
    <row r="41" spans="2:9" ht="15" customHeight="1" x14ac:dyDescent="0.2">
      <c r="B41" t="s">
        <v>94</v>
      </c>
      <c r="C41" s="12">
        <v>26</v>
      </c>
      <c r="D41" s="8">
        <v>1.44</v>
      </c>
      <c r="E41" s="12">
        <v>12</v>
      </c>
      <c r="F41" s="8">
        <v>0.97</v>
      </c>
      <c r="G41" s="12">
        <v>14</v>
      </c>
      <c r="H41" s="8">
        <v>2.66</v>
      </c>
      <c r="I41" s="12">
        <v>0</v>
      </c>
    </row>
    <row r="42" spans="2:9" ht="15" customHeight="1" x14ac:dyDescent="0.2">
      <c r="B42" t="s">
        <v>85</v>
      </c>
      <c r="C42" s="12">
        <v>25</v>
      </c>
      <c r="D42" s="8">
        <v>1.39</v>
      </c>
      <c r="E42" s="12">
        <v>17</v>
      </c>
      <c r="F42" s="8">
        <v>1.38</v>
      </c>
      <c r="G42" s="12">
        <v>8</v>
      </c>
      <c r="H42" s="8">
        <v>1.52</v>
      </c>
      <c r="I42" s="12">
        <v>0</v>
      </c>
    </row>
    <row r="43" spans="2:9" ht="15" customHeight="1" x14ac:dyDescent="0.2">
      <c r="B43" t="s">
        <v>104</v>
      </c>
      <c r="C43" s="12">
        <v>24</v>
      </c>
      <c r="D43" s="8">
        <v>1.33</v>
      </c>
      <c r="E43" s="12">
        <v>17</v>
      </c>
      <c r="F43" s="8">
        <v>1.38</v>
      </c>
      <c r="G43" s="12">
        <v>7</v>
      </c>
      <c r="H43" s="8">
        <v>1.33</v>
      </c>
      <c r="I43" s="12">
        <v>0</v>
      </c>
    </row>
    <row r="46" spans="2:9" ht="33" customHeight="1" x14ac:dyDescent="0.2">
      <c r="B46" t="s">
        <v>234</v>
      </c>
      <c r="C46" s="10" t="s">
        <v>59</v>
      </c>
      <c r="D46" s="10" t="s">
        <v>60</v>
      </c>
      <c r="E46" s="10" t="s">
        <v>61</v>
      </c>
      <c r="F46" s="10" t="s">
        <v>62</v>
      </c>
      <c r="G46" s="10" t="s">
        <v>63</v>
      </c>
      <c r="H46" s="10" t="s">
        <v>64</v>
      </c>
      <c r="I46" s="10" t="s">
        <v>65</v>
      </c>
    </row>
    <row r="47" spans="2:9" ht="15" customHeight="1" x14ac:dyDescent="0.2">
      <c r="B47" t="s">
        <v>138</v>
      </c>
      <c r="C47" s="12">
        <v>88</v>
      </c>
      <c r="D47" s="8">
        <v>4.8899999999999997</v>
      </c>
      <c r="E47" s="12">
        <v>86</v>
      </c>
      <c r="F47" s="8">
        <v>6.96</v>
      </c>
      <c r="G47" s="12">
        <v>2</v>
      </c>
      <c r="H47" s="8">
        <v>0.38</v>
      </c>
      <c r="I47" s="12">
        <v>0</v>
      </c>
    </row>
    <row r="48" spans="2:9" ht="15" customHeight="1" x14ac:dyDescent="0.2">
      <c r="B48" t="s">
        <v>136</v>
      </c>
      <c r="C48" s="12">
        <v>85</v>
      </c>
      <c r="D48" s="8">
        <v>4.72</v>
      </c>
      <c r="E48" s="12">
        <v>83</v>
      </c>
      <c r="F48" s="8">
        <v>6.72</v>
      </c>
      <c r="G48" s="12">
        <v>1</v>
      </c>
      <c r="H48" s="8">
        <v>0.19</v>
      </c>
      <c r="I48" s="12">
        <v>1</v>
      </c>
    </row>
    <row r="49" spans="2:9" ht="15" customHeight="1" x14ac:dyDescent="0.2">
      <c r="B49" t="s">
        <v>149</v>
      </c>
      <c r="C49" s="12">
        <v>69</v>
      </c>
      <c r="D49" s="8">
        <v>3.83</v>
      </c>
      <c r="E49" s="12">
        <v>61</v>
      </c>
      <c r="F49" s="8">
        <v>4.9400000000000004</v>
      </c>
      <c r="G49" s="12">
        <v>7</v>
      </c>
      <c r="H49" s="8">
        <v>1.33</v>
      </c>
      <c r="I49" s="12">
        <v>1</v>
      </c>
    </row>
    <row r="50" spans="2:9" ht="15" customHeight="1" x14ac:dyDescent="0.2">
      <c r="B50" t="s">
        <v>124</v>
      </c>
      <c r="C50" s="12">
        <v>62</v>
      </c>
      <c r="D50" s="8">
        <v>3.44</v>
      </c>
      <c r="E50" s="12">
        <v>45</v>
      </c>
      <c r="F50" s="8">
        <v>3.64</v>
      </c>
      <c r="G50" s="12">
        <v>17</v>
      </c>
      <c r="H50" s="8">
        <v>3.23</v>
      </c>
      <c r="I50" s="12">
        <v>0</v>
      </c>
    </row>
    <row r="51" spans="2:9" ht="15" customHeight="1" x14ac:dyDescent="0.2">
      <c r="B51" t="s">
        <v>134</v>
      </c>
      <c r="C51" s="12">
        <v>54</v>
      </c>
      <c r="D51" s="8">
        <v>3</v>
      </c>
      <c r="E51" s="12">
        <v>48</v>
      </c>
      <c r="F51" s="8">
        <v>3.89</v>
      </c>
      <c r="G51" s="12">
        <v>6</v>
      </c>
      <c r="H51" s="8">
        <v>1.1399999999999999</v>
      </c>
      <c r="I51" s="12">
        <v>0</v>
      </c>
    </row>
    <row r="52" spans="2:9" ht="15" customHeight="1" x14ac:dyDescent="0.2">
      <c r="B52" t="s">
        <v>122</v>
      </c>
      <c r="C52" s="12">
        <v>53</v>
      </c>
      <c r="D52" s="8">
        <v>2.94</v>
      </c>
      <c r="E52" s="12">
        <v>21</v>
      </c>
      <c r="F52" s="8">
        <v>1.7</v>
      </c>
      <c r="G52" s="12">
        <v>32</v>
      </c>
      <c r="H52" s="8">
        <v>6.07</v>
      </c>
      <c r="I52" s="12">
        <v>0</v>
      </c>
    </row>
    <row r="53" spans="2:9" ht="15" customHeight="1" x14ac:dyDescent="0.2">
      <c r="B53" t="s">
        <v>137</v>
      </c>
      <c r="C53" s="12">
        <v>49</v>
      </c>
      <c r="D53" s="8">
        <v>2.72</v>
      </c>
      <c r="E53" s="12">
        <v>47</v>
      </c>
      <c r="F53" s="8">
        <v>3.81</v>
      </c>
      <c r="G53" s="12">
        <v>2</v>
      </c>
      <c r="H53" s="8">
        <v>0.38</v>
      </c>
      <c r="I53" s="12">
        <v>0</v>
      </c>
    </row>
    <row r="54" spans="2:9" ht="15" customHeight="1" x14ac:dyDescent="0.2">
      <c r="B54" t="s">
        <v>140</v>
      </c>
      <c r="C54" s="12">
        <v>46</v>
      </c>
      <c r="D54" s="8">
        <v>2.56</v>
      </c>
      <c r="E54" s="12">
        <v>45</v>
      </c>
      <c r="F54" s="8">
        <v>3.64</v>
      </c>
      <c r="G54" s="12">
        <v>1</v>
      </c>
      <c r="H54" s="8">
        <v>0.19</v>
      </c>
      <c r="I54" s="12">
        <v>0</v>
      </c>
    </row>
    <row r="55" spans="2:9" ht="15" customHeight="1" x14ac:dyDescent="0.2">
      <c r="B55" t="s">
        <v>139</v>
      </c>
      <c r="C55" s="12">
        <v>42</v>
      </c>
      <c r="D55" s="8">
        <v>2.33</v>
      </c>
      <c r="E55" s="12">
        <v>41</v>
      </c>
      <c r="F55" s="8">
        <v>3.32</v>
      </c>
      <c r="G55" s="12">
        <v>1</v>
      </c>
      <c r="H55" s="8">
        <v>0.19</v>
      </c>
      <c r="I55" s="12">
        <v>0</v>
      </c>
    </row>
    <row r="56" spans="2:9" ht="15" customHeight="1" x14ac:dyDescent="0.2">
      <c r="B56" t="s">
        <v>135</v>
      </c>
      <c r="C56" s="12">
        <v>37</v>
      </c>
      <c r="D56" s="8">
        <v>2.06</v>
      </c>
      <c r="E56" s="12">
        <v>37</v>
      </c>
      <c r="F56" s="8">
        <v>3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130</v>
      </c>
      <c r="C57" s="12">
        <v>36</v>
      </c>
      <c r="D57" s="8">
        <v>2</v>
      </c>
      <c r="E57" s="12">
        <v>23</v>
      </c>
      <c r="F57" s="8">
        <v>1.86</v>
      </c>
      <c r="G57" s="12">
        <v>13</v>
      </c>
      <c r="H57" s="8">
        <v>2.4700000000000002</v>
      </c>
      <c r="I57" s="12">
        <v>0</v>
      </c>
    </row>
    <row r="58" spans="2:9" ht="15" customHeight="1" x14ac:dyDescent="0.2">
      <c r="B58" t="s">
        <v>123</v>
      </c>
      <c r="C58" s="12">
        <v>32</v>
      </c>
      <c r="D58" s="8">
        <v>1.78</v>
      </c>
      <c r="E58" s="12">
        <v>10</v>
      </c>
      <c r="F58" s="8">
        <v>0.81</v>
      </c>
      <c r="G58" s="12">
        <v>22</v>
      </c>
      <c r="H58" s="8">
        <v>4.17</v>
      </c>
      <c r="I58" s="12">
        <v>0</v>
      </c>
    </row>
    <row r="59" spans="2:9" ht="15" customHeight="1" x14ac:dyDescent="0.2">
      <c r="B59" t="s">
        <v>148</v>
      </c>
      <c r="C59" s="12">
        <v>30</v>
      </c>
      <c r="D59" s="8">
        <v>1.67</v>
      </c>
      <c r="E59" s="12">
        <v>28</v>
      </c>
      <c r="F59" s="8">
        <v>2.27</v>
      </c>
      <c r="G59" s="12">
        <v>2</v>
      </c>
      <c r="H59" s="8">
        <v>0.38</v>
      </c>
      <c r="I59" s="12">
        <v>0</v>
      </c>
    </row>
    <row r="60" spans="2:9" ht="15" customHeight="1" x14ac:dyDescent="0.2">
      <c r="B60" t="s">
        <v>143</v>
      </c>
      <c r="C60" s="12">
        <v>30</v>
      </c>
      <c r="D60" s="8">
        <v>1.67</v>
      </c>
      <c r="E60" s="12">
        <v>29</v>
      </c>
      <c r="F60" s="8">
        <v>2.35</v>
      </c>
      <c r="G60" s="12">
        <v>1</v>
      </c>
      <c r="H60" s="8">
        <v>0.19</v>
      </c>
      <c r="I60" s="12">
        <v>0</v>
      </c>
    </row>
    <row r="61" spans="2:9" ht="15" customHeight="1" x14ac:dyDescent="0.2">
      <c r="B61" t="s">
        <v>125</v>
      </c>
      <c r="C61" s="12">
        <v>29</v>
      </c>
      <c r="D61" s="8">
        <v>1.61</v>
      </c>
      <c r="E61" s="12">
        <v>13</v>
      </c>
      <c r="F61" s="8">
        <v>1.05</v>
      </c>
      <c r="G61" s="12">
        <v>16</v>
      </c>
      <c r="H61" s="8">
        <v>3.04</v>
      </c>
      <c r="I61" s="12">
        <v>0</v>
      </c>
    </row>
    <row r="62" spans="2:9" ht="15" customHeight="1" x14ac:dyDescent="0.2">
      <c r="B62" t="s">
        <v>127</v>
      </c>
      <c r="C62" s="12">
        <v>29</v>
      </c>
      <c r="D62" s="8">
        <v>1.61</v>
      </c>
      <c r="E62" s="12">
        <v>20</v>
      </c>
      <c r="F62" s="8">
        <v>1.62</v>
      </c>
      <c r="G62" s="12">
        <v>9</v>
      </c>
      <c r="H62" s="8">
        <v>1.71</v>
      </c>
      <c r="I62" s="12">
        <v>0</v>
      </c>
    </row>
    <row r="63" spans="2:9" ht="15" customHeight="1" x14ac:dyDescent="0.2">
      <c r="B63" t="s">
        <v>183</v>
      </c>
      <c r="C63" s="12">
        <v>28</v>
      </c>
      <c r="D63" s="8">
        <v>1.56</v>
      </c>
      <c r="E63" s="12">
        <v>23</v>
      </c>
      <c r="F63" s="8">
        <v>1.86</v>
      </c>
      <c r="G63" s="12">
        <v>5</v>
      </c>
      <c r="H63" s="8">
        <v>0.95</v>
      </c>
      <c r="I63" s="12">
        <v>0</v>
      </c>
    </row>
    <row r="64" spans="2:9" ht="15" customHeight="1" x14ac:dyDescent="0.2">
      <c r="B64" t="s">
        <v>141</v>
      </c>
      <c r="C64" s="12">
        <v>25</v>
      </c>
      <c r="D64" s="8">
        <v>1.39</v>
      </c>
      <c r="E64" s="12">
        <v>17</v>
      </c>
      <c r="F64" s="8">
        <v>1.38</v>
      </c>
      <c r="G64" s="12">
        <v>8</v>
      </c>
      <c r="H64" s="8">
        <v>1.52</v>
      </c>
      <c r="I64" s="12">
        <v>0</v>
      </c>
    </row>
    <row r="65" spans="2:9" ht="15" customHeight="1" x14ac:dyDescent="0.2">
      <c r="B65" t="s">
        <v>167</v>
      </c>
      <c r="C65" s="12">
        <v>24</v>
      </c>
      <c r="D65" s="8">
        <v>1.33</v>
      </c>
      <c r="E65" s="12">
        <v>18</v>
      </c>
      <c r="F65" s="8">
        <v>1.46</v>
      </c>
      <c r="G65" s="12">
        <v>6</v>
      </c>
      <c r="H65" s="8">
        <v>1.1399999999999999</v>
      </c>
      <c r="I65" s="12">
        <v>0</v>
      </c>
    </row>
    <row r="66" spans="2:9" ht="15" customHeight="1" x14ac:dyDescent="0.2">
      <c r="B66" t="s">
        <v>184</v>
      </c>
      <c r="C66" s="12">
        <v>24</v>
      </c>
      <c r="D66" s="8">
        <v>1.33</v>
      </c>
      <c r="E66" s="12">
        <v>3</v>
      </c>
      <c r="F66" s="8">
        <v>0.24</v>
      </c>
      <c r="G66" s="12">
        <v>3</v>
      </c>
      <c r="H66" s="8">
        <v>0.56999999999999995</v>
      </c>
      <c r="I66" s="12">
        <v>0</v>
      </c>
    </row>
    <row r="68" spans="2:9" ht="15" customHeight="1" x14ac:dyDescent="0.2">
      <c r="B68" t="s">
        <v>235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CC008-8901-459E-96A2-33A81185DFEB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255</v>
      </c>
    </row>
    <row r="4" spans="2:9" ht="33" customHeight="1" x14ac:dyDescent="0.2">
      <c r="B4" t="s">
        <v>231</v>
      </c>
      <c r="C4" s="10" t="s">
        <v>59</v>
      </c>
      <c r="D4" s="10" t="s">
        <v>60</v>
      </c>
      <c r="E4" s="10" t="s">
        <v>61</v>
      </c>
      <c r="F4" s="10" t="s">
        <v>62</v>
      </c>
      <c r="G4" s="10" t="s">
        <v>63</v>
      </c>
      <c r="H4" s="10" t="s">
        <v>64</v>
      </c>
      <c r="I4" s="10" t="s">
        <v>65</v>
      </c>
    </row>
    <row r="5" spans="2:9" ht="15" customHeight="1" x14ac:dyDescent="0.2">
      <c r="B5" t="s">
        <v>43</v>
      </c>
      <c r="C5" s="12">
        <v>1</v>
      </c>
      <c r="D5" s="8">
        <v>7.0000000000000007E-2</v>
      </c>
      <c r="E5" s="12">
        <v>0</v>
      </c>
      <c r="F5" s="8">
        <v>0</v>
      </c>
      <c r="G5" s="12">
        <v>1</v>
      </c>
      <c r="H5" s="8">
        <v>0.21</v>
      </c>
      <c r="I5" s="12">
        <v>0</v>
      </c>
    </row>
    <row r="6" spans="2:9" ht="15" customHeight="1" x14ac:dyDescent="0.2">
      <c r="B6" t="s">
        <v>44</v>
      </c>
      <c r="C6" s="12">
        <v>230</v>
      </c>
      <c r="D6" s="8">
        <v>16.920000000000002</v>
      </c>
      <c r="E6" s="12">
        <v>116</v>
      </c>
      <c r="F6" s="8">
        <v>13.36</v>
      </c>
      <c r="G6" s="12">
        <v>114</v>
      </c>
      <c r="H6" s="8">
        <v>23.8</v>
      </c>
      <c r="I6" s="12">
        <v>0</v>
      </c>
    </row>
    <row r="7" spans="2:9" ht="15" customHeight="1" x14ac:dyDescent="0.2">
      <c r="B7" t="s">
        <v>45</v>
      </c>
      <c r="C7" s="12">
        <v>127</v>
      </c>
      <c r="D7" s="8">
        <v>9.35</v>
      </c>
      <c r="E7" s="12">
        <v>66</v>
      </c>
      <c r="F7" s="8">
        <v>7.6</v>
      </c>
      <c r="G7" s="12">
        <v>60</v>
      </c>
      <c r="H7" s="8">
        <v>12.53</v>
      </c>
      <c r="I7" s="12">
        <v>1</v>
      </c>
    </row>
    <row r="8" spans="2:9" ht="15" customHeight="1" x14ac:dyDescent="0.2">
      <c r="B8" t="s">
        <v>46</v>
      </c>
      <c r="C8" s="12">
        <v>2</v>
      </c>
      <c r="D8" s="8">
        <v>0.15</v>
      </c>
      <c r="E8" s="12">
        <v>0</v>
      </c>
      <c r="F8" s="8">
        <v>0</v>
      </c>
      <c r="G8" s="12">
        <v>2</v>
      </c>
      <c r="H8" s="8">
        <v>0.42</v>
      </c>
      <c r="I8" s="12">
        <v>0</v>
      </c>
    </row>
    <row r="9" spans="2:9" ht="15" customHeight="1" x14ac:dyDescent="0.2">
      <c r="B9" t="s">
        <v>47</v>
      </c>
      <c r="C9" s="12">
        <v>10</v>
      </c>
      <c r="D9" s="8">
        <v>0.74</v>
      </c>
      <c r="E9" s="12">
        <v>2</v>
      </c>
      <c r="F9" s="8">
        <v>0.23</v>
      </c>
      <c r="G9" s="12">
        <v>8</v>
      </c>
      <c r="H9" s="8">
        <v>1.67</v>
      </c>
      <c r="I9" s="12">
        <v>0</v>
      </c>
    </row>
    <row r="10" spans="2:9" ht="15" customHeight="1" x14ac:dyDescent="0.2">
      <c r="B10" t="s">
        <v>48</v>
      </c>
      <c r="C10" s="12">
        <v>15</v>
      </c>
      <c r="D10" s="8">
        <v>1.1000000000000001</v>
      </c>
      <c r="E10" s="12">
        <v>5</v>
      </c>
      <c r="F10" s="8">
        <v>0.57999999999999996</v>
      </c>
      <c r="G10" s="12">
        <v>8</v>
      </c>
      <c r="H10" s="8">
        <v>1.67</v>
      </c>
      <c r="I10" s="12">
        <v>2</v>
      </c>
    </row>
    <row r="11" spans="2:9" ht="15" customHeight="1" x14ac:dyDescent="0.2">
      <c r="B11" t="s">
        <v>49</v>
      </c>
      <c r="C11" s="12">
        <v>303</v>
      </c>
      <c r="D11" s="8">
        <v>22.3</v>
      </c>
      <c r="E11" s="12">
        <v>159</v>
      </c>
      <c r="F11" s="8">
        <v>18.32</v>
      </c>
      <c r="G11" s="12">
        <v>144</v>
      </c>
      <c r="H11" s="8">
        <v>30.06</v>
      </c>
      <c r="I11" s="12">
        <v>0</v>
      </c>
    </row>
    <row r="12" spans="2:9" ht="15" customHeight="1" x14ac:dyDescent="0.2">
      <c r="B12" t="s">
        <v>50</v>
      </c>
      <c r="C12" s="12">
        <v>7</v>
      </c>
      <c r="D12" s="8">
        <v>0.52</v>
      </c>
      <c r="E12" s="12">
        <v>3</v>
      </c>
      <c r="F12" s="8">
        <v>0.35</v>
      </c>
      <c r="G12" s="12">
        <v>4</v>
      </c>
      <c r="H12" s="8">
        <v>0.84</v>
      </c>
      <c r="I12" s="12">
        <v>0</v>
      </c>
    </row>
    <row r="13" spans="2:9" ht="15" customHeight="1" x14ac:dyDescent="0.2">
      <c r="B13" t="s">
        <v>51</v>
      </c>
      <c r="C13" s="12">
        <v>70</v>
      </c>
      <c r="D13" s="8">
        <v>5.15</v>
      </c>
      <c r="E13" s="12">
        <v>51</v>
      </c>
      <c r="F13" s="8">
        <v>5.88</v>
      </c>
      <c r="G13" s="12">
        <v>19</v>
      </c>
      <c r="H13" s="8">
        <v>3.97</v>
      </c>
      <c r="I13" s="12">
        <v>0</v>
      </c>
    </row>
    <row r="14" spans="2:9" ht="15" customHeight="1" x14ac:dyDescent="0.2">
      <c r="B14" t="s">
        <v>52</v>
      </c>
      <c r="C14" s="12">
        <v>54</v>
      </c>
      <c r="D14" s="8">
        <v>3.97</v>
      </c>
      <c r="E14" s="12">
        <v>27</v>
      </c>
      <c r="F14" s="8">
        <v>3.11</v>
      </c>
      <c r="G14" s="12">
        <v>25</v>
      </c>
      <c r="H14" s="8">
        <v>5.22</v>
      </c>
      <c r="I14" s="12">
        <v>0</v>
      </c>
    </row>
    <row r="15" spans="2:9" ht="15" customHeight="1" x14ac:dyDescent="0.2">
      <c r="B15" t="s">
        <v>53</v>
      </c>
      <c r="C15" s="12">
        <v>215</v>
      </c>
      <c r="D15" s="8">
        <v>15.82</v>
      </c>
      <c r="E15" s="12">
        <v>188</v>
      </c>
      <c r="F15" s="8">
        <v>21.66</v>
      </c>
      <c r="G15" s="12">
        <v>27</v>
      </c>
      <c r="H15" s="8">
        <v>5.64</v>
      </c>
      <c r="I15" s="12">
        <v>0</v>
      </c>
    </row>
    <row r="16" spans="2:9" ht="15" customHeight="1" x14ac:dyDescent="0.2">
      <c r="B16" t="s">
        <v>54</v>
      </c>
      <c r="C16" s="12">
        <v>178</v>
      </c>
      <c r="D16" s="8">
        <v>13.1</v>
      </c>
      <c r="E16" s="12">
        <v>157</v>
      </c>
      <c r="F16" s="8">
        <v>18.09</v>
      </c>
      <c r="G16" s="12">
        <v>21</v>
      </c>
      <c r="H16" s="8">
        <v>4.38</v>
      </c>
      <c r="I16" s="12">
        <v>0</v>
      </c>
    </row>
    <row r="17" spans="2:9" ht="15" customHeight="1" x14ac:dyDescent="0.2">
      <c r="B17" t="s">
        <v>55</v>
      </c>
      <c r="C17" s="12">
        <v>50</v>
      </c>
      <c r="D17" s="8">
        <v>3.68</v>
      </c>
      <c r="E17" s="12">
        <v>41</v>
      </c>
      <c r="F17" s="8">
        <v>4.72</v>
      </c>
      <c r="G17" s="12">
        <v>5</v>
      </c>
      <c r="H17" s="8">
        <v>1.04</v>
      </c>
      <c r="I17" s="12">
        <v>0</v>
      </c>
    </row>
    <row r="18" spans="2:9" ht="15" customHeight="1" x14ac:dyDescent="0.2">
      <c r="B18" t="s">
        <v>56</v>
      </c>
      <c r="C18" s="12">
        <v>69</v>
      </c>
      <c r="D18" s="8">
        <v>5.08</v>
      </c>
      <c r="E18" s="12">
        <v>41</v>
      </c>
      <c r="F18" s="8">
        <v>4.72</v>
      </c>
      <c r="G18" s="12">
        <v>26</v>
      </c>
      <c r="H18" s="8">
        <v>5.43</v>
      </c>
      <c r="I18" s="12">
        <v>0</v>
      </c>
    </row>
    <row r="19" spans="2:9" ht="15" customHeight="1" x14ac:dyDescent="0.2">
      <c r="B19" t="s">
        <v>57</v>
      </c>
      <c r="C19" s="12">
        <v>28</v>
      </c>
      <c r="D19" s="8">
        <v>2.06</v>
      </c>
      <c r="E19" s="12">
        <v>12</v>
      </c>
      <c r="F19" s="8">
        <v>1.38</v>
      </c>
      <c r="G19" s="12">
        <v>15</v>
      </c>
      <c r="H19" s="8">
        <v>3.13</v>
      </c>
      <c r="I19" s="12">
        <v>0</v>
      </c>
    </row>
    <row r="20" spans="2:9" ht="15" customHeight="1" x14ac:dyDescent="0.2">
      <c r="B20" s="9" t="s">
        <v>232</v>
      </c>
      <c r="C20" s="12">
        <f>SUM(LTBL_21220[総数／事業所数])</f>
        <v>1359</v>
      </c>
      <c r="E20" s="12">
        <f>SUBTOTAL(109,LTBL_21220[個人／事業所数])</f>
        <v>868</v>
      </c>
      <c r="G20" s="12">
        <f>SUBTOTAL(109,LTBL_21220[法人／事業所数])</f>
        <v>479</v>
      </c>
      <c r="I20" s="12">
        <f>SUBTOTAL(109,LTBL_21220[法人以外の団体／事業所数])</f>
        <v>3</v>
      </c>
    </row>
    <row r="21" spans="2:9" ht="15" customHeight="1" x14ac:dyDescent="0.2">
      <c r="E21" s="11">
        <f>LTBL_21220[[#Totals],[個人／事業所数]]/LTBL_21220[[#Totals],[総数／事業所数]]</f>
        <v>0.63870493009565854</v>
      </c>
      <c r="G21" s="11">
        <f>LTBL_21220[[#Totals],[法人／事業所数]]/LTBL_21220[[#Totals],[総数／事業所数]]</f>
        <v>0.35246504782928623</v>
      </c>
      <c r="I21" s="11">
        <f>LTBL_21220[[#Totals],[法人以外の団体／事業所数]]/LTBL_21220[[#Totals],[総数／事業所数]]</f>
        <v>2.2075055187637969E-3</v>
      </c>
    </row>
    <row r="23" spans="2:9" ht="33" customHeight="1" x14ac:dyDescent="0.2">
      <c r="B23" t="s">
        <v>233</v>
      </c>
      <c r="C23" s="10" t="s">
        <v>59</v>
      </c>
      <c r="D23" s="10" t="s">
        <v>60</v>
      </c>
      <c r="E23" s="10" t="s">
        <v>61</v>
      </c>
      <c r="F23" s="10" t="s">
        <v>62</v>
      </c>
      <c r="G23" s="10" t="s">
        <v>63</v>
      </c>
      <c r="H23" s="10" t="s">
        <v>64</v>
      </c>
      <c r="I23" s="10" t="s">
        <v>65</v>
      </c>
    </row>
    <row r="24" spans="2:9" ht="15" customHeight="1" x14ac:dyDescent="0.2">
      <c r="B24" t="s">
        <v>81</v>
      </c>
      <c r="C24" s="12">
        <v>172</v>
      </c>
      <c r="D24" s="8">
        <v>12.66</v>
      </c>
      <c r="E24" s="12">
        <v>159</v>
      </c>
      <c r="F24" s="8">
        <v>18.32</v>
      </c>
      <c r="G24" s="12">
        <v>13</v>
      </c>
      <c r="H24" s="8">
        <v>2.71</v>
      </c>
      <c r="I24" s="12">
        <v>0</v>
      </c>
    </row>
    <row r="25" spans="2:9" ht="15" customHeight="1" x14ac:dyDescent="0.2">
      <c r="B25" t="s">
        <v>82</v>
      </c>
      <c r="C25" s="12">
        <v>161</v>
      </c>
      <c r="D25" s="8">
        <v>11.85</v>
      </c>
      <c r="E25" s="12">
        <v>148</v>
      </c>
      <c r="F25" s="8">
        <v>17.05</v>
      </c>
      <c r="G25" s="12">
        <v>13</v>
      </c>
      <c r="H25" s="8">
        <v>2.71</v>
      </c>
      <c r="I25" s="12">
        <v>0</v>
      </c>
    </row>
    <row r="26" spans="2:9" ht="15" customHeight="1" x14ac:dyDescent="0.2">
      <c r="B26" t="s">
        <v>66</v>
      </c>
      <c r="C26" s="12">
        <v>97</v>
      </c>
      <c r="D26" s="8">
        <v>7.14</v>
      </c>
      <c r="E26" s="12">
        <v>38</v>
      </c>
      <c r="F26" s="8">
        <v>4.38</v>
      </c>
      <c r="G26" s="12">
        <v>59</v>
      </c>
      <c r="H26" s="8">
        <v>12.32</v>
      </c>
      <c r="I26" s="12">
        <v>0</v>
      </c>
    </row>
    <row r="27" spans="2:9" ht="15" customHeight="1" x14ac:dyDescent="0.2">
      <c r="B27" t="s">
        <v>67</v>
      </c>
      <c r="C27" s="12">
        <v>95</v>
      </c>
      <c r="D27" s="8">
        <v>6.99</v>
      </c>
      <c r="E27" s="12">
        <v>64</v>
      </c>
      <c r="F27" s="8">
        <v>7.37</v>
      </c>
      <c r="G27" s="12">
        <v>31</v>
      </c>
      <c r="H27" s="8">
        <v>6.47</v>
      </c>
      <c r="I27" s="12">
        <v>0</v>
      </c>
    </row>
    <row r="28" spans="2:9" ht="15" customHeight="1" x14ac:dyDescent="0.2">
      <c r="B28" t="s">
        <v>77</v>
      </c>
      <c r="C28" s="12">
        <v>72</v>
      </c>
      <c r="D28" s="8">
        <v>5.3</v>
      </c>
      <c r="E28" s="12">
        <v>30</v>
      </c>
      <c r="F28" s="8">
        <v>3.46</v>
      </c>
      <c r="G28" s="12">
        <v>42</v>
      </c>
      <c r="H28" s="8">
        <v>8.77</v>
      </c>
      <c r="I28" s="12">
        <v>0</v>
      </c>
    </row>
    <row r="29" spans="2:9" ht="15" customHeight="1" x14ac:dyDescent="0.2">
      <c r="B29" t="s">
        <v>75</v>
      </c>
      <c r="C29" s="12">
        <v>69</v>
      </c>
      <c r="D29" s="8">
        <v>5.08</v>
      </c>
      <c r="E29" s="12">
        <v>44</v>
      </c>
      <c r="F29" s="8">
        <v>5.07</v>
      </c>
      <c r="G29" s="12">
        <v>25</v>
      </c>
      <c r="H29" s="8">
        <v>5.22</v>
      </c>
      <c r="I29" s="12">
        <v>0</v>
      </c>
    </row>
    <row r="30" spans="2:9" ht="15" customHeight="1" x14ac:dyDescent="0.2">
      <c r="B30" t="s">
        <v>78</v>
      </c>
      <c r="C30" s="12">
        <v>60</v>
      </c>
      <c r="D30" s="8">
        <v>4.42</v>
      </c>
      <c r="E30" s="12">
        <v>48</v>
      </c>
      <c r="F30" s="8">
        <v>5.53</v>
      </c>
      <c r="G30" s="12">
        <v>12</v>
      </c>
      <c r="H30" s="8">
        <v>2.5099999999999998</v>
      </c>
      <c r="I30" s="12">
        <v>0</v>
      </c>
    </row>
    <row r="31" spans="2:9" ht="15" customHeight="1" x14ac:dyDescent="0.2">
      <c r="B31" t="s">
        <v>76</v>
      </c>
      <c r="C31" s="12">
        <v>56</v>
      </c>
      <c r="D31" s="8">
        <v>4.12</v>
      </c>
      <c r="E31" s="12">
        <v>32</v>
      </c>
      <c r="F31" s="8">
        <v>3.69</v>
      </c>
      <c r="G31" s="12">
        <v>24</v>
      </c>
      <c r="H31" s="8">
        <v>5.01</v>
      </c>
      <c r="I31" s="12">
        <v>0</v>
      </c>
    </row>
    <row r="32" spans="2:9" ht="15" customHeight="1" x14ac:dyDescent="0.2">
      <c r="B32" t="s">
        <v>83</v>
      </c>
      <c r="C32" s="12">
        <v>50</v>
      </c>
      <c r="D32" s="8">
        <v>3.68</v>
      </c>
      <c r="E32" s="12">
        <v>41</v>
      </c>
      <c r="F32" s="8">
        <v>4.72</v>
      </c>
      <c r="G32" s="12">
        <v>5</v>
      </c>
      <c r="H32" s="8">
        <v>1.04</v>
      </c>
      <c r="I32" s="12">
        <v>0</v>
      </c>
    </row>
    <row r="33" spans="2:9" ht="15" customHeight="1" x14ac:dyDescent="0.2">
      <c r="B33" t="s">
        <v>84</v>
      </c>
      <c r="C33" s="12">
        <v>45</v>
      </c>
      <c r="D33" s="8">
        <v>3.31</v>
      </c>
      <c r="E33" s="12">
        <v>40</v>
      </c>
      <c r="F33" s="8">
        <v>4.6100000000000003</v>
      </c>
      <c r="G33" s="12">
        <v>5</v>
      </c>
      <c r="H33" s="8">
        <v>1.04</v>
      </c>
      <c r="I33" s="12">
        <v>0</v>
      </c>
    </row>
    <row r="34" spans="2:9" ht="15" customHeight="1" x14ac:dyDescent="0.2">
      <c r="B34" t="s">
        <v>74</v>
      </c>
      <c r="C34" s="12">
        <v>44</v>
      </c>
      <c r="D34" s="8">
        <v>3.24</v>
      </c>
      <c r="E34" s="12">
        <v>32</v>
      </c>
      <c r="F34" s="8">
        <v>3.69</v>
      </c>
      <c r="G34" s="12">
        <v>12</v>
      </c>
      <c r="H34" s="8">
        <v>2.5099999999999998</v>
      </c>
      <c r="I34" s="12">
        <v>0</v>
      </c>
    </row>
    <row r="35" spans="2:9" ht="15" customHeight="1" x14ac:dyDescent="0.2">
      <c r="B35" t="s">
        <v>68</v>
      </c>
      <c r="C35" s="12">
        <v>38</v>
      </c>
      <c r="D35" s="8">
        <v>2.8</v>
      </c>
      <c r="E35" s="12">
        <v>14</v>
      </c>
      <c r="F35" s="8">
        <v>1.61</v>
      </c>
      <c r="G35" s="12">
        <v>24</v>
      </c>
      <c r="H35" s="8">
        <v>5.01</v>
      </c>
      <c r="I35" s="12">
        <v>0</v>
      </c>
    </row>
    <row r="36" spans="2:9" ht="15" customHeight="1" x14ac:dyDescent="0.2">
      <c r="B36" t="s">
        <v>95</v>
      </c>
      <c r="C36" s="12">
        <v>35</v>
      </c>
      <c r="D36" s="8">
        <v>2.58</v>
      </c>
      <c r="E36" s="12">
        <v>24</v>
      </c>
      <c r="F36" s="8">
        <v>2.76</v>
      </c>
      <c r="G36" s="12">
        <v>11</v>
      </c>
      <c r="H36" s="8">
        <v>2.2999999999999998</v>
      </c>
      <c r="I36" s="12">
        <v>0</v>
      </c>
    </row>
    <row r="37" spans="2:9" ht="15" customHeight="1" x14ac:dyDescent="0.2">
      <c r="B37" t="s">
        <v>91</v>
      </c>
      <c r="C37" s="12">
        <v>32</v>
      </c>
      <c r="D37" s="8">
        <v>2.35</v>
      </c>
      <c r="E37" s="12">
        <v>15</v>
      </c>
      <c r="F37" s="8">
        <v>1.73</v>
      </c>
      <c r="G37" s="12">
        <v>16</v>
      </c>
      <c r="H37" s="8">
        <v>3.34</v>
      </c>
      <c r="I37" s="12">
        <v>1</v>
      </c>
    </row>
    <row r="38" spans="2:9" ht="15" customHeight="1" x14ac:dyDescent="0.2">
      <c r="B38" t="s">
        <v>80</v>
      </c>
      <c r="C38" s="12">
        <v>29</v>
      </c>
      <c r="D38" s="8">
        <v>2.13</v>
      </c>
      <c r="E38" s="12">
        <v>9</v>
      </c>
      <c r="F38" s="8">
        <v>1.04</v>
      </c>
      <c r="G38" s="12">
        <v>19</v>
      </c>
      <c r="H38" s="8">
        <v>3.97</v>
      </c>
      <c r="I38" s="12">
        <v>0</v>
      </c>
    </row>
    <row r="39" spans="2:9" ht="15" customHeight="1" x14ac:dyDescent="0.2">
      <c r="B39" t="s">
        <v>93</v>
      </c>
      <c r="C39" s="12">
        <v>24</v>
      </c>
      <c r="D39" s="8">
        <v>1.77</v>
      </c>
      <c r="E39" s="12">
        <v>18</v>
      </c>
      <c r="F39" s="8">
        <v>2.0699999999999998</v>
      </c>
      <c r="G39" s="12">
        <v>6</v>
      </c>
      <c r="H39" s="8">
        <v>1.25</v>
      </c>
      <c r="I39" s="12">
        <v>0</v>
      </c>
    </row>
    <row r="40" spans="2:9" ht="15" customHeight="1" x14ac:dyDescent="0.2">
      <c r="B40" t="s">
        <v>79</v>
      </c>
      <c r="C40" s="12">
        <v>24</v>
      </c>
      <c r="D40" s="8">
        <v>1.77</v>
      </c>
      <c r="E40" s="12">
        <v>18</v>
      </c>
      <c r="F40" s="8">
        <v>2.0699999999999998</v>
      </c>
      <c r="G40" s="12">
        <v>6</v>
      </c>
      <c r="H40" s="8">
        <v>1.25</v>
      </c>
      <c r="I40" s="12">
        <v>0</v>
      </c>
    </row>
    <row r="41" spans="2:9" ht="15" customHeight="1" x14ac:dyDescent="0.2">
      <c r="B41" t="s">
        <v>97</v>
      </c>
      <c r="C41" s="12">
        <v>24</v>
      </c>
      <c r="D41" s="8">
        <v>1.77</v>
      </c>
      <c r="E41" s="12">
        <v>1</v>
      </c>
      <c r="F41" s="8">
        <v>0.12</v>
      </c>
      <c r="G41" s="12">
        <v>21</v>
      </c>
      <c r="H41" s="8">
        <v>4.38</v>
      </c>
      <c r="I41" s="12">
        <v>0</v>
      </c>
    </row>
    <row r="42" spans="2:9" ht="15" customHeight="1" x14ac:dyDescent="0.2">
      <c r="B42" t="s">
        <v>105</v>
      </c>
      <c r="C42" s="12">
        <v>16</v>
      </c>
      <c r="D42" s="8">
        <v>1.18</v>
      </c>
      <c r="E42" s="12">
        <v>4</v>
      </c>
      <c r="F42" s="8">
        <v>0.46</v>
      </c>
      <c r="G42" s="12">
        <v>12</v>
      </c>
      <c r="H42" s="8">
        <v>2.5099999999999998</v>
      </c>
      <c r="I42" s="12">
        <v>0</v>
      </c>
    </row>
    <row r="43" spans="2:9" ht="15" customHeight="1" x14ac:dyDescent="0.2">
      <c r="B43" t="s">
        <v>73</v>
      </c>
      <c r="C43" s="12">
        <v>15</v>
      </c>
      <c r="D43" s="8">
        <v>1.1000000000000001</v>
      </c>
      <c r="E43" s="12">
        <v>6</v>
      </c>
      <c r="F43" s="8">
        <v>0.69</v>
      </c>
      <c r="G43" s="12">
        <v>9</v>
      </c>
      <c r="H43" s="8">
        <v>1.88</v>
      </c>
      <c r="I43" s="12">
        <v>0</v>
      </c>
    </row>
    <row r="46" spans="2:9" ht="33" customHeight="1" x14ac:dyDescent="0.2">
      <c r="B46" t="s">
        <v>234</v>
      </c>
      <c r="C46" s="10" t="s">
        <v>59</v>
      </c>
      <c r="D46" s="10" t="s">
        <v>60</v>
      </c>
      <c r="E46" s="10" t="s">
        <v>61</v>
      </c>
      <c r="F46" s="10" t="s">
        <v>62</v>
      </c>
      <c r="G46" s="10" t="s">
        <v>63</v>
      </c>
      <c r="H46" s="10" t="s">
        <v>64</v>
      </c>
      <c r="I46" s="10" t="s">
        <v>65</v>
      </c>
    </row>
    <row r="47" spans="2:9" ht="15" customHeight="1" x14ac:dyDescent="0.2">
      <c r="B47" t="s">
        <v>138</v>
      </c>
      <c r="C47" s="12">
        <v>83</v>
      </c>
      <c r="D47" s="8">
        <v>6.11</v>
      </c>
      <c r="E47" s="12">
        <v>81</v>
      </c>
      <c r="F47" s="8">
        <v>9.33</v>
      </c>
      <c r="G47" s="12">
        <v>2</v>
      </c>
      <c r="H47" s="8">
        <v>0.42</v>
      </c>
      <c r="I47" s="12">
        <v>0</v>
      </c>
    </row>
    <row r="48" spans="2:9" ht="15" customHeight="1" x14ac:dyDescent="0.2">
      <c r="B48" t="s">
        <v>136</v>
      </c>
      <c r="C48" s="12">
        <v>51</v>
      </c>
      <c r="D48" s="8">
        <v>3.75</v>
      </c>
      <c r="E48" s="12">
        <v>50</v>
      </c>
      <c r="F48" s="8">
        <v>5.76</v>
      </c>
      <c r="G48" s="12">
        <v>1</v>
      </c>
      <c r="H48" s="8">
        <v>0.21</v>
      </c>
      <c r="I48" s="12">
        <v>0</v>
      </c>
    </row>
    <row r="49" spans="2:9" ht="15" customHeight="1" x14ac:dyDescent="0.2">
      <c r="B49" t="s">
        <v>132</v>
      </c>
      <c r="C49" s="12">
        <v>50</v>
      </c>
      <c r="D49" s="8">
        <v>3.68</v>
      </c>
      <c r="E49" s="12">
        <v>46</v>
      </c>
      <c r="F49" s="8">
        <v>5.3</v>
      </c>
      <c r="G49" s="12">
        <v>4</v>
      </c>
      <c r="H49" s="8">
        <v>0.84</v>
      </c>
      <c r="I49" s="12">
        <v>0</v>
      </c>
    </row>
    <row r="50" spans="2:9" ht="15" customHeight="1" x14ac:dyDescent="0.2">
      <c r="B50" t="s">
        <v>137</v>
      </c>
      <c r="C50" s="12">
        <v>44</v>
      </c>
      <c r="D50" s="8">
        <v>3.24</v>
      </c>
      <c r="E50" s="12">
        <v>42</v>
      </c>
      <c r="F50" s="8">
        <v>4.84</v>
      </c>
      <c r="G50" s="12">
        <v>2</v>
      </c>
      <c r="H50" s="8">
        <v>0.42</v>
      </c>
      <c r="I50" s="12">
        <v>0</v>
      </c>
    </row>
    <row r="51" spans="2:9" ht="15" customHeight="1" x14ac:dyDescent="0.2">
      <c r="B51" t="s">
        <v>134</v>
      </c>
      <c r="C51" s="12">
        <v>36</v>
      </c>
      <c r="D51" s="8">
        <v>2.65</v>
      </c>
      <c r="E51" s="12">
        <v>32</v>
      </c>
      <c r="F51" s="8">
        <v>3.69</v>
      </c>
      <c r="G51" s="12">
        <v>4</v>
      </c>
      <c r="H51" s="8">
        <v>0.84</v>
      </c>
      <c r="I51" s="12">
        <v>0</v>
      </c>
    </row>
    <row r="52" spans="2:9" ht="15" customHeight="1" x14ac:dyDescent="0.2">
      <c r="B52" t="s">
        <v>140</v>
      </c>
      <c r="C52" s="12">
        <v>36</v>
      </c>
      <c r="D52" s="8">
        <v>2.65</v>
      </c>
      <c r="E52" s="12">
        <v>36</v>
      </c>
      <c r="F52" s="8">
        <v>4.1500000000000004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124</v>
      </c>
      <c r="C53" s="12">
        <v>35</v>
      </c>
      <c r="D53" s="8">
        <v>2.58</v>
      </c>
      <c r="E53" s="12">
        <v>22</v>
      </c>
      <c r="F53" s="8">
        <v>2.5299999999999998</v>
      </c>
      <c r="G53" s="12">
        <v>13</v>
      </c>
      <c r="H53" s="8">
        <v>2.71</v>
      </c>
      <c r="I53" s="12">
        <v>0</v>
      </c>
    </row>
    <row r="54" spans="2:9" ht="15" customHeight="1" x14ac:dyDescent="0.2">
      <c r="B54" t="s">
        <v>122</v>
      </c>
      <c r="C54" s="12">
        <v>33</v>
      </c>
      <c r="D54" s="8">
        <v>2.4300000000000002</v>
      </c>
      <c r="E54" s="12">
        <v>9</v>
      </c>
      <c r="F54" s="8">
        <v>1.04</v>
      </c>
      <c r="G54" s="12">
        <v>24</v>
      </c>
      <c r="H54" s="8">
        <v>5.01</v>
      </c>
      <c r="I54" s="12">
        <v>0</v>
      </c>
    </row>
    <row r="55" spans="2:9" ht="15" customHeight="1" x14ac:dyDescent="0.2">
      <c r="B55" t="s">
        <v>139</v>
      </c>
      <c r="C55" s="12">
        <v>28</v>
      </c>
      <c r="D55" s="8">
        <v>2.06</v>
      </c>
      <c r="E55" s="12">
        <v>27</v>
      </c>
      <c r="F55" s="8">
        <v>3.11</v>
      </c>
      <c r="G55" s="12">
        <v>1</v>
      </c>
      <c r="H55" s="8">
        <v>0.21</v>
      </c>
      <c r="I55" s="12">
        <v>0</v>
      </c>
    </row>
    <row r="56" spans="2:9" ht="15" customHeight="1" x14ac:dyDescent="0.2">
      <c r="B56" t="s">
        <v>163</v>
      </c>
      <c r="C56" s="12">
        <v>27</v>
      </c>
      <c r="D56" s="8">
        <v>1.99</v>
      </c>
      <c r="E56" s="12">
        <v>15</v>
      </c>
      <c r="F56" s="8">
        <v>1.73</v>
      </c>
      <c r="G56" s="12">
        <v>12</v>
      </c>
      <c r="H56" s="8">
        <v>2.5099999999999998</v>
      </c>
      <c r="I56" s="12">
        <v>0</v>
      </c>
    </row>
    <row r="57" spans="2:9" ht="15" customHeight="1" x14ac:dyDescent="0.2">
      <c r="B57" t="s">
        <v>128</v>
      </c>
      <c r="C57" s="12">
        <v>26</v>
      </c>
      <c r="D57" s="8">
        <v>1.91</v>
      </c>
      <c r="E57" s="12">
        <v>15</v>
      </c>
      <c r="F57" s="8">
        <v>1.73</v>
      </c>
      <c r="G57" s="12">
        <v>11</v>
      </c>
      <c r="H57" s="8">
        <v>2.2999999999999998</v>
      </c>
      <c r="I57" s="12">
        <v>0</v>
      </c>
    </row>
    <row r="58" spans="2:9" ht="15" customHeight="1" x14ac:dyDescent="0.2">
      <c r="B58" t="s">
        <v>133</v>
      </c>
      <c r="C58" s="12">
        <v>25</v>
      </c>
      <c r="D58" s="8">
        <v>1.84</v>
      </c>
      <c r="E58" s="12">
        <v>7</v>
      </c>
      <c r="F58" s="8">
        <v>0.81</v>
      </c>
      <c r="G58" s="12">
        <v>17</v>
      </c>
      <c r="H58" s="8">
        <v>3.55</v>
      </c>
      <c r="I58" s="12">
        <v>0</v>
      </c>
    </row>
    <row r="59" spans="2:9" ht="15" customHeight="1" x14ac:dyDescent="0.2">
      <c r="B59" t="s">
        <v>149</v>
      </c>
      <c r="C59" s="12">
        <v>25</v>
      </c>
      <c r="D59" s="8">
        <v>1.84</v>
      </c>
      <c r="E59" s="12">
        <v>15</v>
      </c>
      <c r="F59" s="8">
        <v>1.73</v>
      </c>
      <c r="G59" s="12">
        <v>10</v>
      </c>
      <c r="H59" s="8">
        <v>2.09</v>
      </c>
      <c r="I59" s="12">
        <v>0</v>
      </c>
    </row>
    <row r="60" spans="2:9" ht="15" customHeight="1" x14ac:dyDescent="0.2">
      <c r="B60" t="s">
        <v>123</v>
      </c>
      <c r="C60" s="12">
        <v>23</v>
      </c>
      <c r="D60" s="8">
        <v>1.69</v>
      </c>
      <c r="E60" s="12">
        <v>4</v>
      </c>
      <c r="F60" s="8">
        <v>0.46</v>
      </c>
      <c r="G60" s="12">
        <v>19</v>
      </c>
      <c r="H60" s="8">
        <v>3.97</v>
      </c>
      <c r="I60" s="12">
        <v>0</v>
      </c>
    </row>
    <row r="61" spans="2:9" ht="15" customHeight="1" x14ac:dyDescent="0.2">
      <c r="B61" t="s">
        <v>135</v>
      </c>
      <c r="C61" s="12">
        <v>23</v>
      </c>
      <c r="D61" s="8">
        <v>1.69</v>
      </c>
      <c r="E61" s="12">
        <v>20</v>
      </c>
      <c r="F61" s="8">
        <v>2.2999999999999998</v>
      </c>
      <c r="G61" s="12">
        <v>3</v>
      </c>
      <c r="H61" s="8">
        <v>0.63</v>
      </c>
      <c r="I61" s="12">
        <v>0</v>
      </c>
    </row>
    <row r="62" spans="2:9" ht="15" customHeight="1" x14ac:dyDescent="0.2">
      <c r="B62" t="s">
        <v>143</v>
      </c>
      <c r="C62" s="12">
        <v>23</v>
      </c>
      <c r="D62" s="8">
        <v>1.69</v>
      </c>
      <c r="E62" s="12">
        <v>23</v>
      </c>
      <c r="F62" s="8">
        <v>2.65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148</v>
      </c>
      <c r="C63" s="12">
        <v>21</v>
      </c>
      <c r="D63" s="8">
        <v>1.55</v>
      </c>
      <c r="E63" s="12">
        <v>14</v>
      </c>
      <c r="F63" s="8">
        <v>1.61</v>
      </c>
      <c r="G63" s="12">
        <v>7</v>
      </c>
      <c r="H63" s="8">
        <v>1.46</v>
      </c>
      <c r="I63" s="12">
        <v>0</v>
      </c>
    </row>
    <row r="64" spans="2:9" ht="15" customHeight="1" x14ac:dyDescent="0.2">
      <c r="B64" t="s">
        <v>125</v>
      </c>
      <c r="C64" s="12">
        <v>20</v>
      </c>
      <c r="D64" s="8">
        <v>1.47</v>
      </c>
      <c r="E64" s="12">
        <v>9</v>
      </c>
      <c r="F64" s="8">
        <v>1.04</v>
      </c>
      <c r="G64" s="12">
        <v>11</v>
      </c>
      <c r="H64" s="8">
        <v>2.2999999999999998</v>
      </c>
      <c r="I64" s="12">
        <v>0</v>
      </c>
    </row>
    <row r="65" spans="2:9" ht="15" customHeight="1" x14ac:dyDescent="0.2">
      <c r="B65" t="s">
        <v>127</v>
      </c>
      <c r="C65" s="12">
        <v>20</v>
      </c>
      <c r="D65" s="8">
        <v>1.47</v>
      </c>
      <c r="E65" s="12">
        <v>10</v>
      </c>
      <c r="F65" s="8">
        <v>1.1499999999999999</v>
      </c>
      <c r="G65" s="12">
        <v>10</v>
      </c>
      <c r="H65" s="8">
        <v>2.09</v>
      </c>
      <c r="I65" s="12">
        <v>0</v>
      </c>
    </row>
    <row r="66" spans="2:9" ht="15" customHeight="1" x14ac:dyDescent="0.2">
      <c r="B66" t="s">
        <v>167</v>
      </c>
      <c r="C66" s="12">
        <v>20</v>
      </c>
      <c r="D66" s="8">
        <v>1.47</v>
      </c>
      <c r="E66" s="12">
        <v>17</v>
      </c>
      <c r="F66" s="8">
        <v>1.96</v>
      </c>
      <c r="G66" s="12">
        <v>3</v>
      </c>
      <c r="H66" s="8">
        <v>0.63</v>
      </c>
      <c r="I66" s="12">
        <v>0</v>
      </c>
    </row>
    <row r="68" spans="2:9" ht="15" customHeight="1" x14ac:dyDescent="0.2">
      <c r="B68" t="s">
        <v>235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22ACD5-384C-4D32-8429-FDA47B82EEEA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256</v>
      </c>
    </row>
    <row r="4" spans="2:9" ht="33" customHeight="1" x14ac:dyDescent="0.2">
      <c r="B4" t="s">
        <v>231</v>
      </c>
      <c r="C4" s="10" t="s">
        <v>59</v>
      </c>
      <c r="D4" s="10" t="s">
        <v>60</v>
      </c>
      <c r="E4" s="10" t="s">
        <v>61</v>
      </c>
      <c r="F4" s="10" t="s">
        <v>62</v>
      </c>
      <c r="G4" s="10" t="s">
        <v>63</v>
      </c>
      <c r="H4" s="10" t="s">
        <v>64</v>
      </c>
      <c r="I4" s="10" t="s">
        <v>65</v>
      </c>
    </row>
    <row r="5" spans="2:9" ht="15" customHeight="1" x14ac:dyDescent="0.2">
      <c r="B5" t="s">
        <v>43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44</v>
      </c>
      <c r="C6" s="12">
        <v>121</v>
      </c>
      <c r="D6" s="8">
        <v>13.81</v>
      </c>
      <c r="E6" s="12">
        <v>54</v>
      </c>
      <c r="F6" s="8">
        <v>10.4</v>
      </c>
      <c r="G6" s="12">
        <v>67</v>
      </c>
      <c r="H6" s="8">
        <v>19.940000000000001</v>
      </c>
      <c r="I6" s="12">
        <v>0</v>
      </c>
    </row>
    <row r="7" spans="2:9" ht="15" customHeight="1" x14ac:dyDescent="0.2">
      <c r="B7" t="s">
        <v>45</v>
      </c>
      <c r="C7" s="12">
        <v>149</v>
      </c>
      <c r="D7" s="8">
        <v>17.010000000000002</v>
      </c>
      <c r="E7" s="12">
        <v>66</v>
      </c>
      <c r="F7" s="8">
        <v>12.72</v>
      </c>
      <c r="G7" s="12">
        <v>83</v>
      </c>
      <c r="H7" s="8">
        <v>24.7</v>
      </c>
      <c r="I7" s="12">
        <v>0</v>
      </c>
    </row>
    <row r="8" spans="2:9" ht="15" customHeight="1" x14ac:dyDescent="0.2">
      <c r="B8" t="s">
        <v>46</v>
      </c>
      <c r="C8" s="12">
        <v>3</v>
      </c>
      <c r="D8" s="8">
        <v>0.34</v>
      </c>
      <c r="E8" s="12">
        <v>0</v>
      </c>
      <c r="F8" s="8">
        <v>0</v>
      </c>
      <c r="G8" s="12">
        <v>1</v>
      </c>
      <c r="H8" s="8">
        <v>0.3</v>
      </c>
      <c r="I8" s="12">
        <v>0</v>
      </c>
    </row>
    <row r="9" spans="2:9" ht="15" customHeight="1" x14ac:dyDescent="0.2">
      <c r="B9" t="s">
        <v>47</v>
      </c>
      <c r="C9" s="12">
        <v>4</v>
      </c>
      <c r="D9" s="8">
        <v>0.46</v>
      </c>
      <c r="E9" s="12">
        <v>0</v>
      </c>
      <c r="F9" s="8">
        <v>0</v>
      </c>
      <c r="G9" s="12">
        <v>4</v>
      </c>
      <c r="H9" s="8">
        <v>1.19</v>
      </c>
      <c r="I9" s="12">
        <v>0</v>
      </c>
    </row>
    <row r="10" spans="2:9" ht="15" customHeight="1" x14ac:dyDescent="0.2">
      <c r="B10" t="s">
        <v>48</v>
      </c>
      <c r="C10" s="12">
        <v>11</v>
      </c>
      <c r="D10" s="8">
        <v>1.26</v>
      </c>
      <c r="E10" s="12">
        <v>3</v>
      </c>
      <c r="F10" s="8">
        <v>0.57999999999999996</v>
      </c>
      <c r="G10" s="12">
        <v>8</v>
      </c>
      <c r="H10" s="8">
        <v>2.38</v>
      </c>
      <c r="I10" s="12">
        <v>0</v>
      </c>
    </row>
    <row r="11" spans="2:9" ht="15" customHeight="1" x14ac:dyDescent="0.2">
      <c r="B11" t="s">
        <v>49</v>
      </c>
      <c r="C11" s="12">
        <v>259</v>
      </c>
      <c r="D11" s="8">
        <v>29.57</v>
      </c>
      <c r="E11" s="12">
        <v>167</v>
      </c>
      <c r="F11" s="8">
        <v>32.18</v>
      </c>
      <c r="G11" s="12">
        <v>92</v>
      </c>
      <c r="H11" s="8">
        <v>27.38</v>
      </c>
      <c r="I11" s="12">
        <v>0</v>
      </c>
    </row>
    <row r="12" spans="2:9" ht="15" customHeight="1" x14ac:dyDescent="0.2">
      <c r="B12" t="s">
        <v>50</v>
      </c>
      <c r="C12" s="12">
        <v>3</v>
      </c>
      <c r="D12" s="8">
        <v>0.34</v>
      </c>
      <c r="E12" s="12">
        <v>1</v>
      </c>
      <c r="F12" s="8">
        <v>0.19</v>
      </c>
      <c r="G12" s="12">
        <v>2</v>
      </c>
      <c r="H12" s="8">
        <v>0.6</v>
      </c>
      <c r="I12" s="12">
        <v>0</v>
      </c>
    </row>
    <row r="13" spans="2:9" ht="15" customHeight="1" x14ac:dyDescent="0.2">
      <c r="B13" t="s">
        <v>51</v>
      </c>
      <c r="C13" s="12">
        <v>28</v>
      </c>
      <c r="D13" s="8">
        <v>3.2</v>
      </c>
      <c r="E13" s="12">
        <v>13</v>
      </c>
      <c r="F13" s="8">
        <v>2.5</v>
      </c>
      <c r="G13" s="12">
        <v>15</v>
      </c>
      <c r="H13" s="8">
        <v>4.46</v>
      </c>
      <c r="I13" s="12">
        <v>0</v>
      </c>
    </row>
    <row r="14" spans="2:9" ht="15" customHeight="1" x14ac:dyDescent="0.2">
      <c r="B14" t="s">
        <v>52</v>
      </c>
      <c r="C14" s="12">
        <v>32</v>
      </c>
      <c r="D14" s="8">
        <v>3.65</v>
      </c>
      <c r="E14" s="12">
        <v>17</v>
      </c>
      <c r="F14" s="8">
        <v>3.28</v>
      </c>
      <c r="G14" s="12">
        <v>12</v>
      </c>
      <c r="H14" s="8">
        <v>3.57</v>
      </c>
      <c r="I14" s="12">
        <v>0</v>
      </c>
    </row>
    <row r="15" spans="2:9" ht="15" customHeight="1" x14ac:dyDescent="0.2">
      <c r="B15" t="s">
        <v>53</v>
      </c>
      <c r="C15" s="12">
        <v>76</v>
      </c>
      <c r="D15" s="8">
        <v>8.68</v>
      </c>
      <c r="E15" s="12">
        <v>63</v>
      </c>
      <c r="F15" s="8">
        <v>12.14</v>
      </c>
      <c r="G15" s="12">
        <v>13</v>
      </c>
      <c r="H15" s="8">
        <v>3.87</v>
      </c>
      <c r="I15" s="12">
        <v>0</v>
      </c>
    </row>
    <row r="16" spans="2:9" ht="15" customHeight="1" x14ac:dyDescent="0.2">
      <c r="B16" t="s">
        <v>54</v>
      </c>
      <c r="C16" s="12">
        <v>100</v>
      </c>
      <c r="D16" s="8">
        <v>11.42</v>
      </c>
      <c r="E16" s="12">
        <v>82</v>
      </c>
      <c r="F16" s="8">
        <v>15.8</v>
      </c>
      <c r="G16" s="12">
        <v>17</v>
      </c>
      <c r="H16" s="8">
        <v>5.0599999999999996</v>
      </c>
      <c r="I16" s="12">
        <v>0</v>
      </c>
    </row>
    <row r="17" spans="2:9" ht="15" customHeight="1" x14ac:dyDescent="0.2">
      <c r="B17" t="s">
        <v>55</v>
      </c>
      <c r="C17" s="12">
        <v>23</v>
      </c>
      <c r="D17" s="8">
        <v>2.63</v>
      </c>
      <c r="E17" s="12">
        <v>14</v>
      </c>
      <c r="F17" s="8">
        <v>2.7</v>
      </c>
      <c r="G17" s="12">
        <v>6</v>
      </c>
      <c r="H17" s="8">
        <v>1.79</v>
      </c>
      <c r="I17" s="12">
        <v>0</v>
      </c>
    </row>
    <row r="18" spans="2:9" ht="15" customHeight="1" x14ac:dyDescent="0.2">
      <c r="B18" t="s">
        <v>56</v>
      </c>
      <c r="C18" s="12">
        <v>44</v>
      </c>
      <c r="D18" s="8">
        <v>5.0199999999999996</v>
      </c>
      <c r="E18" s="12">
        <v>27</v>
      </c>
      <c r="F18" s="8">
        <v>5.2</v>
      </c>
      <c r="G18" s="12">
        <v>8</v>
      </c>
      <c r="H18" s="8">
        <v>2.38</v>
      </c>
      <c r="I18" s="12">
        <v>0</v>
      </c>
    </row>
    <row r="19" spans="2:9" ht="15" customHeight="1" x14ac:dyDescent="0.2">
      <c r="B19" t="s">
        <v>57</v>
      </c>
      <c r="C19" s="12">
        <v>23</v>
      </c>
      <c r="D19" s="8">
        <v>2.63</v>
      </c>
      <c r="E19" s="12">
        <v>12</v>
      </c>
      <c r="F19" s="8">
        <v>2.31</v>
      </c>
      <c r="G19" s="12">
        <v>8</v>
      </c>
      <c r="H19" s="8">
        <v>2.38</v>
      </c>
      <c r="I19" s="12">
        <v>0</v>
      </c>
    </row>
    <row r="20" spans="2:9" ht="15" customHeight="1" x14ac:dyDescent="0.2">
      <c r="B20" s="9" t="s">
        <v>232</v>
      </c>
      <c r="C20" s="12">
        <f>SUM(LTBL_21221[総数／事業所数])</f>
        <v>876</v>
      </c>
      <c r="E20" s="12">
        <f>SUBTOTAL(109,LTBL_21221[個人／事業所数])</f>
        <v>519</v>
      </c>
      <c r="G20" s="12">
        <f>SUBTOTAL(109,LTBL_21221[法人／事業所数])</f>
        <v>336</v>
      </c>
      <c r="I20" s="12">
        <f>SUBTOTAL(109,LTBL_21221[法人以外の団体／事業所数])</f>
        <v>0</v>
      </c>
    </row>
    <row r="21" spans="2:9" ht="15" customHeight="1" x14ac:dyDescent="0.2">
      <c r="E21" s="11">
        <f>LTBL_21221[[#Totals],[個人／事業所数]]/LTBL_21221[[#Totals],[総数／事業所数]]</f>
        <v>0.59246575342465757</v>
      </c>
      <c r="G21" s="11">
        <f>LTBL_21221[[#Totals],[法人／事業所数]]/LTBL_21221[[#Totals],[総数／事業所数]]</f>
        <v>0.38356164383561642</v>
      </c>
      <c r="I21" s="11">
        <f>LTBL_21221[[#Totals],[法人以外の団体／事業所数]]/LTBL_21221[[#Totals],[総数／事業所数]]</f>
        <v>0</v>
      </c>
    </row>
    <row r="23" spans="2:9" ht="33" customHeight="1" x14ac:dyDescent="0.2">
      <c r="B23" t="s">
        <v>233</v>
      </c>
      <c r="C23" s="10" t="s">
        <v>59</v>
      </c>
      <c r="D23" s="10" t="s">
        <v>60</v>
      </c>
      <c r="E23" s="10" t="s">
        <v>61</v>
      </c>
      <c r="F23" s="10" t="s">
        <v>62</v>
      </c>
      <c r="G23" s="10" t="s">
        <v>63</v>
      </c>
      <c r="H23" s="10" t="s">
        <v>64</v>
      </c>
      <c r="I23" s="10" t="s">
        <v>65</v>
      </c>
    </row>
    <row r="24" spans="2:9" ht="15" customHeight="1" x14ac:dyDescent="0.2">
      <c r="B24" t="s">
        <v>82</v>
      </c>
      <c r="C24" s="12">
        <v>84</v>
      </c>
      <c r="D24" s="8">
        <v>9.59</v>
      </c>
      <c r="E24" s="12">
        <v>77</v>
      </c>
      <c r="F24" s="8">
        <v>14.84</v>
      </c>
      <c r="G24" s="12">
        <v>7</v>
      </c>
      <c r="H24" s="8">
        <v>2.08</v>
      </c>
      <c r="I24" s="12">
        <v>0</v>
      </c>
    </row>
    <row r="25" spans="2:9" ht="15" customHeight="1" x14ac:dyDescent="0.2">
      <c r="B25" t="s">
        <v>75</v>
      </c>
      <c r="C25" s="12">
        <v>78</v>
      </c>
      <c r="D25" s="8">
        <v>8.9</v>
      </c>
      <c r="E25" s="12">
        <v>57</v>
      </c>
      <c r="F25" s="8">
        <v>10.98</v>
      </c>
      <c r="G25" s="12">
        <v>21</v>
      </c>
      <c r="H25" s="8">
        <v>6.25</v>
      </c>
      <c r="I25" s="12">
        <v>0</v>
      </c>
    </row>
    <row r="26" spans="2:9" ht="15" customHeight="1" x14ac:dyDescent="0.2">
      <c r="B26" t="s">
        <v>77</v>
      </c>
      <c r="C26" s="12">
        <v>72</v>
      </c>
      <c r="D26" s="8">
        <v>8.2200000000000006</v>
      </c>
      <c r="E26" s="12">
        <v>45</v>
      </c>
      <c r="F26" s="8">
        <v>8.67</v>
      </c>
      <c r="G26" s="12">
        <v>27</v>
      </c>
      <c r="H26" s="8">
        <v>8.0399999999999991</v>
      </c>
      <c r="I26" s="12">
        <v>0</v>
      </c>
    </row>
    <row r="27" spans="2:9" ht="15" customHeight="1" x14ac:dyDescent="0.2">
      <c r="B27" t="s">
        <v>81</v>
      </c>
      <c r="C27" s="12">
        <v>68</v>
      </c>
      <c r="D27" s="8">
        <v>7.76</v>
      </c>
      <c r="E27" s="12">
        <v>61</v>
      </c>
      <c r="F27" s="8">
        <v>11.75</v>
      </c>
      <c r="G27" s="12">
        <v>7</v>
      </c>
      <c r="H27" s="8">
        <v>2.08</v>
      </c>
      <c r="I27" s="12">
        <v>0</v>
      </c>
    </row>
    <row r="28" spans="2:9" ht="15" customHeight="1" x14ac:dyDescent="0.2">
      <c r="B28" t="s">
        <v>66</v>
      </c>
      <c r="C28" s="12">
        <v>56</v>
      </c>
      <c r="D28" s="8">
        <v>6.39</v>
      </c>
      <c r="E28" s="12">
        <v>20</v>
      </c>
      <c r="F28" s="8">
        <v>3.85</v>
      </c>
      <c r="G28" s="12">
        <v>36</v>
      </c>
      <c r="H28" s="8">
        <v>10.71</v>
      </c>
      <c r="I28" s="12">
        <v>0</v>
      </c>
    </row>
    <row r="29" spans="2:9" ht="15" customHeight="1" x14ac:dyDescent="0.2">
      <c r="B29" t="s">
        <v>76</v>
      </c>
      <c r="C29" s="12">
        <v>52</v>
      </c>
      <c r="D29" s="8">
        <v>5.94</v>
      </c>
      <c r="E29" s="12">
        <v>43</v>
      </c>
      <c r="F29" s="8">
        <v>8.2899999999999991</v>
      </c>
      <c r="G29" s="12">
        <v>9</v>
      </c>
      <c r="H29" s="8">
        <v>2.68</v>
      </c>
      <c r="I29" s="12">
        <v>0</v>
      </c>
    </row>
    <row r="30" spans="2:9" ht="15" customHeight="1" x14ac:dyDescent="0.2">
      <c r="B30" t="s">
        <v>67</v>
      </c>
      <c r="C30" s="12">
        <v>45</v>
      </c>
      <c r="D30" s="8">
        <v>5.14</v>
      </c>
      <c r="E30" s="12">
        <v>23</v>
      </c>
      <c r="F30" s="8">
        <v>4.43</v>
      </c>
      <c r="G30" s="12">
        <v>22</v>
      </c>
      <c r="H30" s="8">
        <v>6.55</v>
      </c>
      <c r="I30" s="12">
        <v>0</v>
      </c>
    </row>
    <row r="31" spans="2:9" ht="15" customHeight="1" x14ac:dyDescent="0.2">
      <c r="B31" t="s">
        <v>71</v>
      </c>
      <c r="C31" s="12">
        <v>27</v>
      </c>
      <c r="D31" s="8">
        <v>3.08</v>
      </c>
      <c r="E31" s="12">
        <v>10</v>
      </c>
      <c r="F31" s="8">
        <v>1.93</v>
      </c>
      <c r="G31" s="12">
        <v>17</v>
      </c>
      <c r="H31" s="8">
        <v>5.0599999999999996</v>
      </c>
      <c r="I31" s="12">
        <v>0</v>
      </c>
    </row>
    <row r="32" spans="2:9" ht="15" customHeight="1" x14ac:dyDescent="0.2">
      <c r="B32" t="s">
        <v>84</v>
      </c>
      <c r="C32" s="12">
        <v>27</v>
      </c>
      <c r="D32" s="8">
        <v>3.08</v>
      </c>
      <c r="E32" s="12">
        <v>26</v>
      </c>
      <c r="F32" s="8">
        <v>5.01</v>
      </c>
      <c r="G32" s="12">
        <v>1</v>
      </c>
      <c r="H32" s="8">
        <v>0.3</v>
      </c>
      <c r="I32" s="12">
        <v>0</v>
      </c>
    </row>
    <row r="33" spans="2:9" ht="15" customHeight="1" x14ac:dyDescent="0.2">
      <c r="B33" t="s">
        <v>69</v>
      </c>
      <c r="C33" s="12">
        <v>23</v>
      </c>
      <c r="D33" s="8">
        <v>2.63</v>
      </c>
      <c r="E33" s="12">
        <v>16</v>
      </c>
      <c r="F33" s="8">
        <v>3.08</v>
      </c>
      <c r="G33" s="12">
        <v>7</v>
      </c>
      <c r="H33" s="8">
        <v>2.08</v>
      </c>
      <c r="I33" s="12">
        <v>0</v>
      </c>
    </row>
    <row r="34" spans="2:9" ht="15" customHeight="1" x14ac:dyDescent="0.2">
      <c r="B34" t="s">
        <v>74</v>
      </c>
      <c r="C34" s="12">
        <v>23</v>
      </c>
      <c r="D34" s="8">
        <v>2.63</v>
      </c>
      <c r="E34" s="12">
        <v>15</v>
      </c>
      <c r="F34" s="8">
        <v>2.89</v>
      </c>
      <c r="G34" s="12">
        <v>8</v>
      </c>
      <c r="H34" s="8">
        <v>2.38</v>
      </c>
      <c r="I34" s="12">
        <v>0</v>
      </c>
    </row>
    <row r="35" spans="2:9" ht="15" customHeight="1" x14ac:dyDescent="0.2">
      <c r="B35" t="s">
        <v>83</v>
      </c>
      <c r="C35" s="12">
        <v>23</v>
      </c>
      <c r="D35" s="8">
        <v>2.63</v>
      </c>
      <c r="E35" s="12">
        <v>14</v>
      </c>
      <c r="F35" s="8">
        <v>2.7</v>
      </c>
      <c r="G35" s="12">
        <v>6</v>
      </c>
      <c r="H35" s="8">
        <v>1.79</v>
      </c>
      <c r="I35" s="12">
        <v>0</v>
      </c>
    </row>
    <row r="36" spans="2:9" ht="15" customHeight="1" x14ac:dyDescent="0.2">
      <c r="B36" t="s">
        <v>68</v>
      </c>
      <c r="C36" s="12">
        <v>20</v>
      </c>
      <c r="D36" s="8">
        <v>2.2799999999999998</v>
      </c>
      <c r="E36" s="12">
        <v>11</v>
      </c>
      <c r="F36" s="8">
        <v>2.12</v>
      </c>
      <c r="G36" s="12">
        <v>9</v>
      </c>
      <c r="H36" s="8">
        <v>2.68</v>
      </c>
      <c r="I36" s="12">
        <v>0</v>
      </c>
    </row>
    <row r="37" spans="2:9" ht="15" customHeight="1" x14ac:dyDescent="0.2">
      <c r="B37" t="s">
        <v>78</v>
      </c>
      <c r="C37" s="12">
        <v>18</v>
      </c>
      <c r="D37" s="8">
        <v>2.0499999999999998</v>
      </c>
      <c r="E37" s="12">
        <v>11</v>
      </c>
      <c r="F37" s="8">
        <v>2.12</v>
      </c>
      <c r="G37" s="12">
        <v>7</v>
      </c>
      <c r="H37" s="8">
        <v>2.08</v>
      </c>
      <c r="I37" s="12">
        <v>0</v>
      </c>
    </row>
    <row r="38" spans="2:9" ht="15" customHeight="1" x14ac:dyDescent="0.2">
      <c r="B38" t="s">
        <v>80</v>
      </c>
      <c r="C38" s="12">
        <v>18</v>
      </c>
      <c r="D38" s="8">
        <v>2.0499999999999998</v>
      </c>
      <c r="E38" s="12">
        <v>8</v>
      </c>
      <c r="F38" s="8">
        <v>1.54</v>
      </c>
      <c r="G38" s="12">
        <v>7</v>
      </c>
      <c r="H38" s="8">
        <v>2.08</v>
      </c>
      <c r="I38" s="12">
        <v>0</v>
      </c>
    </row>
    <row r="39" spans="2:9" ht="15" customHeight="1" x14ac:dyDescent="0.2">
      <c r="B39" t="s">
        <v>98</v>
      </c>
      <c r="C39" s="12">
        <v>17</v>
      </c>
      <c r="D39" s="8">
        <v>1.94</v>
      </c>
      <c r="E39" s="12">
        <v>8</v>
      </c>
      <c r="F39" s="8">
        <v>1.54</v>
      </c>
      <c r="G39" s="12">
        <v>9</v>
      </c>
      <c r="H39" s="8">
        <v>2.68</v>
      </c>
      <c r="I39" s="12">
        <v>0</v>
      </c>
    </row>
    <row r="40" spans="2:9" ht="15" customHeight="1" x14ac:dyDescent="0.2">
      <c r="B40" t="s">
        <v>97</v>
      </c>
      <c r="C40" s="12">
        <v>17</v>
      </c>
      <c r="D40" s="8">
        <v>1.94</v>
      </c>
      <c r="E40" s="12">
        <v>1</v>
      </c>
      <c r="F40" s="8">
        <v>0.19</v>
      </c>
      <c r="G40" s="12">
        <v>7</v>
      </c>
      <c r="H40" s="8">
        <v>2.08</v>
      </c>
      <c r="I40" s="12">
        <v>0</v>
      </c>
    </row>
    <row r="41" spans="2:9" ht="15" customHeight="1" x14ac:dyDescent="0.2">
      <c r="B41" t="s">
        <v>93</v>
      </c>
      <c r="C41" s="12">
        <v>13</v>
      </c>
      <c r="D41" s="8">
        <v>1.48</v>
      </c>
      <c r="E41" s="12">
        <v>8</v>
      </c>
      <c r="F41" s="8">
        <v>1.54</v>
      </c>
      <c r="G41" s="12">
        <v>5</v>
      </c>
      <c r="H41" s="8">
        <v>1.49</v>
      </c>
      <c r="I41" s="12">
        <v>0</v>
      </c>
    </row>
    <row r="42" spans="2:9" ht="15" customHeight="1" x14ac:dyDescent="0.2">
      <c r="B42" t="s">
        <v>79</v>
      </c>
      <c r="C42" s="12">
        <v>13</v>
      </c>
      <c r="D42" s="8">
        <v>1.48</v>
      </c>
      <c r="E42" s="12">
        <v>9</v>
      </c>
      <c r="F42" s="8">
        <v>1.73</v>
      </c>
      <c r="G42" s="12">
        <v>4</v>
      </c>
      <c r="H42" s="8">
        <v>1.19</v>
      </c>
      <c r="I42" s="12">
        <v>0</v>
      </c>
    </row>
    <row r="43" spans="2:9" ht="15" customHeight="1" x14ac:dyDescent="0.2">
      <c r="B43" t="s">
        <v>101</v>
      </c>
      <c r="C43" s="12">
        <v>12</v>
      </c>
      <c r="D43" s="8">
        <v>1.37</v>
      </c>
      <c r="E43" s="12">
        <v>5</v>
      </c>
      <c r="F43" s="8">
        <v>0.96</v>
      </c>
      <c r="G43" s="12">
        <v>7</v>
      </c>
      <c r="H43" s="8">
        <v>2.08</v>
      </c>
      <c r="I43" s="12">
        <v>0</v>
      </c>
    </row>
    <row r="46" spans="2:9" ht="33" customHeight="1" x14ac:dyDescent="0.2">
      <c r="B46" t="s">
        <v>234</v>
      </c>
      <c r="C46" s="10" t="s">
        <v>59</v>
      </c>
      <c r="D46" s="10" t="s">
        <v>60</v>
      </c>
      <c r="E46" s="10" t="s">
        <v>61</v>
      </c>
      <c r="F46" s="10" t="s">
        <v>62</v>
      </c>
      <c r="G46" s="10" t="s">
        <v>63</v>
      </c>
      <c r="H46" s="10" t="s">
        <v>64</v>
      </c>
      <c r="I46" s="10" t="s">
        <v>65</v>
      </c>
    </row>
    <row r="47" spans="2:9" ht="15" customHeight="1" x14ac:dyDescent="0.2">
      <c r="B47" t="s">
        <v>138</v>
      </c>
      <c r="C47" s="12">
        <v>43</v>
      </c>
      <c r="D47" s="8">
        <v>4.91</v>
      </c>
      <c r="E47" s="12">
        <v>40</v>
      </c>
      <c r="F47" s="8">
        <v>7.71</v>
      </c>
      <c r="G47" s="12">
        <v>3</v>
      </c>
      <c r="H47" s="8">
        <v>0.89</v>
      </c>
      <c r="I47" s="12">
        <v>0</v>
      </c>
    </row>
    <row r="48" spans="2:9" ht="15" customHeight="1" x14ac:dyDescent="0.2">
      <c r="B48" t="s">
        <v>128</v>
      </c>
      <c r="C48" s="12">
        <v>36</v>
      </c>
      <c r="D48" s="8">
        <v>4.1100000000000003</v>
      </c>
      <c r="E48" s="12">
        <v>29</v>
      </c>
      <c r="F48" s="8">
        <v>5.59</v>
      </c>
      <c r="G48" s="12">
        <v>7</v>
      </c>
      <c r="H48" s="8">
        <v>2.08</v>
      </c>
      <c r="I48" s="12">
        <v>0</v>
      </c>
    </row>
    <row r="49" spans="2:9" ht="15" customHeight="1" x14ac:dyDescent="0.2">
      <c r="B49" t="s">
        <v>137</v>
      </c>
      <c r="C49" s="12">
        <v>32</v>
      </c>
      <c r="D49" s="8">
        <v>3.65</v>
      </c>
      <c r="E49" s="12">
        <v>32</v>
      </c>
      <c r="F49" s="8">
        <v>6.17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148</v>
      </c>
      <c r="C50" s="12">
        <v>27</v>
      </c>
      <c r="D50" s="8">
        <v>3.08</v>
      </c>
      <c r="E50" s="12">
        <v>23</v>
      </c>
      <c r="F50" s="8">
        <v>4.43</v>
      </c>
      <c r="G50" s="12">
        <v>4</v>
      </c>
      <c r="H50" s="8">
        <v>1.19</v>
      </c>
      <c r="I50" s="12">
        <v>0</v>
      </c>
    </row>
    <row r="51" spans="2:9" ht="15" customHeight="1" x14ac:dyDescent="0.2">
      <c r="B51" t="s">
        <v>136</v>
      </c>
      <c r="C51" s="12">
        <v>27</v>
      </c>
      <c r="D51" s="8">
        <v>3.08</v>
      </c>
      <c r="E51" s="12">
        <v>26</v>
      </c>
      <c r="F51" s="8">
        <v>5.01</v>
      </c>
      <c r="G51" s="12">
        <v>1</v>
      </c>
      <c r="H51" s="8">
        <v>0.3</v>
      </c>
      <c r="I51" s="12">
        <v>0</v>
      </c>
    </row>
    <row r="52" spans="2:9" ht="15" customHeight="1" x14ac:dyDescent="0.2">
      <c r="B52" t="s">
        <v>127</v>
      </c>
      <c r="C52" s="12">
        <v>25</v>
      </c>
      <c r="D52" s="8">
        <v>2.85</v>
      </c>
      <c r="E52" s="12">
        <v>12</v>
      </c>
      <c r="F52" s="8">
        <v>2.31</v>
      </c>
      <c r="G52" s="12">
        <v>13</v>
      </c>
      <c r="H52" s="8">
        <v>3.87</v>
      </c>
      <c r="I52" s="12">
        <v>0</v>
      </c>
    </row>
    <row r="53" spans="2:9" ht="15" customHeight="1" x14ac:dyDescent="0.2">
      <c r="B53" t="s">
        <v>134</v>
      </c>
      <c r="C53" s="12">
        <v>21</v>
      </c>
      <c r="D53" s="8">
        <v>2.4</v>
      </c>
      <c r="E53" s="12">
        <v>19</v>
      </c>
      <c r="F53" s="8">
        <v>3.66</v>
      </c>
      <c r="G53" s="12">
        <v>2</v>
      </c>
      <c r="H53" s="8">
        <v>0.6</v>
      </c>
      <c r="I53" s="12">
        <v>0</v>
      </c>
    </row>
    <row r="54" spans="2:9" ht="15" customHeight="1" x14ac:dyDescent="0.2">
      <c r="B54" t="s">
        <v>122</v>
      </c>
      <c r="C54" s="12">
        <v>20</v>
      </c>
      <c r="D54" s="8">
        <v>2.2799999999999998</v>
      </c>
      <c r="E54" s="12">
        <v>5</v>
      </c>
      <c r="F54" s="8">
        <v>0.96</v>
      </c>
      <c r="G54" s="12">
        <v>15</v>
      </c>
      <c r="H54" s="8">
        <v>4.46</v>
      </c>
      <c r="I54" s="12">
        <v>0</v>
      </c>
    </row>
    <row r="55" spans="2:9" ht="15" customHeight="1" x14ac:dyDescent="0.2">
      <c r="B55" t="s">
        <v>140</v>
      </c>
      <c r="C55" s="12">
        <v>19</v>
      </c>
      <c r="D55" s="8">
        <v>2.17</v>
      </c>
      <c r="E55" s="12">
        <v>18</v>
      </c>
      <c r="F55" s="8">
        <v>3.47</v>
      </c>
      <c r="G55" s="12">
        <v>1</v>
      </c>
      <c r="H55" s="8">
        <v>0.3</v>
      </c>
      <c r="I55" s="12">
        <v>0</v>
      </c>
    </row>
    <row r="56" spans="2:9" ht="15" customHeight="1" x14ac:dyDescent="0.2">
      <c r="B56" t="s">
        <v>170</v>
      </c>
      <c r="C56" s="12">
        <v>18</v>
      </c>
      <c r="D56" s="8">
        <v>2.0499999999999998</v>
      </c>
      <c r="E56" s="12">
        <v>8</v>
      </c>
      <c r="F56" s="8">
        <v>1.54</v>
      </c>
      <c r="G56" s="12">
        <v>10</v>
      </c>
      <c r="H56" s="8">
        <v>2.98</v>
      </c>
      <c r="I56" s="12">
        <v>0</v>
      </c>
    </row>
    <row r="57" spans="2:9" ht="15" customHeight="1" x14ac:dyDescent="0.2">
      <c r="B57" t="s">
        <v>130</v>
      </c>
      <c r="C57" s="12">
        <v>18</v>
      </c>
      <c r="D57" s="8">
        <v>2.0499999999999998</v>
      </c>
      <c r="E57" s="12">
        <v>15</v>
      </c>
      <c r="F57" s="8">
        <v>2.89</v>
      </c>
      <c r="G57" s="12">
        <v>3</v>
      </c>
      <c r="H57" s="8">
        <v>0.89</v>
      </c>
      <c r="I57" s="12">
        <v>0</v>
      </c>
    </row>
    <row r="58" spans="2:9" ht="15" customHeight="1" x14ac:dyDescent="0.2">
      <c r="B58" t="s">
        <v>153</v>
      </c>
      <c r="C58" s="12">
        <v>16</v>
      </c>
      <c r="D58" s="8">
        <v>1.83</v>
      </c>
      <c r="E58" s="12">
        <v>4</v>
      </c>
      <c r="F58" s="8">
        <v>0.77</v>
      </c>
      <c r="G58" s="12">
        <v>12</v>
      </c>
      <c r="H58" s="8">
        <v>3.57</v>
      </c>
      <c r="I58" s="12">
        <v>0</v>
      </c>
    </row>
    <row r="59" spans="2:9" ht="15" customHeight="1" x14ac:dyDescent="0.2">
      <c r="B59" t="s">
        <v>123</v>
      </c>
      <c r="C59" s="12">
        <v>15</v>
      </c>
      <c r="D59" s="8">
        <v>1.71</v>
      </c>
      <c r="E59" s="12">
        <v>3</v>
      </c>
      <c r="F59" s="8">
        <v>0.57999999999999996</v>
      </c>
      <c r="G59" s="12">
        <v>12</v>
      </c>
      <c r="H59" s="8">
        <v>3.57</v>
      </c>
      <c r="I59" s="12">
        <v>0</v>
      </c>
    </row>
    <row r="60" spans="2:9" ht="15" customHeight="1" x14ac:dyDescent="0.2">
      <c r="B60" t="s">
        <v>124</v>
      </c>
      <c r="C60" s="12">
        <v>15</v>
      </c>
      <c r="D60" s="8">
        <v>1.71</v>
      </c>
      <c r="E60" s="12">
        <v>12</v>
      </c>
      <c r="F60" s="8">
        <v>2.31</v>
      </c>
      <c r="G60" s="12">
        <v>3</v>
      </c>
      <c r="H60" s="8">
        <v>0.89</v>
      </c>
      <c r="I60" s="12">
        <v>0</v>
      </c>
    </row>
    <row r="61" spans="2:9" ht="15" customHeight="1" x14ac:dyDescent="0.2">
      <c r="B61" t="s">
        <v>133</v>
      </c>
      <c r="C61" s="12">
        <v>14</v>
      </c>
      <c r="D61" s="8">
        <v>1.6</v>
      </c>
      <c r="E61" s="12">
        <v>8</v>
      </c>
      <c r="F61" s="8">
        <v>1.54</v>
      </c>
      <c r="G61" s="12">
        <v>3</v>
      </c>
      <c r="H61" s="8">
        <v>0.89</v>
      </c>
      <c r="I61" s="12">
        <v>0</v>
      </c>
    </row>
    <row r="62" spans="2:9" ht="15" customHeight="1" x14ac:dyDescent="0.2">
      <c r="B62" t="s">
        <v>163</v>
      </c>
      <c r="C62" s="12">
        <v>13</v>
      </c>
      <c r="D62" s="8">
        <v>1.48</v>
      </c>
      <c r="E62" s="12">
        <v>11</v>
      </c>
      <c r="F62" s="8">
        <v>2.12</v>
      </c>
      <c r="G62" s="12">
        <v>2</v>
      </c>
      <c r="H62" s="8">
        <v>0.6</v>
      </c>
      <c r="I62" s="12">
        <v>0</v>
      </c>
    </row>
    <row r="63" spans="2:9" ht="15" customHeight="1" x14ac:dyDescent="0.2">
      <c r="B63" t="s">
        <v>139</v>
      </c>
      <c r="C63" s="12">
        <v>13</v>
      </c>
      <c r="D63" s="8">
        <v>1.48</v>
      </c>
      <c r="E63" s="12">
        <v>9</v>
      </c>
      <c r="F63" s="8">
        <v>1.73</v>
      </c>
      <c r="G63" s="12">
        <v>4</v>
      </c>
      <c r="H63" s="8">
        <v>1.19</v>
      </c>
      <c r="I63" s="12">
        <v>0</v>
      </c>
    </row>
    <row r="64" spans="2:9" ht="15" customHeight="1" x14ac:dyDescent="0.2">
      <c r="B64" t="s">
        <v>169</v>
      </c>
      <c r="C64" s="12">
        <v>12</v>
      </c>
      <c r="D64" s="8">
        <v>1.37</v>
      </c>
      <c r="E64" s="12">
        <v>5</v>
      </c>
      <c r="F64" s="8">
        <v>0.96</v>
      </c>
      <c r="G64" s="12">
        <v>7</v>
      </c>
      <c r="H64" s="8">
        <v>2.08</v>
      </c>
      <c r="I64" s="12">
        <v>0</v>
      </c>
    </row>
    <row r="65" spans="2:9" ht="15" customHeight="1" x14ac:dyDescent="0.2">
      <c r="B65" t="s">
        <v>125</v>
      </c>
      <c r="C65" s="12">
        <v>10</v>
      </c>
      <c r="D65" s="8">
        <v>1.1399999999999999</v>
      </c>
      <c r="E65" s="12">
        <v>6</v>
      </c>
      <c r="F65" s="8">
        <v>1.1599999999999999</v>
      </c>
      <c r="G65" s="12">
        <v>4</v>
      </c>
      <c r="H65" s="8">
        <v>1.19</v>
      </c>
      <c r="I65" s="12">
        <v>0</v>
      </c>
    </row>
    <row r="66" spans="2:9" ht="15" customHeight="1" x14ac:dyDescent="0.2">
      <c r="B66" t="s">
        <v>142</v>
      </c>
      <c r="C66" s="12">
        <v>10</v>
      </c>
      <c r="D66" s="8">
        <v>1.1399999999999999</v>
      </c>
      <c r="E66" s="12">
        <v>8</v>
      </c>
      <c r="F66" s="8">
        <v>1.54</v>
      </c>
      <c r="G66" s="12">
        <v>2</v>
      </c>
      <c r="H66" s="8">
        <v>0.6</v>
      </c>
      <c r="I66" s="12">
        <v>0</v>
      </c>
    </row>
    <row r="67" spans="2:9" ht="15" customHeight="1" x14ac:dyDescent="0.2">
      <c r="B67" t="s">
        <v>181</v>
      </c>
      <c r="C67" s="12">
        <v>10</v>
      </c>
      <c r="D67" s="8">
        <v>1.1399999999999999</v>
      </c>
      <c r="E67" s="12">
        <v>9</v>
      </c>
      <c r="F67" s="8">
        <v>1.73</v>
      </c>
      <c r="G67" s="12">
        <v>1</v>
      </c>
      <c r="H67" s="8">
        <v>0.3</v>
      </c>
      <c r="I67" s="12">
        <v>0</v>
      </c>
    </row>
    <row r="68" spans="2:9" ht="15" customHeight="1" x14ac:dyDescent="0.2">
      <c r="B68" t="s">
        <v>185</v>
      </c>
      <c r="C68" s="12">
        <v>10</v>
      </c>
      <c r="D68" s="8">
        <v>1.1399999999999999</v>
      </c>
      <c r="E68" s="12">
        <v>8</v>
      </c>
      <c r="F68" s="8">
        <v>1.54</v>
      </c>
      <c r="G68" s="12">
        <v>2</v>
      </c>
      <c r="H68" s="8">
        <v>0.6</v>
      </c>
      <c r="I68" s="12">
        <v>0</v>
      </c>
    </row>
    <row r="70" spans="2:9" ht="15" customHeight="1" x14ac:dyDescent="0.2">
      <c r="B70" t="s">
        <v>235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66346-F43E-4C8B-940E-3FCA36C37E56}">
  <sheetPr>
    <pageSetUpPr fitToPage="1"/>
  </sheetPr>
  <dimension ref="B2:I72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257</v>
      </c>
    </row>
    <row r="4" spans="2:9" ht="33" customHeight="1" x14ac:dyDescent="0.2">
      <c r="B4" t="s">
        <v>231</v>
      </c>
      <c r="C4" s="10" t="s">
        <v>59</v>
      </c>
      <c r="D4" s="10" t="s">
        <v>60</v>
      </c>
      <c r="E4" s="10" t="s">
        <v>61</v>
      </c>
      <c r="F4" s="10" t="s">
        <v>62</v>
      </c>
      <c r="G4" s="10" t="s">
        <v>63</v>
      </c>
      <c r="H4" s="10" t="s">
        <v>64</v>
      </c>
      <c r="I4" s="10" t="s">
        <v>65</v>
      </c>
    </row>
    <row r="5" spans="2:9" ht="15" customHeight="1" x14ac:dyDescent="0.2">
      <c r="B5" t="s">
        <v>43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44</v>
      </c>
      <c r="C6" s="12">
        <v>112</v>
      </c>
      <c r="D6" s="8">
        <v>13.13</v>
      </c>
      <c r="E6" s="12">
        <v>31</v>
      </c>
      <c r="F6" s="8">
        <v>7.19</v>
      </c>
      <c r="G6" s="12">
        <v>81</v>
      </c>
      <c r="H6" s="8">
        <v>19.66</v>
      </c>
      <c r="I6" s="12">
        <v>0</v>
      </c>
    </row>
    <row r="7" spans="2:9" ht="15" customHeight="1" x14ac:dyDescent="0.2">
      <c r="B7" t="s">
        <v>45</v>
      </c>
      <c r="C7" s="12">
        <v>176</v>
      </c>
      <c r="D7" s="8">
        <v>20.63</v>
      </c>
      <c r="E7" s="12">
        <v>62</v>
      </c>
      <c r="F7" s="8">
        <v>14.39</v>
      </c>
      <c r="G7" s="12">
        <v>114</v>
      </c>
      <c r="H7" s="8">
        <v>27.67</v>
      </c>
      <c r="I7" s="12">
        <v>0</v>
      </c>
    </row>
    <row r="8" spans="2:9" ht="15" customHeight="1" x14ac:dyDescent="0.2">
      <c r="B8" t="s">
        <v>46</v>
      </c>
      <c r="C8" s="12">
        <v>2</v>
      </c>
      <c r="D8" s="8">
        <v>0.23</v>
      </c>
      <c r="E8" s="12">
        <v>0</v>
      </c>
      <c r="F8" s="8">
        <v>0</v>
      </c>
      <c r="G8" s="12">
        <v>2</v>
      </c>
      <c r="H8" s="8">
        <v>0.49</v>
      </c>
      <c r="I8" s="12">
        <v>0</v>
      </c>
    </row>
    <row r="9" spans="2:9" ht="15" customHeight="1" x14ac:dyDescent="0.2">
      <c r="B9" t="s">
        <v>47</v>
      </c>
      <c r="C9" s="12">
        <v>4</v>
      </c>
      <c r="D9" s="8">
        <v>0.47</v>
      </c>
      <c r="E9" s="12">
        <v>1</v>
      </c>
      <c r="F9" s="8">
        <v>0.23</v>
      </c>
      <c r="G9" s="12">
        <v>3</v>
      </c>
      <c r="H9" s="8">
        <v>0.73</v>
      </c>
      <c r="I9" s="12">
        <v>0</v>
      </c>
    </row>
    <row r="10" spans="2:9" ht="15" customHeight="1" x14ac:dyDescent="0.2">
      <c r="B10" t="s">
        <v>48</v>
      </c>
      <c r="C10" s="12">
        <v>6</v>
      </c>
      <c r="D10" s="8">
        <v>0.7</v>
      </c>
      <c r="E10" s="12">
        <v>1</v>
      </c>
      <c r="F10" s="8">
        <v>0.23</v>
      </c>
      <c r="G10" s="12">
        <v>5</v>
      </c>
      <c r="H10" s="8">
        <v>1.21</v>
      </c>
      <c r="I10" s="12">
        <v>0</v>
      </c>
    </row>
    <row r="11" spans="2:9" ht="15" customHeight="1" x14ac:dyDescent="0.2">
      <c r="B11" t="s">
        <v>49</v>
      </c>
      <c r="C11" s="12">
        <v>153</v>
      </c>
      <c r="D11" s="8">
        <v>17.940000000000001</v>
      </c>
      <c r="E11" s="12">
        <v>62</v>
      </c>
      <c r="F11" s="8">
        <v>14.39</v>
      </c>
      <c r="G11" s="12">
        <v>91</v>
      </c>
      <c r="H11" s="8">
        <v>22.09</v>
      </c>
      <c r="I11" s="12">
        <v>0</v>
      </c>
    </row>
    <row r="12" spans="2:9" ht="15" customHeight="1" x14ac:dyDescent="0.2">
      <c r="B12" t="s">
        <v>50</v>
      </c>
      <c r="C12" s="12">
        <v>5</v>
      </c>
      <c r="D12" s="8">
        <v>0.59</v>
      </c>
      <c r="E12" s="12">
        <v>2</v>
      </c>
      <c r="F12" s="8">
        <v>0.46</v>
      </c>
      <c r="G12" s="12">
        <v>3</v>
      </c>
      <c r="H12" s="8">
        <v>0.73</v>
      </c>
      <c r="I12" s="12">
        <v>0</v>
      </c>
    </row>
    <row r="13" spans="2:9" ht="15" customHeight="1" x14ac:dyDescent="0.2">
      <c r="B13" t="s">
        <v>51</v>
      </c>
      <c r="C13" s="12">
        <v>134</v>
      </c>
      <c r="D13" s="8">
        <v>15.71</v>
      </c>
      <c r="E13" s="12">
        <v>92</v>
      </c>
      <c r="F13" s="8">
        <v>21.35</v>
      </c>
      <c r="G13" s="12">
        <v>42</v>
      </c>
      <c r="H13" s="8">
        <v>10.19</v>
      </c>
      <c r="I13" s="12">
        <v>0</v>
      </c>
    </row>
    <row r="14" spans="2:9" ht="15" customHeight="1" x14ac:dyDescent="0.2">
      <c r="B14" t="s">
        <v>52</v>
      </c>
      <c r="C14" s="12">
        <v>34</v>
      </c>
      <c r="D14" s="8">
        <v>3.99</v>
      </c>
      <c r="E14" s="12">
        <v>20</v>
      </c>
      <c r="F14" s="8">
        <v>4.6399999999999997</v>
      </c>
      <c r="G14" s="12">
        <v>14</v>
      </c>
      <c r="H14" s="8">
        <v>3.4</v>
      </c>
      <c r="I14" s="12">
        <v>0</v>
      </c>
    </row>
    <row r="15" spans="2:9" ht="15" customHeight="1" x14ac:dyDescent="0.2">
      <c r="B15" t="s">
        <v>53</v>
      </c>
      <c r="C15" s="12">
        <v>59</v>
      </c>
      <c r="D15" s="8">
        <v>6.92</v>
      </c>
      <c r="E15" s="12">
        <v>47</v>
      </c>
      <c r="F15" s="8">
        <v>10.9</v>
      </c>
      <c r="G15" s="12">
        <v>12</v>
      </c>
      <c r="H15" s="8">
        <v>2.91</v>
      </c>
      <c r="I15" s="12">
        <v>0</v>
      </c>
    </row>
    <row r="16" spans="2:9" ht="15" customHeight="1" x14ac:dyDescent="0.2">
      <c r="B16" t="s">
        <v>54</v>
      </c>
      <c r="C16" s="12">
        <v>71</v>
      </c>
      <c r="D16" s="8">
        <v>8.32</v>
      </c>
      <c r="E16" s="12">
        <v>52</v>
      </c>
      <c r="F16" s="8">
        <v>12.06</v>
      </c>
      <c r="G16" s="12">
        <v>19</v>
      </c>
      <c r="H16" s="8">
        <v>4.6100000000000003</v>
      </c>
      <c r="I16" s="12">
        <v>0</v>
      </c>
    </row>
    <row r="17" spans="2:9" ht="15" customHeight="1" x14ac:dyDescent="0.2">
      <c r="B17" t="s">
        <v>55</v>
      </c>
      <c r="C17" s="12">
        <v>19</v>
      </c>
      <c r="D17" s="8">
        <v>2.23</v>
      </c>
      <c r="E17" s="12">
        <v>15</v>
      </c>
      <c r="F17" s="8">
        <v>3.48</v>
      </c>
      <c r="G17" s="12">
        <v>4</v>
      </c>
      <c r="H17" s="8">
        <v>0.97</v>
      </c>
      <c r="I17" s="12">
        <v>0</v>
      </c>
    </row>
    <row r="18" spans="2:9" ht="15" customHeight="1" x14ac:dyDescent="0.2">
      <c r="B18" t="s">
        <v>56</v>
      </c>
      <c r="C18" s="12">
        <v>35</v>
      </c>
      <c r="D18" s="8">
        <v>4.0999999999999996</v>
      </c>
      <c r="E18" s="12">
        <v>26</v>
      </c>
      <c r="F18" s="8">
        <v>6.03</v>
      </c>
      <c r="G18" s="12">
        <v>6</v>
      </c>
      <c r="H18" s="8">
        <v>1.46</v>
      </c>
      <c r="I18" s="12">
        <v>0</v>
      </c>
    </row>
    <row r="19" spans="2:9" ht="15" customHeight="1" x14ac:dyDescent="0.2">
      <c r="B19" t="s">
        <v>57</v>
      </c>
      <c r="C19" s="12">
        <v>43</v>
      </c>
      <c r="D19" s="8">
        <v>5.04</v>
      </c>
      <c r="E19" s="12">
        <v>20</v>
      </c>
      <c r="F19" s="8">
        <v>4.6399999999999997</v>
      </c>
      <c r="G19" s="12">
        <v>16</v>
      </c>
      <c r="H19" s="8">
        <v>3.88</v>
      </c>
      <c r="I19" s="12">
        <v>2</v>
      </c>
    </row>
    <row r="20" spans="2:9" ht="15" customHeight="1" x14ac:dyDescent="0.2">
      <c r="B20" s="9" t="s">
        <v>232</v>
      </c>
      <c r="C20" s="12">
        <f>SUM(LTBL_21302[総数／事業所数])</f>
        <v>853</v>
      </c>
      <c r="E20" s="12">
        <f>SUBTOTAL(109,LTBL_21302[個人／事業所数])</f>
        <v>431</v>
      </c>
      <c r="G20" s="12">
        <f>SUBTOTAL(109,LTBL_21302[法人／事業所数])</f>
        <v>412</v>
      </c>
      <c r="I20" s="12">
        <f>SUBTOTAL(109,LTBL_21302[法人以外の団体／事業所数])</f>
        <v>2</v>
      </c>
    </row>
    <row r="21" spans="2:9" ht="15" customHeight="1" x14ac:dyDescent="0.2">
      <c r="E21" s="11">
        <f>LTBL_21302[[#Totals],[個人／事業所数]]/LTBL_21302[[#Totals],[総数／事業所数]]</f>
        <v>0.50527549824150053</v>
      </c>
      <c r="G21" s="11">
        <f>LTBL_21302[[#Totals],[法人／事業所数]]/LTBL_21302[[#Totals],[総数／事業所数]]</f>
        <v>0.48300117233294254</v>
      </c>
      <c r="I21" s="11">
        <f>LTBL_21302[[#Totals],[法人以外の団体／事業所数]]/LTBL_21302[[#Totals],[総数／事業所数]]</f>
        <v>2.3446658851113715E-3</v>
      </c>
    </row>
    <row r="23" spans="2:9" ht="33" customHeight="1" x14ac:dyDescent="0.2">
      <c r="B23" t="s">
        <v>233</v>
      </c>
      <c r="C23" s="10" t="s">
        <v>59</v>
      </c>
      <c r="D23" s="10" t="s">
        <v>60</v>
      </c>
      <c r="E23" s="10" t="s">
        <v>61</v>
      </c>
      <c r="F23" s="10" t="s">
        <v>62</v>
      </c>
      <c r="G23" s="10" t="s">
        <v>63</v>
      </c>
      <c r="H23" s="10" t="s">
        <v>64</v>
      </c>
      <c r="I23" s="10" t="s">
        <v>65</v>
      </c>
    </row>
    <row r="24" spans="2:9" ht="15" customHeight="1" x14ac:dyDescent="0.2">
      <c r="B24" t="s">
        <v>78</v>
      </c>
      <c r="C24" s="12">
        <v>119</v>
      </c>
      <c r="D24" s="8">
        <v>13.95</v>
      </c>
      <c r="E24" s="12">
        <v>88</v>
      </c>
      <c r="F24" s="8">
        <v>20.420000000000002</v>
      </c>
      <c r="G24" s="12">
        <v>31</v>
      </c>
      <c r="H24" s="8">
        <v>7.52</v>
      </c>
      <c r="I24" s="12">
        <v>0</v>
      </c>
    </row>
    <row r="25" spans="2:9" ht="15" customHeight="1" x14ac:dyDescent="0.2">
      <c r="B25" t="s">
        <v>82</v>
      </c>
      <c r="C25" s="12">
        <v>58</v>
      </c>
      <c r="D25" s="8">
        <v>6.8</v>
      </c>
      <c r="E25" s="12">
        <v>44</v>
      </c>
      <c r="F25" s="8">
        <v>10.210000000000001</v>
      </c>
      <c r="G25" s="12">
        <v>14</v>
      </c>
      <c r="H25" s="8">
        <v>3.4</v>
      </c>
      <c r="I25" s="12">
        <v>0</v>
      </c>
    </row>
    <row r="26" spans="2:9" ht="15" customHeight="1" x14ac:dyDescent="0.2">
      <c r="B26" t="s">
        <v>69</v>
      </c>
      <c r="C26" s="12">
        <v>53</v>
      </c>
      <c r="D26" s="8">
        <v>6.21</v>
      </c>
      <c r="E26" s="12">
        <v>27</v>
      </c>
      <c r="F26" s="8">
        <v>6.26</v>
      </c>
      <c r="G26" s="12">
        <v>26</v>
      </c>
      <c r="H26" s="8">
        <v>6.31</v>
      </c>
      <c r="I26" s="12">
        <v>0</v>
      </c>
    </row>
    <row r="27" spans="2:9" ht="15" customHeight="1" x14ac:dyDescent="0.2">
      <c r="B27" t="s">
        <v>81</v>
      </c>
      <c r="C27" s="12">
        <v>51</v>
      </c>
      <c r="D27" s="8">
        <v>5.98</v>
      </c>
      <c r="E27" s="12">
        <v>45</v>
      </c>
      <c r="F27" s="8">
        <v>10.44</v>
      </c>
      <c r="G27" s="12">
        <v>6</v>
      </c>
      <c r="H27" s="8">
        <v>1.46</v>
      </c>
      <c r="I27" s="12">
        <v>0</v>
      </c>
    </row>
    <row r="28" spans="2:9" ht="15" customHeight="1" x14ac:dyDescent="0.2">
      <c r="B28" t="s">
        <v>67</v>
      </c>
      <c r="C28" s="12">
        <v>50</v>
      </c>
      <c r="D28" s="8">
        <v>5.86</v>
      </c>
      <c r="E28" s="12">
        <v>18</v>
      </c>
      <c r="F28" s="8">
        <v>4.18</v>
      </c>
      <c r="G28" s="12">
        <v>32</v>
      </c>
      <c r="H28" s="8">
        <v>7.77</v>
      </c>
      <c r="I28" s="12">
        <v>0</v>
      </c>
    </row>
    <row r="29" spans="2:9" ht="15" customHeight="1" x14ac:dyDescent="0.2">
      <c r="B29" t="s">
        <v>76</v>
      </c>
      <c r="C29" s="12">
        <v>49</v>
      </c>
      <c r="D29" s="8">
        <v>5.74</v>
      </c>
      <c r="E29" s="12">
        <v>27</v>
      </c>
      <c r="F29" s="8">
        <v>6.26</v>
      </c>
      <c r="G29" s="12">
        <v>22</v>
      </c>
      <c r="H29" s="8">
        <v>5.34</v>
      </c>
      <c r="I29" s="12">
        <v>0</v>
      </c>
    </row>
    <row r="30" spans="2:9" ht="15" customHeight="1" x14ac:dyDescent="0.2">
      <c r="B30" t="s">
        <v>66</v>
      </c>
      <c r="C30" s="12">
        <v>36</v>
      </c>
      <c r="D30" s="8">
        <v>4.22</v>
      </c>
      <c r="E30" s="12">
        <v>9</v>
      </c>
      <c r="F30" s="8">
        <v>2.09</v>
      </c>
      <c r="G30" s="12">
        <v>27</v>
      </c>
      <c r="H30" s="8">
        <v>6.55</v>
      </c>
      <c r="I30" s="12">
        <v>0</v>
      </c>
    </row>
    <row r="31" spans="2:9" ht="15" customHeight="1" x14ac:dyDescent="0.2">
      <c r="B31" t="s">
        <v>84</v>
      </c>
      <c r="C31" s="12">
        <v>27</v>
      </c>
      <c r="D31" s="8">
        <v>3.17</v>
      </c>
      <c r="E31" s="12">
        <v>26</v>
      </c>
      <c r="F31" s="8">
        <v>6.03</v>
      </c>
      <c r="G31" s="12">
        <v>1</v>
      </c>
      <c r="H31" s="8">
        <v>0.24</v>
      </c>
      <c r="I31" s="12">
        <v>0</v>
      </c>
    </row>
    <row r="32" spans="2:9" ht="15" customHeight="1" x14ac:dyDescent="0.2">
      <c r="B32" t="s">
        <v>68</v>
      </c>
      <c r="C32" s="12">
        <v>26</v>
      </c>
      <c r="D32" s="8">
        <v>3.05</v>
      </c>
      <c r="E32" s="12">
        <v>4</v>
      </c>
      <c r="F32" s="8">
        <v>0.93</v>
      </c>
      <c r="G32" s="12">
        <v>22</v>
      </c>
      <c r="H32" s="8">
        <v>5.34</v>
      </c>
      <c r="I32" s="12">
        <v>0</v>
      </c>
    </row>
    <row r="33" spans="2:9" ht="15" customHeight="1" x14ac:dyDescent="0.2">
      <c r="B33" t="s">
        <v>71</v>
      </c>
      <c r="C33" s="12">
        <v>25</v>
      </c>
      <c r="D33" s="8">
        <v>2.93</v>
      </c>
      <c r="E33" s="12">
        <v>10</v>
      </c>
      <c r="F33" s="8">
        <v>2.3199999999999998</v>
      </c>
      <c r="G33" s="12">
        <v>15</v>
      </c>
      <c r="H33" s="8">
        <v>3.64</v>
      </c>
      <c r="I33" s="12">
        <v>0</v>
      </c>
    </row>
    <row r="34" spans="2:9" ht="15" customHeight="1" x14ac:dyDescent="0.2">
      <c r="B34" t="s">
        <v>72</v>
      </c>
      <c r="C34" s="12">
        <v>25</v>
      </c>
      <c r="D34" s="8">
        <v>2.93</v>
      </c>
      <c r="E34" s="12">
        <v>5</v>
      </c>
      <c r="F34" s="8">
        <v>1.1599999999999999</v>
      </c>
      <c r="G34" s="12">
        <v>20</v>
      </c>
      <c r="H34" s="8">
        <v>4.8499999999999996</v>
      </c>
      <c r="I34" s="12">
        <v>0</v>
      </c>
    </row>
    <row r="35" spans="2:9" ht="15" customHeight="1" x14ac:dyDescent="0.2">
      <c r="B35" t="s">
        <v>77</v>
      </c>
      <c r="C35" s="12">
        <v>24</v>
      </c>
      <c r="D35" s="8">
        <v>2.81</v>
      </c>
      <c r="E35" s="12">
        <v>11</v>
      </c>
      <c r="F35" s="8">
        <v>2.5499999999999998</v>
      </c>
      <c r="G35" s="12">
        <v>13</v>
      </c>
      <c r="H35" s="8">
        <v>3.16</v>
      </c>
      <c r="I35" s="12">
        <v>0</v>
      </c>
    </row>
    <row r="36" spans="2:9" ht="15" customHeight="1" x14ac:dyDescent="0.2">
      <c r="B36" t="s">
        <v>79</v>
      </c>
      <c r="C36" s="12">
        <v>21</v>
      </c>
      <c r="D36" s="8">
        <v>2.46</v>
      </c>
      <c r="E36" s="12">
        <v>14</v>
      </c>
      <c r="F36" s="8">
        <v>3.25</v>
      </c>
      <c r="G36" s="12">
        <v>7</v>
      </c>
      <c r="H36" s="8">
        <v>1.7</v>
      </c>
      <c r="I36" s="12">
        <v>0</v>
      </c>
    </row>
    <row r="37" spans="2:9" ht="15" customHeight="1" x14ac:dyDescent="0.2">
      <c r="B37" t="s">
        <v>83</v>
      </c>
      <c r="C37" s="12">
        <v>19</v>
      </c>
      <c r="D37" s="8">
        <v>2.23</v>
      </c>
      <c r="E37" s="12">
        <v>15</v>
      </c>
      <c r="F37" s="8">
        <v>3.48</v>
      </c>
      <c r="G37" s="12">
        <v>4</v>
      </c>
      <c r="H37" s="8">
        <v>0.97</v>
      </c>
      <c r="I37" s="12">
        <v>0</v>
      </c>
    </row>
    <row r="38" spans="2:9" ht="15" customHeight="1" x14ac:dyDescent="0.2">
      <c r="B38" t="s">
        <v>87</v>
      </c>
      <c r="C38" s="12">
        <v>18</v>
      </c>
      <c r="D38" s="8">
        <v>2.11</v>
      </c>
      <c r="E38" s="12">
        <v>4</v>
      </c>
      <c r="F38" s="8">
        <v>0.93</v>
      </c>
      <c r="G38" s="12">
        <v>14</v>
      </c>
      <c r="H38" s="8">
        <v>3.4</v>
      </c>
      <c r="I38" s="12">
        <v>0</v>
      </c>
    </row>
    <row r="39" spans="2:9" ht="15" customHeight="1" x14ac:dyDescent="0.2">
      <c r="B39" t="s">
        <v>85</v>
      </c>
      <c r="C39" s="12">
        <v>17</v>
      </c>
      <c r="D39" s="8">
        <v>1.99</v>
      </c>
      <c r="E39" s="12">
        <v>12</v>
      </c>
      <c r="F39" s="8">
        <v>2.78</v>
      </c>
      <c r="G39" s="12">
        <v>5</v>
      </c>
      <c r="H39" s="8">
        <v>1.21</v>
      </c>
      <c r="I39" s="12">
        <v>0</v>
      </c>
    </row>
    <row r="40" spans="2:9" ht="15" customHeight="1" x14ac:dyDescent="0.2">
      <c r="B40" t="s">
        <v>75</v>
      </c>
      <c r="C40" s="12">
        <v>14</v>
      </c>
      <c r="D40" s="8">
        <v>1.64</v>
      </c>
      <c r="E40" s="12">
        <v>7</v>
      </c>
      <c r="F40" s="8">
        <v>1.62</v>
      </c>
      <c r="G40" s="12">
        <v>7</v>
      </c>
      <c r="H40" s="8">
        <v>1.7</v>
      </c>
      <c r="I40" s="12">
        <v>0</v>
      </c>
    </row>
    <row r="41" spans="2:9" ht="15" customHeight="1" x14ac:dyDescent="0.2">
      <c r="B41" t="s">
        <v>94</v>
      </c>
      <c r="C41" s="12">
        <v>12</v>
      </c>
      <c r="D41" s="8">
        <v>1.41</v>
      </c>
      <c r="E41" s="12">
        <v>7</v>
      </c>
      <c r="F41" s="8">
        <v>1.62</v>
      </c>
      <c r="G41" s="12">
        <v>5</v>
      </c>
      <c r="H41" s="8">
        <v>1.21</v>
      </c>
      <c r="I41" s="12">
        <v>0</v>
      </c>
    </row>
    <row r="42" spans="2:9" ht="15" customHeight="1" x14ac:dyDescent="0.2">
      <c r="B42" t="s">
        <v>73</v>
      </c>
      <c r="C42" s="12">
        <v>12</v>
      </c>
      <c r="D42" s="8">
        <v>1.41</v>
      </c>
      <c r="E42" s="12">
        <v>3</v>
      </c>
      <c r="F42" s="8">
        <v>0.7</v>
      </c>
      <c r="G42" s="12">
        <v>9</v>
      </c>
      <c r="H42" s="8">
        <v>2.1800000000000002</v>
      </c>
      <c r="I42" s="12">
        <v>0</v>
      </c>
    </row>
    <row r="43" spans="2:9" ht="15" customHeight="1" x14ac:dyDescent="0.2">
      <c r="B43" t="s">
        <v>102</v>
      </c>
      <c r="C43" s="12">
        <v>11</v>
      </c>
      <c r="D43" s="8">
        <v>1.29</v>
      </c>
      <c r="E43" s="12">
        <v>2</v>
      </c>
      <c r="F43" s="8">
        <v>0.46</v>
      </c>
      <c r="G43" s="12">
        <v>9</v>
      </c>
      <c r="H43" s="8">
        <v>2.1800000000000002</v>
      </c>
      <c r="I43" s="12">
        <v>0</v>
      </c>
    </row>
    <row r="44" spans="2:9" ht="15" customHeight="1" x14ac:dyDescent="0.2">
      <c r="B44" t="s">
        <v>80</v>
      </c>
      <c r="C44" s="12">
        <v>11</v>
      </c>
      <c r="D44" s="8">
        <v>1.29</v>
      </c>
      <c r="E44" s="12">
        <v>6</v>
      </c>
      <c r="F44" s="8">
        <v>1.39</v>
      </c>
      <c r="G44" s="12">
        <v>5</v>
      </c>
      <c r="H44" s="8">
        <v>1.21</v>
      </c>
      <c r="I44" s="12">
        <v>0</v>
      </c>
    </row>
    <row r="47" spans="2:9" ht="33" customHeight="1" x14ac:dyDescent="0.2">
      <c r="B47" t="s">
        <v>234</v>
      </c>
      <c r="C47" s="10" t="s">
        <v>59</v>
      </c>
      <c r="D47" s="10" t="s">
        <v>60</v>
      </c>
      <c r="E47" s="10" t="s">
        <v>61</v>
      </c>
      <c r="F47" s="10" t="s">
        <v>62</v>
      </c>
      <c r="G47" s="10" t="s">
        <v>63</v>
      </c>
      <c r="H47" s="10" t="s">
        <v>64</v>
      </c>
      <c r="I47" s="10" t="s">
        <v>65</v>
      </c>
    </row>
    <row r="48" spans="2:9" ht="15" customHeight="1" x14ac:dyDescent="0.2">
      <c r="B48" t="s">
        <v>132</v>
      </c>
      <c r="C48" s="12">
        <v>59</v>
      </c>
      <c r="D48" s="8">
        <v>6.92</v>
      </c>
      <c r="E48" s="12">
        <v>41</v>
      </c>
      <c r="F48" s="8">
        <v>9.51</v>
      </c>
      <c r="G48" s="12">
        <v>18</v>
      </c>
      <c r="H48" s="8">
        <v>4.37</v>
      </c>
      <c r="I48" s="12">
        <v>0</v>
      </c>
    </row>
    <row r="49" spans="2:9" ht="15" customHeight="1" x14ac:dyDescent="0.2">
      <c r="B49" t="s">
        <v>131</v>
      </c>
      <c r="C49" s="12">
        <v>44</v>
      </c>
      <c r="D49" s="8">
        <v>5.16</v>
      </c>
      <c r="E49" s="12">
        <v>41</v>
      </c>
      <c r="F49" s="8">
        <v>9.51</v>
      </c>
      <c r="G49" s="12">
        <v>3</v>
      </c>
      <c r="H49" s="8">
        <v>0.73</v>
      </c>
      <c r="I49" s="12">
        <v>0</v>
      </c>
    </row>
    <row r="50" spans="2:9" ht="15" customHeight="1" x14ac:dyDescent="0.2">
      <c r="B50" t="s">
        <v>128</v>
      </c>
      <c r="C50" s="12">
        <v>41</v>
      </c>
      <c r="D50" s="8">
        <v>4.8099999999999996</v>
      </c>
      <c r="E50" s="12">
        <v>23</v>
      </c>
      <c r="F50" s="8">
        <v>5.34</v>
      </c>
      <c r="G50" s="12">
        <v>18</v>
      </c>
      <c r="H50" s="8">
        <v>4.37</v>
      </c>
      <c r="I50" s="12">
        <v>0</v>
      </c>
    </row>
    <row r="51" spans="2:9" ht="15" customHeight="1" x14ac:dyDescent="0.2">
      <c r="B51" t="s">
        <v>138</v>
      </c>
      <c r="C51" s="12">
        <v>27</v>
      </c>
      <c r="D51" s="8">
        <v>3.17</v>
      </c>
      <c r="E51" s="12">
        <v>22</v>
      </c>
      <c r="F51" s="8">
        <v>5.0999999999999996</v>
      </c>
      <c r="G51" s="12">
        <v>5</v>
      </c>
      <c r="H51" s="8">
        <v>1.21</v>
      </c>
      <c r="I51" s="12">
        <v>0</v>
      </c>
    </row>
    <row r="52" spans="2:9" ht="15" customHeight="1" x14ac:dyDescent="0.2">
      <c r="B52" t="s">
        <v>136</v>
      </c>
      <c r="C52" s="12">
        <v>26</v>
      </c>
      <c r="D52" s="8">
        <v>3.05</v>
      </c>
      <c r="E52" s="12">
        <v>25</v>
      </c>
      <c r="F52" s="8">
        <v>5.8</v>
      </c>
      <c r="G52" s="12">
        <v>1</v>
      </c>
      <c r="H52" s="8">
        <v>0.24</v>
      </c>
      <c r="I52" s="12">
        <v>0</v>
      </c>
    </row>
    <row r="53" spans="2:9" ht="15" customHeight="1" x14ac:dyDescent="0.2">
      <c r="B53" t="s">
        <v>140</v>
      </c>
      <c r="C53" s="12">
        <v>24</v>
      </c>
      <c r="D53" s="8">
        <v>2.81</v>
      </c>
      <c r="E53" s="12">
        <v>23</v>
      </c>
      <c r="F53" s="8">
        <v>5.34</v>
      </c>
      <c r="G53" s="12">
        <v>1</v>
      </c>
      <c r="H53" s="8">
        <v>0.24</v>
      </c>
      <c r="I53" s="12">
        <v>0</v>
      </c>
    </row>
    <row r="54" spans="2:9" ht="15" customHeight="1" x14ac:dyDescent="0.2">
      <c r="B54" t="s">
        <v>142</v>
      </c>
      <c r="C54" s="12">
        <v>22</v>
      </c>
      <c r="D54" s="8">
        <v>2.58</v>
      </c>
      <c r="E54" s="12">
        <v>8</v>
      </c>
      <c r="F54" s="8">
        <v>1.86</v>
      </c>
      <c r="G54" s="12">
        <v>14</v>
      </c>
      <c r="H54" s="8">
        <v>3.4</v>
      </c>
      <c r="I54" s="12">
        <v>0</v>
      </c>
    </row>
    <row r="55" spans="2:9" ht="15" customHeight="1" x14ac:dyDescent="0.2">
      <c r="B55" t="s">
        <v>141</v>
      </c>
      <c r="C55" s="12">
        <v>17</v>
      </c>
      <c r="D55" s="8">
        <v>1.99</v>
      </c>
      <c r="E55" s="12">
        <v>12</v>
      </c>
      <c r="F55" s="8">
        <v>2.78</v>
      </c>
      <c r="G55" s="12">
        <v>5</v>
      </c>
      <c r="H55" s="8">
        <v>1.21</v>
      </c>
      <c r="I55" s="12">
        <v>0</v>
      </c>
    </row>
    <row r="56" spans="2:9" ht="15" customHeight="1" x14ac:dyDescent="0.2">
      <c r="B56" t="s">
        <v>153</v>
      </c>
      <c r="C56" s="12">
        <v>16</v>
      </c>
      <c r="D56" s="8">
        <v>1.88</v>
      </c>
      <c r="E56" s="12">
        <v>7</v>
      </c>
      <c r="F56" s="8">
        <v>1.62</v>
      </c>
      <c r="G56" s="12">
        <v>9</v>
      </c>
      <c r="H56" s="8">
        <v>2.1800000000000002</v>
      </c>
      <c r="I56" s="12">
        <v>0</v>
      </c>
    </row>
    <row r="57" spans="2:9" ht="15" customHeight="1" x14ac:dyDescent="0.2">
      <c r="B57" t="s">
        <v>139</v>
      </c>
      <c r="C57" s="12">
        <v>16</v>
      </c>
      <c r="D57" s="8">
        <v>1.88</v>
      </c>
      <c r="E57" s="12">
        <v>13</v>
      </c>
      <c r="F57" s="8">
        <v>3.02</v>
      </c>
      <c r="G57" s="12">
        <v>3</v>
      </c>
      <c r="H57" s="8">
        <v>0.73</v>
      </c>
      <c r="I57" s="12">
        <v>0</v>
      </c>
    </row>
    <row r="58" spans="2:9" ht="15" customHeight="1" x14ac:dyDescent="0.2">
      <c r="B58" t="s">
        <v>123</v>
      </c>
      <c r="C58" s="12">
        <v>14</v>
      </c>
      <c r="D58" s="8">
        <v>1.64</v>
      </c>
      <c r="E58" s="12">
        <v>2</v>
      </c>
      <c r="F58" s="8">
        <v>0.46</v>
      </c>
      <c r="G58" s="12">
        <v>12</v>
      </c>
      <c r="H58" s="8">
        <v>2.91</v>
      </c>
      <c r="I58" s="12">
        <v>0</v>
      </c>
    </row>
    <row r="59" spans="2:9" ht="15" customHeight="1" x14ac:dyDescent="0.2">
      <c r="B59" t="s">
        <v>137</v>
      </c>
      <c r="C59" s="12">
        <v>13</v>
      </c>
      <c r="D59" s="8">
        <v>1.52</v>
      </c>
      <c r="E59" s="12">
        <v>12</v>
      </c>
      <c r="F59" s="8">
        <v>2.78</v>
      </c>
      <c r="G59" s="12">
        <v>1</v>
      </c>
      <c r="H59" s="8">
        <v>0.24</v>
      </c>
      <c r="I59" s="12">
        <v>0</v>
      </c>
    </row>
    <row r="60" spans="2:9" ht="15" customHeight="1" x14ac:dyDescent="0.2">
      <c r="B60" t="s">
        <v>165</v>
      </c>
      <c r="C60" s="12">
        <v>12</v>
      </c>
      <c r="D60" s="8">
        <v>1.41</v>
      </c>
      <c r="E60" s="12">
        <v>4</v>
      </c>
      <c r="F60" s="8">
        <v>0.93</v>
      </c>
      <c r="G60" s="12">
        <v>8</v>
      </c>
      <c r="H60" s="8">
        <v>1.94</v>
      </c>
      <c r="I60" s="12">
        <v>0</v>
      </c>
    </row>
    <row r="61" spans="2:9" ht="15" customHeight="1" x14ac:dyDescent="0.2">
      <c r="B61" t="s">
        <v>156</v>
      </c>
      <c r="C61" s="12">
        <v>12</v>
      </c>
      <c r="D61" s="8">
        <v>1.41</v>
      </c>
      <c r="E61" s="12">
        <v>1</v>
      </c>
      <c r="F61" s="8">
        <v>0.23</v>
      </c>
      <c r="G61" s="12">
        <v>11</v>
      </c>
      <c r="H61" s="8">
        <v>2.67</v>
      </c>
      <c r="I61" s="12">
        <v>0</v>
      </c>
    </row>
    <row r="62" spans="2:9" ht="15" customHeight="1" x14ac:dyDescent="0.2">
      <c r="B62" t="s">
        <v>176</v>
      </c>
      <c r="C62" s="12">
        <v>11</v>
      </c>
      <c r="D62" s="8">
        <v>1.29</v>
      </c>
      <c r="E62" s="12">
        <v>4</v>
      </c>
      <c r="F62" s="8">
        <v>0.93</v>
      </c>
      <c r="G62" s="12">
        <v>7</v>
      </c>
      <c r="H62" s="8">
        <v>1.7</v>
      </c>
      <c r="I62" s="12">
        <v>0</v>
      </c>
    </row>
    <row r="63" spans="2:9" ht="15" customHeight="1" x14ac:dyDescent="0.2">
      <c r="B63" t="s">
        <v>158</v>
      </c>
      <c r="C63" s="12">
        <v>11</v>
      </c>
      <c r="D63" s="8">
        <v>1.29</v>
      </c>
      <c r="E63" s="12">
        <v>3</v>
      </c>
      <c r="F63" s="8">
        <v>0.7</v>
      </c>
      <c r="G63" s="12">
        <v>8</v>
      </c>
      <c r="H63" s="8">
        <v>1.94</v>
      </c>
      <c r="I63" s="12">
        <v>0</v>
      </c>
    </row>
    <row r="64" spans="2:9" ht="15" customHeight="1" x14ac:dyDescent="0.2">
      <c r="B64" t="s">
        <v>134</v>
      </c>
      <c r="C64" s="12">
        <v>11</v>
      </c>
      <c r="D64" s="8">
        <v>1.29</v>
      </c>
      <c r="E64" s="12">
        <v>9</v>
      </c>
      <c r="F64" s="8">
        <v>2.09</v>
      </c>
      <c r="G64" s="12">
        <v>2</v>
      </c>
      <c r="H64" s="8">
        <v>0.49</v>
      </c>
      <c r="I64" s="12">
        <v>0</v>
      </c>
    </row>
    <row r="65" spans="2:9" ht="15" customHeight="1" x14ac:dyDescent="0.2">
      <c r="B65" t="s">
        <v>144</v>
      </c>
      <c r="C65" s="12">
        <v>11</v>
      </c>
      <c r="D65" s="8">
        <v>1.29</v>
      </c>
      <c r="E65" s="12">
        <v>5</v>
      </c>
      <c r="F65" s="8">
        <v>1.1599999999999999</v>
      </c>
      <c r="G65" s="12">
        <v>6</v>
      </c>
      <c r="H65" s="8">
        <v>1.46</v>
      </c>
      <c r="I65" s="12">
        <v>0</v>
      </c>
    </row>
    <row r="66" spans="2:9" ht="15" customHeight="1" x14ac:dyDescent="0.2">
      <c r="B66" t="s">
        <v>177</v>
      </c>
      <c r="C66" s="12">
        <v>10</v>
      </c>
      <c r="D66" s="8">
        <v>1.17</v>
      </c>
      <c r="E66" s="12">
        <v>3</v>
      </c>
      <c r="F66" s="8">
        <v>0.7</v>
      </c>
      <c r="G66" s="12">
        <v>7</v>
      </c>
      <c r="H66" s="8">
        <v>1.7</v>
      </c>
      <c r="I66" s="12">
        <v>0</v>
      </c>
    </row>
    <row r="67" spans="2:9" ht="15" customHeight="1" x14ac:dyDescent="0.2">
      <c r="B67" t="s">
        <v>125</v>
      </c>
      <c r="C67" s="12">
        <v>10</v>
      </c>
      <c r="D67" s="8">
        <v>1.17</v>
      </c>
      <c r="E67" s="12">
        <v>1</v>
      </c>
      <c r="F67" s="8">
        <v>0.23</v>
      </c>
      <c r="G67" s="12">
        <v>9</v>
      </c>
      <c r="H67" s="8">
        <v>2.1800000000000002</v>
      </c>
      <c r="I67" s="12">
        <v>0</v>
      </c>
    </row>
    <row r="68" spans="2:9" ht="15" customHeight="1" x14ac:dyDescent="0.2">
      <c r="B68" t="s">
        <v>186</v>
      </c>
      <c r="C68" s="12">
        <v>10</v>
      </c>
      <c r="D68" s="8">
        <v>1.17</v>
      </c>
      <c r="E68" s="12">
        <v>7</v>
      </c>
      <c r="F68" s="8">
        <v>1.62</v>
      </c>
      <c r="G68" s="12">
        <v>3</v>
      </c>
      <c r="H68" s="8">
        <v>0.73</v>
      </c>
      <c r="I68" s="12">
        <v>0</v>
      </c>
    </row>
    <row r="69" spans="2:9" ht="15" customHeight="1" x14ac:dyDescent="0.2">
      <c r="B69" t="s">
        <v>187</v>
      </c>
      <c r="C69" s="12">
        <v>10</v>
      </c>
      <c r="D69" s="8">
        <v>1.17</v>
      </c>
      <c r="E69" s="12">
        <v>3</v>
      </c>
      <c r="F69" s="8">
        <v>0.7</v>
      </c>
      <c r="G69" s="12">
        <v>7</v>
      </c>
      <c r="H69" s="8">
        <v>1.7</v>
      </c>
      <c r="I69" s="12">
        <v>0</v>
      </c>
    </row>
    <row r="70" spans="2:9" ht="15" customHeight="1" x14ac:dyDescent="0.2">
      <c r="B70" t="s">
        <v>188</v>
      </c>
      <c r="C70" s="12">
        <v>10</v>
      </c>
      <c r="D70" s="8">
        <v>1.17</v>
      </c>
      <c r="E70" s="12">
        <v>3</v>
      </c>
      <c r="F70" s="8">
        <v>0.7</v>
      </c>
      <c r="G70" s="12">
        <v>5</v>
      </c>
      <c r="H70" s="8">
        <v>1.21</v>
      </c>
      <c r="I70" s="12">
        <v>2</v>
      </c>
    </row>
    <row r="72" spans="2:9" ht="15" customHeight="1" x14ac:dyDescent="0.2">
      <c r="B72" t="s">
        <v>235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FF065-11CC-43DA-9C84-D30332A9C4F9}">
  <sheetPr>
    <pageSetUpPr fitToPage="1"/>
  </sheetPr>
  <dimension ref="B2:I71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258</v>
      </c>
    </row>
    <row r="4" spans="2:9" ht="33" customHeight="1" x14ac:dyDescent="0.2">
      <c r="B4" t="s">
        <v>231</v>
      </c>
      <c r="C4" s="10" t="s">
        <v>59</v>
      </c>
      <c r="D4" s="10" t="s">
        <v>60</v>
      </c>
      <c r="E4" s="10" t="s">
        <v>61</v>
      </c>
      <c r="F4" s="10" t="s">
        <v>62</v>
      </c>
      <c r="G4" s="10" t="s">
        <v>63</v>
      </c>
      <c r="H4" s="10" t="s">
        <v>64</v>
      </c>
      <c r="I4" s="10" t="s">
        <v>65</v>
      </c>
    </row>
    <row r="5" spans="2:9" ht="15" customHeight="1" x14ac:dyDescent="0.2">
      <c r="B5" t="s">
        <v>43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44</v>
      </c>
      <c r="C6" s="12">
        <v>48</v>
      </c>
      <c r="D6" s="8">
        <v>9.01</v>
      </c>
      <c r="E6" s="12">
        <v>15</v>
      </c>
      <c r="F6" s="8">
        <v>5.36</v>
      </c>
      <c r="G6" s="12">
        <v>33</v>
      </c>
      <c r="H6" s="8">
        <v>13.31</v>
      </c>
      <c r="I6" s="12">
        <v>0</v>
      </c>
    </row>
    <row r="7" spans="2:9" ht="15" customHeight="1" x14ac:dyDescent="0.2">
      <c r="B7" t="s">
        <v>45</v>
      </c>
      <c r="C7" s="12">
        <v>102</v>
      </c>
      <c r="D7" s="8">
        <v>19.14</v>
      </c>
      <c r="E7" s="12">
        <v>45</v>
      </c>
      <c r="F7" s="8">
        <v>16.07</v>
      </c>
      <c r="G7" s="12">
        <v>57</v>
      </c>
      <c r="H7" s="8">
        <v>22.98</v>
      </c>
      <c r="I7" s="12">
        <v>0</v>
      </c>
    </row>
    <row r="8" spans="2:9" ht="15" customHeight="1" x14ac:dyDescent="0.2">
      <c r="B8" t="s">
        <v>46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47</v>
      </c>
      <c r="C9" s="12">
        <v>5</v>
      </c>
      <c r="D9" s="8">
        <v>0.94</v>
      </c>
      <c r="E9" s="12">
        <v>0</v>
      </c>
      <c r="F9" s="8">
        <v>0</v>
      </c>
      <c r="G9" s="12">
        <v>5</v>
      </c>
      <c r="H9" s="8">
        <v>2.02</v>
      </c>
      <c r="I9" s="12">
        <v>0</v>
      </c>
    </row>
    <row r="10" spans="2:9" ht="15" customHeight="1" x14ac:dyDescent="0.2">
      <c r="B10" t="s">
        <v>48</v>
      </c>
      <c r="C10" s="12">
        <v>3</v>
      </c>
      <c r="D10" s="8">
        <v>0.56000000000000005</v>
      </c>
      <c r="E10" s="12">
        <v>0</v>
      </c>
      <c r="F10" s="8">
        <v>0</v>
      </c>
      <c r="G10" s="12">
        <v>3</v>
      </c>
      <c r="H10" s="8">
        <v>1.21</v>
      </c>
      <c r="I10" s="12">
        <v>0</v>
      </c>
    </row>
    <row r="11" spans="2:9" ht="15" customHeight="1" x14ac:dyDescent="0.2">
      <c r="B11" t="s">
        <v>49</v>
      </c>
      <c r="C11" s="12">
        <v>151</v>
      </c>
      <c r="D11" s="8">
        <v>28.33</v>
      </c>
      <c r="E11" s="12">
        <v>82</v>
      </c>
      <c r="F11" s="8">
        <v>29.29</v>
      </c>
      <c r="G11" s="12">
        <v>69</v>
      </c>
      <c r="H11" s="8">
        <v>27.82</v>
      </c>
      <c r="I11" s="12">
        <v>0</v>
      </c>
    </row>
    <row r="12" spans="2:9" ht="15" customHeight="1" x14ac:dyDescent="0.2">
      <c r="B12" t="s">
        <v>50</v>
      </c>
      <c r="C12" s="12">
        <v>1</v>
      </c>
      <c r="D12" s="8">
        <v>0.19</v>
      </c>
      <c r="E12" s="12">
        <v>0</v>
      </c>
      <c r="F12" s="8">
        <v>0</v>
      </c>
      <c r="G12" s="12">
        <v>1</v>
      </c>
      <c r="H12" s="8">
        <v>0.4</v>
      </c>
      <c r="I12" s="12">
        <v>0</v>
      </c>
    </row>
    <row r="13" spans="2:9" ht="15" customHeight="1" x14ac:dyDescent="0.2">
      <c r="B13" t="s">
        <v>51</v>
      </c>
      <c r="C13" s="12">
        <v>34</v>
      </c>
      <c r="D13" s="8">
        <v>6.38</v>
      </c>
      <c r="E13" s="12">
        <v>7</v>
      </c>
      <c r="F13" s="8">
        <v>2.5</v>
      </c>
      <c r="G13" s="12">
        <v>27</v>
      </c>
      <c r="H13" s="8">
        <v>10.89</v>
      </c>
      <c r="I13" s="12">
        <v>0</v>
      </c>
    </row>
    <row r="14" spans="2:9" ht="15" customHeight="1" x14ac:dyDescent="0.2">
      <c r="B14" t="s">
        <v>52</v>
      </c>
      <c r="C14" s="12">
        <v>21</v>
      </c>
      <c r="D14" s="8">
        <v>3.94</v>
      </c>
      <c r="E14" s="12">
        <v>9</v>
      </c>
      <c r="F14" s="8">
        <v>3.21</v>
      </c>
      <c r="G14" s="12">
        <v>12</v>
      </c>
      <c r="H14" s="8">
        <v>4.84</v>
      </c>
      <c r="I14" s="12">
        <v>0</v>
      </c>
    </row>
    <row r="15" spans="2:9" ht="15" customHeight="1" x14ac:dyDescent="0.2">
      <c r="B15" t="s">
        <v>53</v>
      </c>
      <c r="C15" s="12">
        <v>35</v>
      </c>
      <c r="D15" s="8">
        <v>6.57</v>
      </c>
      <c r="E15" s="12">
        <v>28</v>
      </c>
      <c r="F15" s="8">
        <v>10</v>
      </c>
      <c r="G15" s="12">
        <v>7</v>
      </c>
      <c r="H15" s="8">
        <v>2.82</v>
      </c>
      <c r="I15" s="12">
        <v>0</v>
      </c>
    </row>
    <row r="16" spans="2:9" ht="15" customHeight="1" x14ac:dyDescent="0.2">
      <c r="B16" t="s">
        <v>54</v>
      </c>
      <c r="C16" s="12">
        <v>59</v>
      </c>
      <c r="D16" s="8">
        <v>11.07</v>
      </c>
      <c r="E16" s="12">
        <v>49</v>
      </c>
      <c r="F16" s="8">
        <v>17.5</v>
      </c>
      <c r="G16" s="12">
        <v>10</v>
      </c>
      <c r="H16" s="8">
        <v>4.03</v>
      </c>
      <c r="I16" s="12">
        <v>0</v>
      </c>
    </row>
    <row r="17" spans="2:9" ht="15" customHeight="1" x14ac:dyDescent="0.2">
      <c r="B17" t="s">
        <v>55</v>
      </c>
      <c r="C17" s="12">
        <v>20</v>
      </c>
      <c r="D17" s="8">
        <v>3.75</v>
      </c>
      <c r="E17" s="12">
        <v>13</v>
      </c>
      <c r="F17" s="8">
        <v>4.6399999999999997</v>
      </c>
      <c r="G17" s="12">
        <v>5</v>
      </c>
      <c r="H17" s="8">
        <v>2.02</v>
      </c>
      <c r="I17" s="12">
        <v>0</v>
      </c>
    </row>
    <row r="18" spans="2:9" ht="15" customHeight="1" x14ac:dyDescent="0.2">
      <c r="B18" t="s">
        <v>56</v>
      </c>
      <c r="C18" s="12">
        <v>25</v>
      </c>
      <c r="D18" s="8">
        <v>4.6900000000000004</v>
      </c>
      <c r="E18" s="12">
        <v>18</v>
      </c>
      <c r="F18" s="8">
        <v>6.43</v>
      </c>
      <c r="G18" s="12">
        <v>6</v>
      </c>
      <c r="H18" s="8">
        <v>2.42</v>
      </c>
      <c r="I18" s="12">
        <v>0</v>
      </c>
    </row>
    <row r="19" spans="2:9" ht="15" customHeight="1" x14ac:dyDescent="0.2">
      <c r="B19" t="s">
        <v>57</v>
      </c>
      <c r="C19" s="12">
        <v>29</v>
      </c>
      <c r="D19" s="8">
        <v>5.44</v>
      </c>
      <c r="E19" s="12">
        <v>14</v>
      </c>
      <c r="F19" s="8">
        <v>5</v>
      </c>
      <c r="G19" s="12">
        <v>13</v>
      </c>
      <c r="H19" s="8">
        <v>5.24</v>
      </c>
      <c r="I19" s="12">
        <v>1</v>
      </c>
    </row>
    <row r="20" spans="2:9" ht="15" customHeight="1" x14ac:dyDescent="0.2">
      <c r="B20" s="9" t="s">
        <v>232</v>
      </c>
      <c r="C20" s="12">
        <f>SUM(LTBL_21303[総数／事業所数])</f>
        <v>533</v>
      </c>
      <c r="E20" s="12">
        <f>SUBTOTAL(109,LTBL_21303[個人／事業所数])</f>
        <v>280</v>
      </c>
      <c r="G20" s="12">
        <f>SUBTOTAL(109,LTBL_21303[法人／事業所数])</f>
        <v>248</v>
      </c>
      <c r="I20" s="12">
        <f>SUBTOTAL(109,LTBL_21303[法人以外の団体／事業所数])</f>
        <v>1</v>
      </c>
    </row>
    <row r="21" spans="2:9" ht="15" customHeight="1" x14ac:dyDescent="0.2">
      <c r="E21" s="11">
        <f>LTBL_21303[[#Totals],[個人／事業所数]]/LTBL_21303[[#Totals],[総数／事業所数]]</f>
        <v>0.52532833020637903</v>
      </c>
      <c r="G21" s="11">
        <f>LTBL_21303[[#Totals],[法人／事業所数]]/LTBL_21303[[#Totals],[総数／事業所数]]</f>
        <v>0.46529080675422141</v>
      </c>
      <c r="I21" s="11">
        <f>LTBL_21303[[#Totals],[法人以外の団体／事業所数]]/LTBL_21303[[#Totals],[総数／事業所数]]</f>
        <v>1.876172607879925E-3</v>
      </c>
    </row>
    <row r="23" spans="2:9" ht="33" customHeight="1" x14ac:dyDescent="0.2">
      <c r="B23" t="s">
        <v>233</v>
      </c>
      <c r="C23" s="10" t="s">
        <v>59</v>
      </c>
      <c r="D23" s="10" t="s">
        <v>60</v>
      </c>
      <c r="E23" s="10" t="s">
        <v>61</v>
      </c>
      <c r="F23" s="10" t="s">
        <v>62</v>
      </c>
      <c r="G23" s="10" t="s">
        <v>63</v>
      </c>
      <c r="H23" s="10" t="s">
        <v>64</v>
      </c>
      <c r="I23" s="10" t="s">
        <v>65</v>
      </c>
    </row>
    <row r="24" spans="2:9" ht="15" customHeight="1" x14ac:dyDescent="0.2">
      <c r="B24" t="s">
        <v>82</v>
      </c>
      <c r="C24" s="12">
        <v>52</v>
      </c>
      <c r="D24" s="8">
        <v>9.76</v>
      </c>
      <c r="E24" s="12">
        <v>46</v>
      </c>
      <c r="F24" s="8">
        <v>16.43</v>
      </c>
      <c r="G24" s="12">
        <v>6</v>
      </c>
      <c r="H24" s="8">
        <v>2.42</v>
      </c>
      <c r="I24" s="12">
        <v>0</v>
      </c>
    </row>
    <row r="25" spans="2:9" ht="15" customHeight="1" x14ac:dyDescent="0.2">
      <c r="B25" t="s">
        <v>77</v>
      </c>
      <c r="C25" s="12">
        <v>42</v>
      </c>
      <c r="D25" s="8">
        <v>7.88</v>
      </c>
      <c r="E25" s="12">
        <v>23</v>
      </c>
      <c r="F25" s="8">
        <v>8.2100000000000009</v>
      </c>
      <c r="G25" s="12">
        <v>19</v>
      </c>
      <c r="H25" s="8">
        <v>7.66</v>
      </c>
      <c r="I25" s="12">
        <v>0</v>
      </c>
    </row>
    <row r="26" spans="2:9" ht="15" customHeight="1" x14ac:dyDescent="0.2">
      <c r="B26" t="s">
        <v>69</v>
      </c>
      <c r="C26" s="12">
        <v>37</v>
      </c>
      <c r="D26" s="8">
        <v>6.94</v>
      </c>
      <c r="E26" s="12">
        <v>20</v>
      </c>
      <c r="F26" s="8">
        <v>7.14</v>
      </c>
      <c r="G26" s="12">
        <v>17</v>
      </c>
      <c r="H26" s="8">
        <v>6.85</v>
      </c>
      <c r="I26" s="12">
        <v>0</v>
      </c>
    </row>
    <row r="27" spans="2:9" ht="15" customHeight="1" x14ac:dyDescent="0.2">
      <c r="B27" t="s">
        <v>75</v>
      </c>
      <c r="C27" s="12">
        <v>33</v>
      </c>
      <c r="D27" s="8">
        <v>6.19</v>
      </c>
      <c r="E27" s="12">
        <v>27</v>
      </c>
      <c r="F27" s="8">
        <v>9.64</v>
      </c>
      <c r="G27" s="12">
        <v>6</v>
      </c>
      <c r="H27" s="8">
        <v>2.42</v>
      </c>
      <c r="I27" s="12">
        <v>0</v>
      </c>
    </row>
    <row r="28" spans="2:9" ht="15" customHeight="1" x14ac:dyDescent="0.2">
      <c r="B28" t="s">
        <v>81</v>
      </c>
      <c r="C28" s="12">
        <v>31</v>
      </c>
      <c r="D28" s="8">
        <v>5.82</v>
      </c>
      <c r="E28" s="12">
        <v>27</v>
      </c>
      <c r="F28" s="8">
        <v>9.64</v>
      </c>
      <c r="G28" s="12">
        <v>4</v>
      </c>
      <c r="H28" s="8">
        <v>1.61</v>
      </c>
      <c r="I28" s="12">
        <v>0</v>
      </c>
    </row>
    <row r="29" spans="2:9" ht="15" customHeight="1" x14ac:dyDescent="0.2">
      <c r="B29" t="s">
        <v>78</v>
      </c>
      <c r="C29" s="12">
        <v>27</v>
      </c>
      <c r="D29" s="8">
        <v>5.07</v>
      </c>
      <c r="E29" s="12">
        <v>3</v>
      </c>
      <c r="F29" s="8">
        <v>1.07</v>
      </c>
      <c r="G29" s="12">
        <v>24</v>
      </c>
      <c r="H29" s="8">
        <v>9.68</v>
      </c>
      <c r="I29" s="12">
        <v>0</v>
      </c>
    </row>
    <row r="30" spans="2:9" ht="15" customHeight="1" x14ac:dyDescent="0.2">
      <c r="B30" t="s">
        <v>76</v>
      </c>
      <c r="C30" s="12">
        <v>24</v>
      </c>
      <c r="D30" s="8">
        <v>4.5</v>
      </c>
      <c r="E30" s="12">
        <v>14</v>
      </c>
      <c r="F30" s="8">
        <v>5</v>
      </c>
      <c r="G30" s="12">
        <v>10</v>
      </c>
      <c r="H30" s="8">
        <v>4.03</v>
      </c>
      <c r="I30" s="12">
        <v>0</v>
      </c>
    </row>
    <row r="31" spans="2:9" ht="15" customHeight="1" x14ac:dyDescent="0.2">
      <c r="B31" t="s">
        <v>66</v>
      </c>
      <c r="C31" s="12">
        <v>20</v>
      </c>
      <c r="D31" s="8">
        <v>3.75</v>
      </c>
      <c r="E31" s="12">
        <v>6</v>
      </c>
      <c r="F31" s="8">
        <v>2.14</v>
      </c>
      <c r="G31" s="12">
        <v>14</v>
      </c>
      <c r="H31" s="8">
        <v>5.65</v>
      </c>
      <c r="I31" s="12">
        <v>0</v>
      </c>
    </row>
    <row r="32" spans="2:9" ht="15" customHeight="1" x14ac:dyDescent="0.2">
      <c r="B32" t="s">
        <v>83</v>
      </c>
      <c r="C32" s="12">
        <v>20</v>
      </c>
      <c r="D32" s="8">
        <v>3.75</v>
      </c>
      <c r="E32" s="12">
        <v>13</v>
      </c>
      <c r="F32" s="8">
        <v>4.6399999999999997</v>
      </c>
      <c r="G32" s="12">
        <v>5</v>
      </c>
      <c r="H32" s="8">
        <v>2.02</v>
      </c>
      <c r="I32" s="12">
        <v>0</v>
      </c>
    </row>
    <row r="33" spans="2:9" ht="15" customHeight="1" x14ac:dyDescent="0.2">
      <c r="B33" t="s">
        <v>84</v>
      </c>
      <c r="C33" s="12">
        <v>19</v>
      </c>
      <c r="D33" s="8">
        <v>3.56</v>
      </c>
      <c r="E33" s="12">
        <v>18</v>
      </c>
      <c r="F33" s="8">
        <v>6.43</v>
      </c>
      <c r="G33" s="12">
        <v>1</v>
      </c>
      <c r="H33" s="8">
        <v>0.4</v>
      </c>
      <c r="I33" s="12">
        <v>0</v>
      </c>
    </row>
    <row r="34" spans="2:9" ht="15" customHeight="1" x14ac:dyDescent="0.2">
      <c r="B34" t="s">
        <v>67</v>
      </c>
      <c r="C34" s="12">
        <v>16</v>
      </c>
      <c r="D34" s="8">
        <v>3</v>
      </c>
      <c r="E34" s="12">
        <v>7</v>
      </c>
      <c r="F34" s="8">
        <v>2.5</v>
      </c>
      <c r="G34" s="12">
        <v>9</v>
      </c>
      <c r="H34" s="8">
        <v>3.63</v>
      </c>
      <c r="I34" s="12">
        <v>0</v>
      </c>
    </row>
    <row r="35" spans="2:9" ht="15" customHeight="1" x14ac:dyDescent="0.2">
      <c r="B35" t="s">
        <v>85</v>
      </c>
      <c r="C35" s="12">
        <v>16</v>
      </c>
      <c r="D35" s="8">
        <v>3</v>
      </c>
      <c r="E35" s="12">
        <v>12</v>
      </c>
      <c r="F35" s="8">
        <v>4.29</v>
      </c>
      <c r="G35" s="12">
        <v>4</v>
      </c>
      <c r="H35" s="8">
        <v>1.61</v>
      </c>
      <c r="I35" s="12">
        <v>0</v>
      </c>
    </row>
    <row r="36" spans="2:9" ht="15" customHeight="1" x14ac:dyDescent="0.2">
      <c r="B36" t="s">
        <v>74</v>
      </c>
      <c r="C36" s="12">
        <v>13</v>
      </c>
      <c r="D36" s="8">
        <v>2.44</v>
      </c>
      <c r="E36" s="12">
        <v>10</v>
      </c>
      <c r="F36" s="8">
        <v>3.57</v>
      </c>
      <c r="G36" s="12">
        <v>3</v>
      </c>
      <c r="H36" s="8">
        <v>1.21</v>
      </c>
      <c r="I36" s="12">
        <v>0</v>
      </c>
    </row>
    <row r="37" spans="2:9" ht="15" customHeight="1" x14ac:dyDescent="0.2">
      <c r="B37" t="s">
        <v>68</v>
      </c>
      <c r="C37" s="12">
        <v>12</v>
      </c>
      <c r="D37" s="8">
        <v>2.25</v>
      </c>
      <c r="E37" s="12">
        <v>2</v>
      </c>
      <c r="F37" s="8">
        <v>0.71</v>
      </c>
      <c r="G37" s="12">
        <v>10</v>
      </c>
      <c r="H37" s="8">
        <v>4.03</v>
      </c>
      <c r="I37" s="12">
        <v>0</v>
      </c>
    </row>
    <row r="38" spans="2:9" ht="15" customHeight="1" x14ac:dyDescent="0.2">
      <c r="B38" t="s">
        <v>71</v>
      </c>
      <c r="C38" s="12">
        <v>12</v>
      </c>
      <c r="D38" s="8">
        <v>2.25</v>
      </c>
      <c r="E38" s="12">
        <v>5</v>
      </c>
      <c r="F38" s="8">
        <v>1.79</v>
      </c>
      <c r="G38" s="12">
        <v>7</v>
      </c>
      <c r="H38" s="8">
        <v>2.82</v>
      </c>
      <c r="I38" s="12">
        <v>0</v>
      </c>
    </row>
    <row r="39" spans="2:9" ht="15" customHeight="1" x14ac:dyDescent="0.2">
      <c r="B39" t="s">
        <v>79</v>
      </c>
      <c r="C39" s="12">
        <v>11</v>
      </c>
      <c r="D39" s="8">
        <v>2.06</v>
      </c>
      <c r="E39" s="12">
        <v>6</v>
      </c>
      <c r="F39" s="8">
        <v>2.14</v>
      </c>
      <c r="G39" s="12">
        <v>5</v>
      </c>
      <c r="H39" s="8">
        <v>2.02</v>
      </c>
      <c r="I39" s="12">
        <v>0</v>
      </c>
    </row>
    <row r="40" spans="2:9" ht="15" customHeight="1" x14ac:dyDescent="0.2">
      <c r="B40" t="s">
        <v>72</v>
      </c>
      <c r="C40" s="12">
        <v>9</v>
      </c>
      <c r="D40" s="8">
        <v>1.69</v>
      </c>
      <c r="E40" s="12">
        <v>1</v>
      </c>
      <c r="F40" s="8">
        <v>0.36</v>
      </c>
      <c r="G40" s="12">
        <v>8</v>
      </c>
      <c r="H40" s="8">
        <v>3.23</v>
      </c>
      <c r="I40" s="12">
        <v>0</v>
      </c>
    </row>
    <row r="41" spans="2:9" ht="15" customHeight="1" x14ac:dyDescent="0.2">
      <c r="B41" t="s">
        <v>86</v>
      </c>
      <c r="C41" s="12">
        <v>8</v>
      </c>
      <c r="D41" s="8">
        <v>1.5</v>
      </c>
      <c r="E41" s="12">
        <v>1</v>
      </c>
      <c r="F41" s="8">
        <v>0.36</v>
      </c>
      <c r="G41" s="12">
        <v>7</v>
      </c>
      <c r="H41" s="8">
        <v>2.82</v>
      </c>
      <c r="I41" s="12">
        <v>0</v>
      </c>
    </row>
    <row r="42" spans="2:9" ht="15" customHeight="1" x14ac:dyDescent="0.2">
      <c r="B42" t="s">
        <v>73</v>
      </c>
      <c r="C42" s="12">
        <v>8</v>
      </c>
      <c r="D42" s="8">
        <v>1.5</v>
      </c>
      <c r="E42" s="12">
        <v>3</v>
      </c>
      <c r="F42" s="8">
        <v>1.07</v>
      </c>
      <c r="G42" s="12">
        <v>5</v>
      </c>
      <c r="H42" s="8">
        <v>2.02</v>
      </c>
      <c r="I42" s="12">
        <v>0</v>
      </c>
    </row>
    <row r="43" spans="2:9" ht="15" customHeight="1" x14ac:dyDescent="0.2">
      <c r="B43" t="s">
        <v>93</v>
      </c>
      <c r="C43" s="12">
        <v>7</v>
      </c>
      <c r="D43" s="8">
        <v>1.31</v>
      </c>
      <c r="E43" s="12">
        <v>2</v>
      </c>
      <c r="F43" s="8">
        <v>0.71</v>
      </c>
      <c r="G43" s="12">
        <v>5</v>
      </c>
      <c r="H43" s="8">
        <v>2.02</v>
      </c>
      <c r="I43" s="12">
        <v>0</v>
      </c>
    </row>
    <row r="44" spans="2:9" ht="15" customHeight="1" x14ac:dyDescent="0.2">
      <c r="B44" t="s">
        <v>105</v>
      </c>
      <c r="C44" s="12">
        <v>7</v>
      </c>
      <c r="D44" s="8">
        <v>1.31</v>
      </c>
      <c r="E44" s="12">
        <v>3</v>
      </c>
      <c r="F44" s="8">
        <v>1.07</v>
      </c>
      <c r="G44" s="12">
        <v>4</v>
      </c>
      <c r="H44" s="8">
        <v>1.61</v>
      </c>
      <c r="I44" s="12">
        <v>0</v>
      </c>
    </row>
    <row r="45" spans="2:9" ht="15" customHeight="1" x14ac:dyDescent="0.2">
      <c r="B45" t="s">
        <v>87</v>
      </c>
      <c r="C45" s="12">
        <v>7</v>
      </c>
      <c r="D45" s="8">
        <v>1.31</v>
      </c>
      <c r="E45" s="12">
        <v>0</v>
      </c>
      <c r="F45" s="8">
        <v>0</v>
      </c>
      <c r="G45" s="12">
        <v>7</v>
      </c>
      <c r="H45" s="8">
        <v>2.82</v>
      </c>
      <c r="I45" s="12">
        <v>0</v>
      </c>
    </row>
    <row r="46" spans="2:9" ht="15" customHeight="1" x14ac:dyDescent="0.2">
      <c r="B46" t="s">
        <v>80</v>
      </c>
      <c r="C46" s="12">
        <v>7</v>
      </c>
      <c r="D46" s="8">
        <v>1.31</v>
      </c>
      <c r="E46" s="12">
        <v>3</v>
      </c>
      <c r="F46" s="8">
        <v>1.07</v>
      </c>
      <c r="G46" s="12">
        <v>4</v>
      </c>
      <c r="H46" s="8">
        <v>1.61</v>
      </c>
      <c r="I46" s="12">
        <v>0</v>
      </c>
    </row>
    <row r="49" spans="2:9" ht="33" customHeight="1" x14ac:dyDescent="0.2">
      <c r="B49" t="s">
        <v>234</v>
      </c>
      <c r="C49" s="10" t="s">
        <v>59</v>
      </c>
      <c r="D49" s="10" t="s">
        <v>60</v>
      </c>
      <c r="E49" s="10" t="s">
        <v>61</v>
      </c>
      <c r="F49" s="10" t="s">
        <v>62</v>
      </c>
      <c r="G49" s="10" t="s">
        <v>63</v>
      </c>
      <c r="H49" s="10" t="s">
        <v>64</v>
      </c>
      <c r="I49" s="10" t="s">
        <v>65</v>
      </c>
    </row>
    <row r="50" spans="2:9" ht="15" customHeight="1" x14ac:dyDescent="0.2">
      <c r="B50" t="s">
        <v>138</v>
      </c>
      <c r="C50" s="12">
        <v>28</v>
      </c>
      <c r="D50" s="8">
        <v>5.25</v>
      </c>
      <c r="E50" s="12">
        <v>24</v>
      </c>
      <c r="F50" s="8">
        <v>8.57</v>
      </c>
      <c r="G50" s="12">
        <v>4</v>
      </c>
      <c r="H50" s="8">
        <v>1.61</v>
      </c>
      <c r="I50" s="12">
        <v>0</v>
      </c>
    </row>
    <row r="51" spans="2:9" ht="15" customHeight="1" x14ac:dyDescent="0.2">
      <c r="B51" t="s">
        <v>136</v>
      </c>
      <c r="C51" s="12">
        <v>19</v>
      </c>
      <c r="D51" s="8">
        <v>3.56</v>
      </c>
      <c r="E51" s="12">
        <v>17</v>
      </c>
      <c r="F51" s="8">
        <v>6.07</v>
      </c>
      <c r="G51" s="12">
        <v>2</v>
      </c>
      <c r="H51" s="8">
        <v>0.81</v>
      </c>
      <c r="I51" s="12">
        <v>0</v>
      </c>
    </row>
    <row r="52" spans="2:9" ht="15" customHeight="1" x14ac:dyDescent="0.2">
      <c r="B52" t="s">
        <v>140</v>
      </c>
      <c r="C52" s="12">
        <v>16</v>
      </c>
      <c r="D52" s="8">
        <v>3</v>
      </c>
      <c r="E52" s="12">
        <v>16</v>
      </c>
      <c r="F52" s="8">
        <v>5.71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141</v>
      </c>
      <c r="C53" s="12">
        <v>16</v>
      </c>
      <c r="D53" s="8">
        <v>3</v>
      </c>
      <c r="E53" s="12">
        <v>12</v>
      </c>
      <c r="F53" s="8">
        <v>4.29</v>
      </c>
      <c r="G53" s="12">
        <v>4</v>
      </c>
      <c r="H53" s="8">
        <v>1.61</v>
      </c>
      <c r="I53" s="12">
        <v>0</v>
      </c>
    </row>
    <row r="54" spans="2:9" ht="15" customHeight="1" x14ac:dyDescent="0.2">
      <c r="B54" t="s">
        <v>128</v>
      </c>
      <c r="C54" s="12">
        <v>14</v>
      </c>
      <c r="D54" s="8">
        <v>2.63</v>
      </c>
      <c r="E54" s="12">
        <v>7</v>
      </c>
      <c r="F54" s="8">
        <v>2.5</v>
      </c>
      <c r="G54" s="12">
        <v>7</v>
      </c>
      <c r="H54" s="8">
        <v>2.82</v>
      </c>
      <c r="I54" s="12">
        <v>0</v>
      </c>
    </row>
    <row r="55" spans="2:9" ht="15" customHeight="1" x14ac:dyDescent="0.2">
      <c r="B55" t="s">
        <v>137</v>
      </c>
      <c r="C55" s="12">
        <v>14</v>
      </c>
      <c r="D55" s="8">
        <v>2.63</v>
      </c>
      <c r="E55" s="12">
        <v>14</v>
      </c>
      <c r="F55" s="8">
        <v>5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132</v>
      </c>
      <c r="C56" s="12">
        <v>13</v>
      </c>
      <c r="D56" s="8">
        <v>2.44</v>
      </c>
      <c r="E56" s="12">
        <v>1</v>
      </c>
      <c r="F56" s="8">
        <v>0.36</v>
      </c>
      <c r="G56" s="12">
        <v>12</v>
      </c>
      <c r="H56" s="8">
        <v>4.84</v>
      </c>
      <c r="I56" s="12">
        <v>0</v>
      </c>
    </row>
    <row r="57" spans="2:9" ht="15" customHeight="1" x14ac:dyDescent="0.2">
      <c r="B57" t="s">
        <v>142</v>
      </c>
      <c r="C57" s="12">
        <v>12</v>
      </c>
      <c r="D57" s="8">
        <v>2.25</v>
      </c>
      <c r="E57" s="12">
        <v>6</v>
      </c>
      <c r="F57" s="8">
        <v>2.14</v>
      </c>
      <c r="G57" s="12">
        <v>6</v>
      </c>
      <c r="H57" s="8">
        <v>2.42</v>
      </c>
      <c r="I57" s="12">
        <v>0</v>
      </c>
    </row>
    <row r="58" spans="2:9" ht="15" customHeight="1" x14ac:dyDescent="0.2">
      <c r="B58" t="s">
        <v>148</v>
      </c>
      <c r="C58" s="12">
        <v>12</v>
      </c>
      <c r="D58" s="8">
        <v>2.25</v>
      </c>
      <c r="E58" s="12">
        <v>10</v>
      </c>
      <c r="F58" s="8">
        <v>3.57</v>
      </c>
      <c r="G58" s="12">
        <v>2</v>
      </c>
      <c r="H58" s="8">
        <v>0.81</v>
      </c>
      <c r="I58" s="12">
        <v>0</v>
      </c>
    </row>
    <row r="59" spans="2:9" ht="15" customHeight="1" x14ac:dyDescent="0.2">
      <c r="B59" t="s">
        <v>131</v>
      </c>
      <c r="C59" s="12">
        <v>12</v>
      </c>
      <c r="D59" s="8">
        <v>2.25</v>
      </c>
      <c r="E59" s="12">
        <v>1</v>
      </c>
      <c r="F59" s="8">
        <v>0.36</v>
      </c>
      <c r="G59" s="12">
        <v>11</v>
      </c>
      <c r="H59" s="8">
        <v>4.4400000000000004</v>
      </c>
      <c r="I59" s="12">
        <v>0</v>
      </c>
    </row>
    <row r="60" spans="2:9" ht="15" customHeight="1" x14ac:dyDescent="0.2">
      <c r="B60" t="s">
        <v>139</v>
      </c>
      <c r="C60" s="12">
        <v>10</v>
      </c>
      <c r="D60" s="8">
        <v>1.88</v>
      </c>
      <c r="E60" s="12">
        <v>6</v>
      </c>
      <c r="F60" s="8">
        <v>2.14</v>
      </c>
      <c r="G60" s="12">
        <v>4</v>
      </c>
      <c r="H60" s="8">
        <v>1.61</v>
      </c>
      <c r="I60" s="12">
        <v>0</v>
      </c>
    </row>
    <row r="61" spans="2:9" ht="15" customHeight="1" x14ac:dyDescent="0.2">
      <c r="B61" t="s">
        <v>130</v>
      </c>
      <c r="C61" s="12">
        <v>9</v>
      </c>
      <c r="D61" s="8">
        <v>1.69</v>
      </c>
      <c r="E61" s="12">
        <v>6</v>
      </c>
      <c r="F61" s="8">
        <v>2.14</v>
      </c>
      <c r="G61" s="12">
        <v>3</v>
      </c>
      <c r="H61" s="8">
        <v>1.21</v>
      </c>
      <c r="I61" s="12">
        <v>0</v>
      </c>
    </row>
    <row r="62" spans="2:9" ht="15" customHeight="1" x14ac:dyDescent="0.2">
      <c r="B62" t="s">
        <v>123</v>
      </c>
      <c r="C62" s="12">
        <v>8</v>
      </c>
      <c r="D62" s="8">
        <v>1.5</v>
      </c>
      <c r="E62" s="12">
        <v>2</v>
      </c>
      <c r="F62" s="8">
        <v>0.71</v>
      </c>
      <c r="G62" s="12">
        <v>6</v>
      </c>
      <c r="H62" s="8">
        <v>2.42</v>
      </c>
      <c r="I62" s="12">
        <v>0</v>
      </c>
    </row>
    <row r="63" spans="2:9" ht="15" customHeight="1" x14ac:dyDescent="0.2">
      <c r="B63" t="s">
        <v>178</v>
      </c>
      <c r="C63" s="12">
        <v>8</v>
      </c>
      <c r="D63" s="8">
        <v>1.5</v>
      </c>
      <c r="E63" s="12">
        <v>7</v>
      </c>
      <c r="F63" s="8">
        <v>2.5</v>
      </c>
      <c r="G63" s="12">
        <v>1</v>
      </c>
      <c r="H63" s="8">
        <v>0.4</v>
      </c>
      <c r="I63" s="12">
        <v>0</v>
      </c>
    </row>
    <row r="64" spans="2:9" ht="15" customHeight="1" x14ac:dyDescent="0.2">
      <c r="B64" t="s">
        <v>127</v>
      </c>
      <c r="C64" s="12">
        <v>8</v>
      </c>
      <c r="D64" s="8">
        <v>1.5</v>
      </c>
      <c r="E64" s="12">
        <v>7</v>
      </c>
      <c r="F64" s="8">
        <v>2.5</v>
      </c>
      <c r="G64" s="12">
        <v>1</v>
      </c>
      <c r="H64" s="8">
        <v>0.4</v>
      </c>
      <c r="I64" s="12">
        <v>0</v>
      </c>
    </row>
    <row r="65" spans="2:9" ht="15" customHeight="1" x14ac:dyDescent="0.2">
      <c r="B65" t="s">
        <v>163</v>
      </c>
      <c r="C65" s="12">
        <v>8</v>
      </c>
      <c r="D65" s="8">
        <v>1.5</v>
      </c>
      <c r="E65" s="12">
        <v>5</v>
      </c>
      <c r="F65" s="8">
        <v>1.79</v>
      </c>
      <c r="G65" s="12">
        <v>3</v>
      </c>
      <c r="H65" s="8">
        <v>1.21</v>
      </c>
      <c r="I65" s="12">
        <v>0</v>
      </c>
    </row>
    <row r="66" spans="2:9" ht="15" customHeight="1" x14ac:dyDescent="0.2">
      <c r="B66" t="s">
        <v>129</v>
      </c>
      <c r="C66" s="12">
        <v>8</v>
      </c>
      <c r="D66" s="8">
        <v>1.5</v>
      </c>
      <c r="E66" s="12">
        <v>2</v>
      </c>
      <c r="F66" s="8">
        <v>0.71</v>
      </c>
      <c r="G66" s="12">
        <v>6</v>
      </c>
      <c r="H66" s="8">
        <v>2.42</v>
      </c>
      <c r="I66" s="12">
        <v>0</v>
      </c>
    </row>
    <row r="67" spans="2:9" ht="15" customHeight="1" x14ac:dyDescent="0.2">
      <c r="B67" t="s">
        <v>170</v>
      </c>
      <c r="C67" s="12">
        <v>8</v>
      </c>
      <c r="D67" s="8">
        <v>1.5</v>
      </c>
      <c r="E67" s="12">
        <v>2</v>
      </c>
      <c r="F67" s="8">
        <v>0.71</v>
      </c>
      <c r="G67" s="12">
        <v>6</v>
      </c>
      <c r="H67" s="8">
        <v>2.42</v>
      </c>
      <c r="I67" s="12">
        <v>0</v>
      </c>
    </row>
    <row r="68" spans="2:9" ht="15" customHeight="1" x14ac:dyDescent="0.2">
      <c r="B68" t="s">
        <v>144</v>
      </c>
      <c r="C68" s="12">
        <v>8</v>
      </c>
      <c r="D68" s="8">
        <v>1.5</v>
      </c>
      <c r="E68" s="12">
        <v>7</v>
      </c>
      <c r="F68" s="8">
        <v>2.5</v>
      </c>
      <c r="G68" s="12">
        <v>1</v>
      </c>
      <c r="H68" s="8">
        <v>0.4</v>
      </c>
      <c r="I68" s="12">
        <v>0</v>
      </c>
    </row>
    <row r="69" spans="2:9" ht="15" customHeight="1" x14ac:dyDescent="0.2">
      <c r="B69" t="s">
        <v>145</v>
      </c>
      <c r="C69" s="12">
        <v>8</v>
      </c>
      <c r="D69" s="8">
        <v>1.5</v>
      </c>
      <c r="E69" s="12">
        <v>7</v>
      </c>
      <c r="F69" s="8">
        <v>2.5</v>
      </c>
      <c r="G69" s="12">
        <v>1</v>
      </c>
      <c r="H69" s="8">
        <v>0.4</v>
      </c>
      <c r="I69" s="12">
        <v>0</v>
      </c>
    </row>
    <row r="71" spans="2:9" ht="15" customHeight="1" x14ac:dyDescent="0.2">
      <c r="B71" t="s">
        <v>235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0D133-3829-45F8-9746-2A596B7597FE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259</v>
      </c>
    </row>
    <row r="4" spans="2:9" ht="33" customHeight="1" x14ac:dyDescent="0.2">
      <c r="B4" t="s">
        <v>231</v>
      </c>
      <c r="C4" s="10" t="s">
        <v>59</v>
      </c>
      <c r="D4" s="10" t="s">
        <v>60</v>
      </c>
      <c r="E4" s="10" t="s">
        <v>61</v>
      </c>
      <c r="F4" s="10" t="s">
        <v>62</v>
      </c>
      <c r="G4" s="10" t="s">
        <v>63</v>
      </c>
      <c r="H4" s="10" t="s">
        <v>64</v>
      </c>
      <c r="I4" s="10" t="s">
        <v>65</v>
      </c>
    </row>
    <row r="5" spans="2:9" ht="15" customHeight="1" x14ac:dyDescent="0.2">
      <c r="B5" t="s">
        <v>43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44</v>
      </c>
      <c r="C6" s="12">
        <v>122</v>
      </c>
      <c r="D6" s="8">
        <v>20.78</v>
      </c>
      <c r="E6" s="12">
        <v>51</v>
      </c>
      <c r="F6" s="8">
        <v>15.6</v>
      </c>
      <c r="G6" s="12">
        <v>71</v>
      </c>
      <c r="H6" s="8">
        <v>28.86</v>
      </c>
      <c r="I6" s="12">
        <v>0</v>
      </c>
    </row>
    <row r="7" spans="2:9" ht="15" customHeight="1" x14ac:dyDescent="0.2">
      <c r="B7" t="s">
        <v>45</v>
      </c>
      <c r="C7" s="12">
        <v>85</v>
      </c>
      <c r="D7" s="8">
        <v>14.48</v>
      </c>
      <c r="E7" s="12">
        <v>28</v>
      </c>
      <c r="F7" s="8">
        <v>8.56</v>
      </c>
      <c r="G7" s="12">
        <v>57</v>
      </c>
      <c r="H7" s="8">
        <v>23.17</v>
      </c>
      <c r="I7" s="12">
        <v>0</v>
      </c>
    </row>
    <row r="8" spans="2:9" ht="15" customHeight="1" x14ac:dyDescent="0.2">
      <c r="B8" t="s">
        <v>46</v>
      </c>
      <c r="C8" s="12">
        <v>1</v>
      </c>
      <c r="D8" s="8">
        <v>0.17</v>
      </c>
      <c r="E8" s="12">
        <v>0</v>
      </c>
      <c r="F8" s="8">
        <v>0</v>
      </c>
      <c r="G8" s="12">
        <v>1</v>
      </c>
      <c r="H8" s="8">
        <v>0.41</v>
      </c>
      <c r="I8" s="12">
        <v>0</v>
      </c>
    </row>
    <row r="9" spans="2:9" ht="15" customHeight="1" x14ac:dyDescent="0.2">
      <c r="B9" t="s">
        <v>47</v>
      </c>
      <c r="C9" s="12">
        <v>3</v>
      </c>
      <c r="D9" s="8">
        <v>0.51</v>
      </c>
      <c r="E9" s="12">
        <v>0</v>
      </c>
      <c r="F9" s="8">
        <v>0</v>
      </c>
      <c r="G9" s="12">
        <v>3</v>
      </c>
      <c r="H9" s="8">
        <v>1.22</v>
      </c>
      <c r="I9" s="12">
        <v>0</v>
      </c>
    </row>
    <row r="10" spans="2:9" ht="15" customHeight="1" x14ac:dyDescent="0.2">
      <c r="B10" t="s">
        <v>48</v>
      </c>
      <c r="C10" s="12">
        <v>6</v>
      </c>
      <c r="D10" s="8">
        <v>1.02</v>
      </c>
      <c r="E10" s="12">
        <v>1</v>
      </c>
      <c r="F10" s="8">
        <v>0.31</v>
      </c>
      <c r="G10" s="12">
        <v>5</v>
      </c>
      <c r="H10" s="8">
        <v>2.0299999999999998</v>
      </c>
      <c r="I10" s="12">
        <v>0</v>
      </c>
    </row>
    <row r="11" spans="2:9" ht="15" customHeight="1" x14ac:dyDescent="0.2">
      <c r="B11" t="s">
        <v>49</v>
      </c>
      <c r="C11" s="12">
        <v>168</v>
      </c>
      <c r="D11" s="8">
        <v>28.62</v>
      </c>
      <c r="E11" s="12">
        <v>111</v>
      </c>
      <c r="F11" s="8">
        <v>33.94</v>
      </c>
      <c r="G11" s="12">
        <v>57</v>
      </c>
      <c r="H11" s="8">
        <v>23.17</v>
      </c>
      <c r="I11" s="12">
        <v>0</v>
      </c>
    </row>
    <row r="12" spans="2:9" ht="15" customHeight="1" x14ac:dyDescent="0.2">
      <c r="B12" t="s">
        <v>50</v>
      </c>
      <c r="C12" s="12">
        <v>1</v>
      </c>
      <c r="D12" s="8">
        <v>0.17</v>
      </c>
      <c r="E12" s="12">
        <v>0</v>
      </c>
      <c r="F12" s="8">
        <v>0</v>
      </c>
      <c r="G12" s="12">
        <v>1</v>
      </c>
      <c r="H12" s="8">
        <v>0.41</v>
      </c>
      <c r="I12" s="12">
        <v>0</v>
      </c>
    </row>
    <row r="13" spans="2:9" ht="15" customHeight="1" x14ac:dyDescent="0.2">
      <c r="B13" t="s">
        <v>51</v>
      </c>
      <c r="C13" s="12">
        <v>11</v>
      </c>
      <c r="D13" s="8">
        <v>1.87</v>
      </c>
      <c r="E13" s="12">
        <v>0</v>
      </c>
      <c r="F13" s="8">
        <v>0</v>
      </c>
      <c r="G13" s="12">
        <v>11</v>
      </c>
      <c r="H13" s="8">
        <v>4.47</v>
      </c>
      <c r="I13" s="12">
        <v>0</v>
      </c>
    </row>
    <row r="14" spans="2:9" ht="15" customHeight="1" x14ac:dyDescent="0.2">
      <c r="B14" t="s">
        <v>52</v>
      </c>
      <c r="C14" s="12">
        <v>15</v>
      </c>
      <c r="D14" s="8">
        <v>2.56</v>
      </c>
      <c r="E14" s="12">
        <v>11</v>
      </c>
      <c r="F14" s="8">
        <v>3.36</v>
      </c>
      <c r="G14" s="12">
        <v>2</v>
      </c>
      <c r="H14" s="8">
        <v>0.81</v>
      </c>
      <c r="I14" s="12">
        <v>1</v>
      </c>
    </row>
    <row r="15" spans="2:9" ht="15" customHeight="1" x14ac:dyDescent="0.2">
      <c r="B15" t="s">
        <v>53</v>
      </c>
      <c r="C15" s="12">
        <v>52</v>
      </c>
      <c r="D15" s="8">
        <v>8.86</v>
      </c>
      <c r="E15" s="12">
        <v>43</v>
      </c>
      <c r="F15" s="8">
        <v>13.15</v>
      </c>
      <c r="G15" s="12">
        <v>8</v>
      </c>
      <c r="H15" s="8">
        <v>3.25</v>
      </c>
      <c r="I15" s="12">
        <v>0</v>
      </c>
    </row>
    <row r="16" spans="2:9" ht="15" customHeight="1" x14ac:dyDescent="0.2">
      <c r="B16" t="s">
        <v>54</v>
      </c>
      <c r="C16" s="12">
        <v>68</v>
      </c>
      <c r="D16" s="8">
        <v>11.58</v>
      </c>
      <c r="E16" s="12">
        <v>51</v>
      </c>
      <c r="F16" s="8">
        <v>15.6</v>
      </c>
      <c r="G16" s="12">
        <v>16</v>
      </c>
      <c r="H16" s="8">
        <v>6.5</v>
      </c>
      <c r="I16" s="12">
        <v>0</v>
      </c>
    </row>
    <row r="17" spans="2:9" ht="15" customHeight="1" x14ac:dyDescent="0.2">
      <c r="B17" t="s">
        <v>55</v>
      </c>
      <c r="C17" s="12">
        <v>22</v>
      </c>
      <c r="D17" s="8">
        <v>3.75</v>
      </c>
      <c r="E17" s="12">
        <v>7</v>
      </c>
      <c r="F17" s="8">
        <v>2.14</v>
      </c>
      <c r="G17" s="12">
        <v>6</v>
      </c>
      <c r="H17" s="8">
        <v>2.44</v>
      </c>
      <c r="I17" s="12">
        <v>0</v>
      </c>
    </row>
    <row r="18" spans="2:9" ht="15" customHeight="1" x14ac:dyDescent="0.2">
      <c r="B18" t="s">
        <v>56</v>
      </c>
      <c r="C18" s="12">
        <v>19</v>
      </c>
      <c r="D18" s="8">
        <v>3.24</v>
      </c>
      <c r="E18" s="12">
        <v>14</v>
      </c>
      <c r="F18" s="8">
        <v>4.28</v>
      </c>
      <c r="G18" s="12">
        <v>5</v>
      </c>
      <c r="H18" s="8">
        <v>2.0299999999999998</v>
      </c>
      <c r="I18" s="12">
        <v>0</v>
      </c>
    </row>
    <row r="19" spans="2:9" ht="15" customHeight="1" x14ac:dyDescent="0.2">
      <c r="B19" t="s">
        <v>57</v>
      </c>
      <c r="C19" s="12">
        <v>14</v>
      </c>
      <c r="D19" s="8">
        <v>2.39</v>
      </c>
      <c r="E19" s="12">
        <v>10</v>
      </c>
      <c r="F19" s="8">
        <v>3.06</v>
      </c>
      <c r="G19" s="12">
        <v>3</v>
      </c>
      <c r="H19" s="8">
        <v>1.22</v>
      </c>
      <c r="I19" s="12">
        <v>1</v>
      </c>
    </row>
    <row r="20" spans="2:9" ht="15" customHeight="1" x14ac:dyDescent="0.2">
      <c r="B20" s="9" t="s">
        <v>232</v>
      </c>
      <c r="C20" s="12">
        <f>SUM(LTBL_21341[総数／事業所数])</f>
        <v>587</v>
      </c>
      <c r="E20" s="12">
        <f>SUBTOTAL(109,LTBL_21341[個人／事業所数])</f>
        <v>327</v>
      </c>
      <c r="G20" s="12">
        <f>SUBTOTAL(109,LTBL_21341[法人／事業所数])</f>
        <v>246</v>
      </c>
      <c r="I20" s="12">
        <f>SUBTOTAL(109,LTBL_21341[法人以外の団体／事業所数])</f>
        <v>2</v>
      </c>
    </row>
    <row r="21" spans="2:9" ht="15" customHeight="1" x14ac:dyDescent="0.2">
      <c r="E21" s="11">
        <f>LTBL_21341[[#Totals],[個人／事業所数]]/LTBL_21341[[#Totals],[総数／事業所数]]</f>
        <v>0.55706984667802384</v>
      </c>
      <c r="G21" s="11">
        <f>LTBL_21341[[#Totals],[法人／事業所数]]/LTBL_21341[[#Totals],[総数／事業所数]]</f>
        <v>0.4190800681431005</v>
      </c>
      <c r="I21" s="11">
        <f>LTBL_21341[[#Totals],[法人以外の団体／事業所数]]/LTBL_21341[[#Totals],[総数／事業所数]]</f>
        <v>3.4071550255536627E-3</v>
      </c>
    </row>
    <row r="23" spans="2:9" ht="33" customHeight="1" x14ac:dyDescent="0.2">
      <c r="B23" t="s">
        <v>233</v>
      </c>
      <c r="C23" s="10" t="s">
        <v>59</v>
      </c>
      <c r="D23" s="10" t="s">
        <v>60</v>
      </c>
      <c r="E23" s="10" t="s">
        <v>61</v>
      </c>
      <c r="F23" s="10" t="s">
        <v>62</v>
      </c>
      <c r="G23" s="10" t="s">
        <v>63</v>
      </c>
      <c r="H23" s="10" t="s">
        <v>64</v>
      </c>
      <c r="I23" s="10" t="s">
        <v>65</v>
      </c>
    </row>
    <row r="24" spans="2:9" ht="15" customHeight="1" x14ac:dyDescent="0.2">
      <c r="B24" t="s">
        <v>82</v>
      </c>
      <c r="C24" s="12">
        <v>57</v>
      </c>
      <c r="D24" s="8">
        <v>9.7100000000000009</v>
      </c>
      <c r="E24" s="12">
        <v>48</v>
      </c>
      <c r="F24" s="8">
        <v>14.68</v>
      </c>
      <c r="G24" s="12">
        <v>9</v>
      </c>
      <c r="H24" s="8">
        <v>3.66</v>
      </c>
      <c r="I24" s="12">
        <v>0</v>
      </c>
    </row>
    <row r="25" spans="2:9" ht="15" customHeight="1" x14ac:dyDescent="0.2">
      <c r="B25" t="s">
        <v>66</v>
      </c>
      <c r="C25" s="12">
        <v>54</v>
      </c>
      <c r="D25" s="8">
        <v>9.1999999999999993</v>
      </c>
      <c r="E25" s="12">
        <v>18</v>
      </c>
      <c r="F25" s="8">
        <v>5.5</v>
      </c>
      <c r="G25" s="12">
        <v>36</v>
      </c>
      <c r="H25" s="8">
        <v>14.63</v>
      </c>
      <c r="I25" s="12">
        <v>0</v>
      </c>
    </row>
    <row r="26" spans="2:9" ht="15" customHeight="1" x14ac:dyDescent="0.2">
      <c r="B26" t="s">
        <v>77</v>
      </c>
      <c r="C26" s="12">
        <v>51</v>
      </c>
      <c r="D26" s="8">
        <v>8.69</v>
      </c>
      <c r="E26" s="12">
        <v>38</v>
      </c>
      <c r="F26" s="8">
        <v>11.62</v>
      </c>
      <c r="G26" s="12">
        <v>13</v>
      </c>
      <c r="H26" s="8">
        <v>5.28</v>
      </c>
      <c r="I26" s="12">
        <v>0</v>
      </c>
    </row>
    <row r="27" spans="2:9" ht="15" customHeight="1" x14ac:dyDescent="0.2">
      <c r="B27" t="s">
        <v>75</v>
      </c>
      <c r="C27" s="12">
        <v>46</v>
      </c>
      <c r="D27" s="8">
        <v>7.84</v>
      </c>
      <c r="E27" s="12">
        <v>39</v>
      </c>
      <c r="F27" s="8">
        <v>11.93</v>
      </c>
      <c r="G27" s="12">
        <v>7</v>
      </c>
      <c r="H27" s="8">
        <v>2.85</v>
      </c>
      <c r="I27" s="12">
        <v>0</v>
      </c>
    </row>
    <row r="28" spans="2:9" ht="15" customHeight="1" x14ac:dyDescent="0.2">
      <c r="B28" t="s">
        <v>81</v>
      </c>
      <c r="C28" s="12">
        <v>41</v>
      </c>
      <c r="D28" s="8">
        <v>6.98</v>
      </c>
      <c r="E28" s="12">
        <v>38</v>
      </c>
      <c r="F28" s="8">
        <v>11.62</v>
      </c>
      <c r="G28" s="12">
        <v>3</v>
      </c>
      <c r="H28" s="8">
        <v>1.22</v>
      </c>
      <c r="I28" s="12">
        <v>0</v>
      </c>
    </row>
    <row r="29" spans="2:9" ht="15" customHeight="1" x14ac:dyDescent="0.2">
      <c r="B29" t="s">
        <v>67</v>
      </c>
      <c r="C29" s="12">
        <v>40</v>
      </c>
      <c r="D29" s="8">
        <v>6.81</v>
      </c>
      <c r="E29" s="12">
        <v>22</v>
      </c>
      <c r="F29" s="8">
        <v>6.73</v>
      </c>
      <c r="G29" s="12">
        <v>18</v>
      </c>
      <c r="H29" s="8">
        <v>7.32</v>
      </c>
      <c r="I29" s="12">
        <v>0</v>
      </c>
    </row>
    <row r="30" spans="2:9" ht="15" customHeight="1" x14ac:dyDescent="0.2">
      <c r="B30" t="s">
        <v>68</v>
      </c>
      <c r="C30" s="12">
        <v>28</v>
      </c>
      <c r="D30" s="8">
        <v>4.7699999999999996</v>
      </c>
      <c r="E30" s="12">
        <v>11</v>
      </c>
      <c r="F30" s="8">
        <v>3.36</v>
      </c>
      <c r="G30" s="12">
        <v>17</v>
      </c>
      <c r="H30" s="8">
        <v>6.91</v>
      </c>
      <c r="I30" s="12">
        <v>0</v>
      </c>
    </row>
    <row r="31" spans="2:9" ht="15" customHeight="1" x14ac:dyDescent="0.2">
      <c r="B31" t="s">
        <v>76</v>
      </c>
      <c r="C31" s="12">
        <v>26</v>
      </c>
      <c r="D31" s="8">
        <v>4.43</v>
      </c>
      <c r="E31" s="12">
        <v>16</v>
      </c>
      <c r="F31" s="8">
        <v>4.8899999999999997</v>
      </c>
      <c r="G31" s="12">
        <v>10</v>
      </c>
      <c r="H31" s="8">
        <v>4.07</v>
      </c>
      <c r="I31" s="12">
        <v>0</v>
      </c>
    </row>
    <row r="32" spans="2:9" ht="15" customHeight="1" x14ac:dyDescent="0.2">
      <c r="B32" t="s">
        <v>83</v>
      </c>
      <c r="C32" s="12">
        <v>22</v>
      </c>
      <c r="D32" s="8">
        <v>3.75</v>
      </c>
      <c r="E32" s="12">
        <v>7</v>
      </c>
      <c r="F32" s="8">
        <v>2.14</v>
      </c>
      <c r="G32" s="12">
        <v>6</v>
      </c>
      <c r="H32" s="8">
        <v>2.44</v>
      </c>
      <c r="I32" s="12">
        <v>0</v>
      </c>
    </row>
    <row r="33" spans="2:9" ht="15" customHeight="1" x14ac:dyDescent="0.2">
      <c r="B33" t="s">
        <v>71</v>
      </c>
      <c r="C33" s="12">
        <v>17</v>
      </c>
      <c r="D33" s="8">
        <v>2.9</v>
      </c>
      <c r="E33" s="12">
        <v>5</v>
      </c>
      <c r="F33" s="8">
        <v>1.53</v>
      </c>
      <c r="G33" s="12">
        <v>12</v>
      </c>
      <c r="H33" s="8">
        <v>4.88</v>
      </c>
      <c r="I33" s="12">
        <v>0</v>
      </c>
    </row>
    <row r="34" spans="2:9" ht="15" customHeight="1" x14ac:dyDescent="0.2">
      <c r="B34" t="s">
        <v>84</v>
      </c>
      <c r="C34" s="12">
        <v>15</v>
      </c>
      <c r="D34" s="8">
        <v>2.56</v>
      </c>
      <c r="E34" s="12">
        <v>14</v>
      </c>
      <c r="F34" s="8">
        <v>4.28</v>
      </c>
      <c r="G34" s="12">
        <v>1</v>
      </c>
      <c r="H34" s="8">
        <v>0.41</v>
      </c>
      <c r="I34" s="12">
        <v>0</v>
      </c>
    </row>
    <row r="35" spans="2:9" ht="15" customHeight="1" x14ac:dyDescent="0.2">
      <c r="B35" t="s">
        <v>74</v>
      </c>
      <c r="C35" s="12">
        <v>14</v>
      </c>
      <c r="D35" s="8">
        <v>2.39</v>
      </c>
      <c r="E35" s="12">
        <v>10</v>
      </c>
      <c r="F35" s="8">
        <v>3.06</v>
      </c>
      <c r="G35" s="12">
        <v>4</v>
      </c>
      <c r="H35" s="8">
        <v>1.63</v>
      </c>
      <c r="I35" s="12">
        <v>0</v>
      </c>
    </row>
    <row r="36" spans="2:9" ht="15" customHeight="1" x14ac:dyDescent="0.2">
      <c r="B36" t="s">
        <v>72</v>
      </c>
      <c r="C36" s="12">
        <v>13</v>
      </c>
      <c r="D36" s="8">
        <v>2.21</v>
      </c>
      <c r="E36" s="12">
        <v>3</v>
      </c>
      <c r="F36" s="8">
        <v>0.92</v>
      </c>
      <c r="G36" s="12">
        <v>10</v>
      </c>
      <c r="H36" s="8">
        <v>4.07</v>
      </c>
      <c r="I36" s="12">
        <v>0</v>
      </c>
    </row>
    <row r="37" spans="2:9" ht="15" customHeight="1" x14ac:dyDescent="0.2">
      <c r="B37" t="s">
        <v>69</v>
      </c>
      <c r="C37" s="12">
        <v>12</v>
      </c>
      <c r="D37" s="8">
        <v>2.04</v>
      </c>
      <c r="E37" s="12">
        <v>6</v>
      </c>
      <c r="F37" s="8">
        <v>1.83</v>
      </c>
      <c r="G37" s="12">
        <v>6</v>
      </c>
      <c r="H37" s="8">
        <v>2.44</v>
      </c>
      <c r="I37" s="12">
        <v>0</v>
      </c>
    </row>
    <row r="38" spans="2:9" ht="15" customHeight="1" x14ac:dyDescent="0.2">
      <c r="B38" t="s">
        <v>78</v>
      </c>
      <c r="C38" s="12">
        <v>11</v>
      </c>
      <c r="D38" s="8">
        <v>1.87</v>
      </c>
      <c r="E38" s="12">
        <v>0</v>
      </c>
      <c r="F38" s="8">
        <v>0</v>
      </c>
      <c r="G38" s="12">
        <v>11</v>
      </c>
      <c r="H38" s="8">
        <v>4.47</v>
      </c>
      <c r="I38" s="12">
        <v>0</v>
      </c>
    </row>
    <row r="39" spans="2:9" ht="15" customHeight="1" x14ac:dyDescent="0.2">
      <c r="B39" t="s">
        <v>85</v>
      </c>
      <c r="C39" s="12">
        <v>10</v>
      </c>
      <c r="D39" s="8">
        <v>1.7</v>
      </c>
      <c r="E39" s="12">
        <v>9</v>
      </c>
      <c r="F39" s="8">
        <v>2.75</v>
      </c>
      <c r="G39" s="12">
        <v>1</v>
      </c>
      <c r="H39" s="8">
        <v>0.41</v>
      </c>
      <c r="I39" s="12">
        <v>0</v>
      </c>
    </row>
    <row r="40" spans="2:9" ht="15" customHeight="1" x14ac:dyDescent="0.2">
      <c r="B40" t="s">
        <v>100</v>
      </c>
      <c r="C40" s="12">
        <v>9</v>
      </c>
      <c r="D40" s="8">
        <v>1.53</v>
      </c>
      <c r="E40" s="12">
        <v>4</v>
      </c>
      <c r="F40" s="8">
        <v>1.22</v>
      </c>
      <c r="G40" s="12">
        <v>5</v>
      </c>
      <c r="H40" s="8">
        <v>2.0299999999999998</v>
      </c>
      <c r="I40" s="12">
        <v>0</v>
      </c>
    </row>
    <row r="41" spans="2:9" ht="15" customHeight="1" x14ac:dyDescent="0.2">
      <c r="B41" t="s">
        <v>89</v>
      </c>
      <c r="C41" s="12">
        <v>8</v>
      </c>
      <c r="D41" s="8">
        <v>1.36</v>
      </c>
      <c r="E41" s="12">
        <v>1</v>
      </c>
      <c r="F41" s="8">
        <v>0.31</v>
      </c>
      <c r="G41" s="12">
        <v>7</v>
      </c>
      <c r="H41" s="8">
        <v>2.85</v>
      </c>
      <c r="I41" s="12">
        <v>0</v>
      </c>
    </row>
    <row r="42" spans="2:9" ht="15" customHeight="1" x14ac:dyDescent="0.2">
      <c r="B42" t="s">
        <v>87</v>
      </c>
      <c r="C42" s="12">
        <v>8</v>
      </c>
      <c r="D42" s="8">
        <v>1.36</v>
      </c>
      <c r="E42" s="12">
        <v>1</v>
      </c>
      <c r="F42" s="8">
        <v>0.31</v>
      </c>
      <c r="G42" s="12">
        <v>7</v>
      </c>
      <c r="H42" s="8">
        <v>2.85</v>
      </c>
      <c r="I42" s="12">
        <v>0</v>
      </c>
    </row>
    <row r="43" spans="2:9" ht="15" customHeight="1" x14ac:dyDescent="0.2">
      <c r="B43" t="s">
        <v>90</v>
      </c>
      <c r="C43" s="12">
        <v>8</v>
      </c>
      <c r="D43" s="8">
        <v>1.36</v>
      </c>
      <c r="E43" s="12">
        <v>3</v>
      </c>
      <c r="F43" s="8">
        <v>0.92</v>
      </c>
      <c r="G43" s="12">
        <v>4</v>
      </c>
      <c r="H43" s="8">
        <v>1.63</v>
      </c>
      <c r="I43" s="12">
        <v>0</v>
      </c>
    </row>
    <row r="46" spans="2:9" ht="33" customHeight="1" x14ac:dyDescent="0.2">
      <c r="B46" t="s">
        <v>234</v>
      </c>
      <c r="C46" s="10" t="s">
        <v>59</v>
      </c>
      <c r="D46" s="10" t="s">
        <v>60</v>
      </c>
      <c r="E46" s="10" t="s">
        <v>61</v>
      </c>
      <c r="F46" s="10" t="s">
        <v>62</v>
      </c>
      <c r="G46" s="10" t="s">
        <v>63</v>
      </c>
      <c r="H46" s="10" t="s">
        <v>64</v>
      </c>
      <c r="I46" s="10" t="s">
        <v>65</v>
      </c>
    </row>
    <row r="47" spans="2:9" ht="15" customHeight="1" x14ac:dyDescent="0.2">
      <c r="B47" t="s">
        <v>138</v>
      </c>
      <c r="C47" s="12">
        <v>26</v>
      </c>
      <c r="D47" s="8">
        <v>4.43</v>
      </c>
      <c r="E47" s="12">
        <v>23</v>
      </c>
      <c r="F47" s="8">
        <v>7.03</v>
      </c>
      <c r="G47" s="12">
        <v>3</v>
      </c>
      <c r="H47" s="8">
        <v>1.22</v>
      </c>
      <c r="I47" s="12">
        <v>0</v>
      </c>
    </row>
    <row r="48" spans="2:9" ht="15" customHeight="1" x14ac:dyDescent="0.2">
      <c r="B48" t="s">
        <v>137</v>
      </c>
      <c r="C48" s="12">
        <v>24</v>
      </c>
      <c r="D48" s="8">
        <v>4.09</v>
      </c>
      <c r="E48" s="12">
        <v>24</v>
      </c>
      <c r="F48" s="8">
        <v>7.34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122</v>
      </c>
      <c r="C49" s="12">
        <v>20</v>
      </c>
      <c r="D49" s="8">
        <v>3.41</v>
      </c>
      <c r="E49" s="12">
        <v>1</v>
      </c>
      <c r="F49" s="8">
        <v>0.31</v>
      </c>
      <c r="G49" s="12">
        <v>19</v>
      </c>
      <c r="H49" s="8">
        <v>7.72</v>
      </c>
      <c r="I49" s="12">
        <v>0</v>
      </c>
    </row>
    <row r="50" spans="2:9" ht="15" customHeight="1" x14ac:dyDescent="0.2">
      <c r="B50" t="s">
        <v>130</v>
      </c>
      <c r="C50" s="12">
        <v>18</v>
      </c>
      <c r="D50" s="8">
        <v>3.07</v>
      </c>
      <c r="E50" s="12">
        <v>17</v>
      </c>
      <c r="F50" s="8">
        <v>5.2</v>
      </c>
      <c r="G50" s="12">
        <v>1</v>
      </c>
      <c r="H50" s="8">
        <v>0.41</v>
      </c>
      <c r="I50" s="12">
        <v>0</v>
      </c>
    </row>
    <row r="51" spans="2:9" ht="15" customHeight="1" x14ac:dyDescent="0.2">
      <c r="B51" t="s">
        <v>124</v>
      </c>
      <c r="C51" s="12">
        <v>17</v>
      </c>
      <c r="D51" s="8">
        <v>2.9</v>
      </c>
      <c r="E51" s="12">
        <v>11</v>
      </c>
      <c r="F51" s="8">
        <v>3.36</v>
      </c>
      <c r="G51" s="12">
        <v>6</v>
      </c>
      <c r="H51" s="8">
        <v>2.44</v>
      </c>
      <c r="I51" s="12">
        <v>0</v>
      </c>
    </row>
    <row r="52" spans="2:9" ht="15" customHeight="1" x14ac:dyDescent="0.2">
      <c r="B52" t="s">
        <v>125</v>
      </c>
      <c r="C52" s="12">
        <v>17</v>
      </c>
      <c r="D52" s="8">
        <v>2.9</v>
      </c>
      <c r="E52" s="12">
        <v>6</v>
      </c>
      <c r="F52" s="8">
        <v>1.83</v>
      </c>
      <c r="G52" s="12">
        <v>11</v>
      </c>
      <c r="H52" s="8">
        <v>4.47</v>
      </c>
      <c r="I52" s="12">
        <v>0</v>
      </c>
    </row>
    <row r="53" spans="2:9" ht="15" customHeight="1" x14ac:dyDescent="0.2">
      <c r="B53" t="s">
        <v>128</v>
      </c>
      <c r="C53" s="12">
        <v>17</v>
      </c>
      <c r="D53" s="8">
        <v>2.9</v>
      </c>
      <c r="E53" s="12">
        <v>10</v>
      </c>
      <c r="F53" s="8">
        <v>3.06</v>
      </c>
      <c r="G53" s="12">
        <v>7</v>
      </c>
      <c r="H53" s="8">
        <v>2.85</v>
      </c>
      <c r="I53" s="12">
        <v>0</v>
      </c>
    </row>
    <row r="54" spans="2:9" ht="15" customHeight="1" x14ac:dyDescent="0.2">
      <c r="B54" t="s">
        <v>136</v>
      </c>
      <c r="C54" s="12">
        <v>17</v>
      </c>
      <c r="D54" s="8">
        <v>2.9</v>
      </c>
      <c r="E54" s="12">
        <v>17</v>
      </c>
      <c r="F54" s="8">
        <v>5.2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127</v>
      </c>
      <c r="C55" s="12">
        <v>14</v>
      </c>
      <c r="D55" s="8">
        <v>2.39</v>
      </c>
      <c r="E55" s="12">
        <v>11</v>
      </c>
      <c r="F55" s="8">
        <v>3.36</v>
      </c>
      <c r="G55" s="12">
        <v>3</v>
      </c>
      <c r="H55" s="8">
        <v>1.22</v>
      </c>
      <c r="I55" s="12">
        <v>0</v>
      </c>
    </row>
    <row r="56" spans="2:9" ht="15" customHeight="1" x14ac:dyDescent="0.2">
      <c r="B56" t="s">
        <v>148</v>
      </c>
      <c r="C56" s="12">
        <v>13</v>
      </c>
      <c r="D56" s="8">
        <v>2.21</v>
      </c>
      <c r="E56" s="12">
        <v>10</v>
      </c>
      <c r="F56" s="8">
        <v>3.06</v>
      </c>
      <c r="G56" s="12">
        <v>3</v>
      </c>
      <c r="H56" s="8">
        <v>1.22</v>
      </c>
      <c r="I56" s="12">
        <v>0</v>
      </c>
    </row>
    <row r="57" spans="2:9" ht="15" customHeight="1" x14ac:dyDescent="0.2">
      <c r="B57" t="s">
        <v>134</v>
      </c>
      <c r="C57" s="12">
        <v>13</v>
      </c>
      <c r="D57" s="8">
        <v>2.21</v>
      </c>
      <c r="E57" s="12">
        <v>11</v>
      </c>
      <c r="F57" s="8">
        <v>3.36</v>
      </c>
      <c r="G57" s="12">
        <v>2</v>
      </c>
      <c r="H57" s="8">
        <v>0.81</v>
      </c>
      <c r="I57" s="12">
        <v>0</v>
      </c>
    </row>
    <row r="58" spans="2:9" ht="15" customHeight="1" x14ac:dyDescent="0.2">
      <c r="B58" t="s">
        <v>153</v>
      </c>
      <c r="C58" s="12">
        <v>11</v>
      </c>
      <c r="D58" s="8">
        <v>1.87</v>
      </c>
      <c r="E58" s="12">
        <v>2</v>
      </c>
      <c r="F58" s="8">
        <v>0.61</v>
      </c>
      <c r="G58" s="12">
        <v>9</v>
      </c>
      <c r="H58" s="8">
        <v>3.66</v>
      </c>
      <c r="I58" s="12">
        <v>0</v>
      </c>
    </row>
    <row r="59" spans="2:9" ht="15" customHeight="1" x14ac:dyDescent="0.2">
      <c r="B59" t="s">
        <v>140</v>
      </c>
      <c r="C59" s="12">
        <v>11</v>
      </c>
      <c r="D59" s="8">
        <v>1.87</v>
      </c>
      <c r="E59" s="12">
        <v>11</v>
      </c>
      <c r="F59" s="8">
        <v>3.36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123</v>
      </c>
      <c r="C60" s="12">
        <v>10</v>
      </c>
      <c r="D60" s="8">
        <v>1.7</v>
      </c>
      <c r="E60" s="12">
        <v>4</v>
      </c>
      <c r="F60" s="8">
        <v>1.22</v>
      </c>
      <c r="G60" s="12">
        <v>6</v>
      </c>
      <c r="H60" s="8">
        <v>2.44</v>
      </c>
      <c r="I60" s="12">
        <v>0</v>
      </c>
    </row>
    <row r="61" spans="2:9" ht="15" customHeight="1" x14ac:dyDescent="0.2">
      <c r="B61" t="s">
        <v>141</v>
      </c>
      <c r="C61" s="12">
        <v>10</v>
      </c>
      <c r="D61" s="8">
        <v>1.7</v>
      </c>
      <c r="E61" s="12">
        <v>9</v>
      </c>
      <c r="F61" s="8">
        <v>2.75</v>
      </c>
      <c r="G61" s="12">
        <v>1</v>
      </c>
      <c r="H61" s="8">
        <v>0.41</v>
      </c>
      <c r="I61" s="12">
        <v>0</v>
      </c>
    </row>
    <row r="62" spans="2:9" ht="15" customHeight="1" x14ac:dyDescent="0.2">
      <c r="B62" t="s">
        <v>189</v>
      </c>
      <c r="C62" s="12">
        <v>9</v>
      </c>
      <c r="D62" s="8">
        <v>1.53</v>
      </c>
      <c r="E62" s="12">
        <v>2</v>
      </c>
      <c r="F62" s="8">
        <v>0.61</v>
      </c>
      <c r="G62" s="12">
        <v>7</v>
      </c>
      <c r="H62" s="8">
        <v>2.85</v>
      </c>
      <c r="I62" s="12">
        <v>0</v>
      </c>
    </row>
    <row r="63" spans="2:9" ht="15" customHeight="1" x14ac:dyDescent="0.2">
      <c r="B63" t="s">
        <v>170</v>
      </c>
      <c r="C63" s="12">
        <v>9</v>
      </c>
      <c r="D63" s="8">
        <v>1.53</v>
      </c>
      <c r="E63" s="12">
        <v>6</v>
      </c>
      <c r="F63" s="8">
        <v>1.83</v>
      </c>
      <c r="G63" s="12">
        <v>3</v>
      </c>
      <c r="H63" s="8">
        <v>1.22</v>
      </c>
      <c r="I63" s="12">
        <v>0</v>
      </c>
    </row>
    <row r="64" spans="2:9" ht="15" customHeight="1" x14ac:dyDescent="0.2">
      <c r="B64" t="s">
        <v>184</v>
      </c>
      <c r="C64" s="12">
        <v>9</v>
      </c>
      <c r="D64" s="8">
        <v>1.53</v>
      </c>
      <c r="E64" s="12">
        <v>0</v>
      </c>
      <c r="F64" s="8">
        <v>0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156</v>
      </c>
      <c r="C65" s="12">
        <v>8</v>
      </c>
      <c r="D65" s="8">
        <v>1.36</v>
      </c>
      <c r="E65" s="12">
        <v>2</v>
      </c>
      <c r="F65" s="8">
        <v>0.61</v>
      </c>
      <c r="G65" s="12">
        <v>6</v>
      </c>
      <c r="H65" s="8">
        <v>2.44</v>
      </c>
      <c r="I65" s="12">
        <v>0</v>
      </c>
    </row>
    <row r="66" spans="2:9" ht="15" customHeight="1" x14ac:dyDescent="0.2">
      <c r="B66" t="s">
        <v>181</v>
      </c>
      <c r="C66" s="12">
        <v>8</v>
      </c>
      <c r="D66" s="8">
        <v>1.36</v>
      </c>
      <c r="E66" s="12">
        <v>8</v>
      </c>
      <c r="F66" s="8">
        <v>2.4500000000000002</v>
      </c>
      <c r="G66" s="12">
        <v>0</v>
      </c>
      <c r="H66" s="8">
        <v>0</v>
      </c>
      <c r="I66" s="12">
        <v>0</v>
      </c>
    </row>
    <row r="68" spans="2:9" ht="15" customHeight="1" x14ac:dyDescent="0.2">
      <c r="B68" t="s">
        <v>235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149F2-77A5-48D7-8105-F6974BC75527}">
  <sheetPr>
    <pageSetUpPr fitToPage="1"/>
  </sheetPr>
  <dimension ref="A1:I1005"/>
  <sheetViews>
    <sheetView workbookViewId="0"/>
  </sheetViews>
  <sheetFormatPr defaultRowHeight="13.2" x14ac:dyDescent="0.2"/>
  <cols>
    <col min="1" max="1" width="13" customWidth="1"/>
    <col min="2" max="2" width="45.77734375" customWidth="1"/>
    <col min="3" max="9" width="10.44140625" customWidth="1"/>
    <col min="10" max="10" width="27.109375" bestFit="1" customWidth="1"/>
  </cols>
  <sheetData>
    <row r="1" spans="1:9" ht="37.5" customHeight="1" x14ac:dyDescent="0.2">
      <c r="A1" s="6" t="s">
        <v>120</v>
      </c>
      <c r="B1" s="3" t="s">
        <v>121</v>
      </c>
      <c r="C1" s="7" t="s">
        <v>59</v>
      </c>
      <c r="D1" s="7" t="s">
        <v>60</v>
      </c>
      <c r="E1" s="7" t="s">
        <v>61</v>
      </c>
      <c r="F1" s="7" t="s">
        <v>62</v>
      </c>
      <c r="G1" s="7" t="s">
        <v>63</v>
      </c>
      <c r="H1" s="7" t="s">
        <v>64</v>
      </c>
      <c r="I1" s="7" t="s">
        <v>65</v>
      </c>
    </row>
    <row r="2" spans="1:9" x14ac:dyDescent="0.2">
      <c r="A2" s="1" t="s">
        <v>0</v>
      </c>
      <c r="C2" s="4"/>
      <c r="D2" s="8"/>
      <c r="E2" s="4"/>
      <c r="F2" s="8"/>
      <c r="G2" s="4"/>
      <c r="H2" s="8"/>
      <c r="I2" s="4"/>
    </row>
    <row r="3" spans="1:9" x14ac:dyDescent="0.2">
      <c r="A3" s="2">
        <v>1</v>
      </c>
      <c r="B3" s="1" t="s">
        <v>81</v>
      </c>
      <c r="C3" s="4">
        <v>5810</v>
      </c>
      <c r="D3" s="8">
        <v>10.32</v>
      </c>
      <c r="E3" s="4">
        <v>5115</v>
      </c>
      <c r="F3" s="8">
        <v>16.28</v>
      </c>
      <c r="G3" s="4">
        <v>691</v>
      </c>
      <c r="H3" s="8">
        <v>2.85</v>
      </c>
      <c r="I3" s="4">
        <v>4</v>
      </c>
    </row>
    <row r="4" spans="1:9" x14ac:dyDescent="0.2">
      <c r="A4" s="2">
        <v>2</v>
      </c>
      <c r="B4" s="1" t="s">
        <v>82</v>
      </c>
      <c r="C4" s="4">
        <v>5313</v>
      </c>
      <c r="D4" s="8">
        <v>9.44</v>
      </c>
      <c r="E4" s="4">
        <v>4603</v>
      </c>
      <c r="F4" s="8">
        <v>14.65</v>
      </c>
      <c r="G4" s="4">
        <v>710</v>
      </c>
      <c r="H4" s="8">
        <v>2.93</v>
      </c>
      <c r="I4" s="4">
        <v>0</v>
      </c>
    </row>
    <row r="5" spans="1:9" x14ac:dyDescent="0.2">
      <c r="A5" s="2">
        <v>3</v>
      </c>
      <c r="B5" s="1" t="s">
        <v>66</v>
      </c>
      <c r="C5" s="4">
        <v>3611</v>
      </c>
      <c r="D5" s="8">
        <v>6.41</v>
      </c>
      <c r="E5" s="4">
        <v>1104</v>
      </c>
      <c r="F5" s="8">
        <v>3.51</v>
      </c>
      <c r="G5" s="4">
        <v>2507</v>
      </c>
      <c r="H5" s="8">
        <v>10.35</v>
      </c>
      <c r="I5" s="4">
        <v>0</v>
      </c>
    </row>
    <row r="6" spans="1:9" x14ac:dyDescent="0.2">
      <c r="A6" s="2">
        <v>4</v>
      </c>
      <c r="B6" s="1" t="s">
        <v>77</v>
      </c>
      <c r="C6" s="4">
        <v>3544</v>
      </c>
      <c r="D6" s="8">
        <v>6.29</v>
      </c>
      <c r="E6" s="4">
        <v>1905</v>
      </c>
      <c r="F6" s="8">
        <v>6.06</v>
      </c>
      <c r="G6" s="4">
        <v>1636</v>
      </c>
      <c r="H6" s="8">
        <v>6.75</v>
      </c>
      <c r="I6" s="4">
        <v>3</v>
      </c>
    </row>
    <row r="7" spans="1:9" x14ac:dyDescent="0.2">
      <c r="A7" s="2">
        <v>5</v>
      </c>
      <c r="B7" s="1" t="s">
        <v>78</v>
      </c>
      <c r="C7" s="4">
        <v>3335</v>
      </c>
      <c r="D7" s="8">
        <v>5.92</v>
      </c>
      <c r="E7" s="4">
        <v>1705</v>
      </c>
      <c r="F7" s="8">
        <v>5.43</v>
      </c>
      <c r="G7" s="4">
        <v>1615</v>
      </c>
      <c r="H7" s="8">
        <v>6.67</v>
      </c>
      <c r="I7" s="4">
        <v>7</v>
      </c>
    </row>
    <row r="8" spans="1:9" x14ac:dyDescent="0.2">
      <c r="A8" s="2">
        <v>6</v>
      </c>
      <c r="B8" s="1" t="s">
        <v>67</v>
      </c>
      <c r="C8" s="4">
        <v>2761</v>
      </c>
      <c r="D8" s="8">
        <v>4.9000000000000004</v>
      </c>
      <c r="E8" s="4">
        <v>1467</v>
      </c>
      <c r="F8" s="8">
        <v>4.67</v>
      </c>
      <c r="G8" s="4">
        <v>1294</v>
      </c>
      <c r="H8" s="8">
        <v>5.34</v>
      </c>
      <c r="I8" s="4">
        <v>0</v>
      </c>
    </row>
    <row r="9" spans="1:9" x14ac:dyDescent="0.2">
      <c r="A9" s="2">
        <v>7</v>
      </c>
      <c r="B9" s="1" t="s">
        <v>83</v>
      </c>
      <c r="C9" s="4">
        <v>2193</v>
      </c>
      <c r="D9" s="8">
        <v>3.89</v>
      </c>
      <c r="E9" s="4">
        <v>1401</v>
      </c>
      <c r="F9" s="8">
        <v>4.46</v>
      </c>
      <c r="G9" s="4">
        <v>564</v>
      </c>
      <c r="H9" s="8">
        <v>2.33</v>
      </c>
      <c r="I9" s="4">
        <v>6</v>
      </c>
    </row>
    <row r="10" spans="1:9" x14ac:dyDescent="0.2">
      <c r="A10" s="2">
        <v>8</v>
      </c>
      <c r="B10" s="1" t="s">
        <v>75</v>
      </c>
      <c r="C10" s="4">
        <v>2118</v>
      </c>
      <c r="D10" s="8">
        <v>3.76</v>
      </c>
      <c r="E10" s="4">
        <v>1480</v>
      </c>
      <c r="F10" s="8">
        <v>4.71</v>
      </c>
      <c r="G10" s="4">
        <v>632</v>
      </c>
      <c r="H10" s="8">
        <v>2.61</v>
      </c>
      <c r="I10" s="4">
        <v>6</v>
      </c>
    </row>
    <row r="11" spans="1:9" x14ac:dyDescent="0.2">
      <c r="A11" s="2">
        <v>9</v>
      </c>
      <c r="B11" s="1" t="s">
        <v>76</v>
      </c>
      <c r="C11" s="4">
        <v>2006</v>
      </c>
      <c r="D11" s="8">
        <v>3.56</v>
      </c>
      <c r="E11" s="4">
        <v>1199</v>
      </c>
      <c r="F11" s="8">
        <v>3.82</v>
      </c>
      <c r="G11" s="4">
        <v>807</v>
      </c>
      <c r="H11" s="8">
        <v>3.33</v>
      </c>
      <c r="I11" s="4">
        <v>0</v>
      </c>
    </row>
    <row r="12" spans="1:9" x14ac:dyDescent="0.2">
      <c r="A12" s="2">
        <v>10</v>
      </c>
      <c r="B12" s="1" t="s">
        <v>84</v>
      </c>
      <c r="C12" s="4">
        <v>1926</v>
      </c>
      <c r="D12" s="8">
        <v>3.42</v>
      </c>
      <c r="E12" s="4">
        <v>1791</v>
      </c>
      <c r="F12" s="8">
        <v>5.7</v>
      </c>
      <c r="G12" s="4">
        <v>133</v>
      </c>
      <c r="H12" s="8">
        <v>0.55000000000000004</v>
      </c>
      <c r="I12" s="4">
        <v>0</v>
      </c>
    </row>
    <row r="13" spans="1:9" x14ac:dyDescent="0.2">
      <c r="A13" s="2">
        <v>11</v>
      </c>
      <c r="B13" s="1" t="s">
        <v>68</v>
      </c>
      <c r="C13" s="4">
        <v>1745</v>
      </c>
      <c r="D13" s="8">
        <v>3.1</v>
      </c>
      <c r="E13" s="4">
        <v>618</v>
      </c>
      <c r="F13" s="8">
        <v>1.97</v>
      </c>
      <c r="G13" s="4">
        <v>1127</v>
      </c>
      <c r="H13" s="8">
        <v>4.6500000000000004</v>
      </c>
      <c r="I13" s="4">
        <v>0</v>
      </c>
    </row>
    <row r="14" spans="1:9" x14ac:dyDescent="0.2">
      <c r="A14" s="2">
        <v>12</v>
      </c>
      <c r="B14" s="1" t="s">
        <v>79</v>
      </c>
      <c r="C14" s="4">
        <v>1421</v>
      </c>
      <c r="D14" s="8">
        <v>2.52</v>
      </c>
      <c r="E14" s="4">
        <v>991</v>
      </c>
      <c r="F14" s="8">
        <v>3.15</v>
      </c>
      <c r="G14" s="4">
        <v>426</v>
      </c>
      <c r="H14" s="8">
        <v>1.76</v>
      </c>
      <c r="I14" s="4">
        <v>4</v>
      </c>
    </row>
    <row r="15" spans="1:9" x14ac:dyDescent="0.2">
      <c r="A15" s="2">
        <v>13</v>
      </c>
      <c r="B15" s="1" t="s">
        <v>74</v>
      </c>
      <c r="C15" s="4">
        <v>1317</v>
      </c>
      <c r="D15" s="8">
        <v>2.34</v>
      </c>
      <c r="E15" s="4">
        <v>723</v>
      </c>
      <c r="F15" s="8">
        <v>2.2999999999999998</v>
      </c>
      <c r="G15" s="4">
        <v>593</v>
      </c>
      <c r="H15" s="8">
        <v>2.4500000000000002</v>
      </c>
      <c r="I15" s="4">
        <v>1</v>
      </c>
    </row>
    <row r="16" spans="1:9" x14ac:dyDescent="0.2">
      <c r="A16" s="2">
        <v>14</v>
      </c>
      <c r="B16" s="1" t="s">
        <v>69</v>
      </c>
      <c r="C16" s="4">
        <v>1205</v>
      </c>
      <c r="D16" s="8">
        <v>2.14</v>
      </c>
      <c r="E16" s="4">
        <v>731</v>
      </c>
      <c r="F16" s="8">
        <v>2.33</v>
      </c>
      <c r="G16" s="4">
        <v>474</v>
      </c>
      <c r="H16" s="8">
        <v>1.96</v>
      </c>
      <c r="I16" s="4">
        <v>0</v>
      </c>
    </row>
    <row r="17" spans="1:9" x14ac:dyDescent="0.2">
      <c r="A17" s="2">
        <v>15</v>
      </c>
      <c r="B17" s="1" t="s">
        <v>80</v>
      </c>
      <c r="C17" s="4">
        <v>1160</v>
      </c>
      <c r="D17" s="8">
        <v>2.06</v>
      </c>
      <c r="E17" s="4">
        <v>491</v>
      </c>
      <c r="F17" s="8">
        <v>1.56</v>
      </c>
      <c r="G17" s="4">
        <v>635</v>
      </c>
      <c r="H17" s="8">
        <v>2.62</v>
      </c>
      <c r="I17" s="4">
        <v>1</v>
      </c>
    </row>
    <row r="18" spans="1:9" x14ac:dyDescent="0.2">
      <c r="A18" s="2">
        <v>16</v>
      </c>
      <c r="B18" s="1" t="s">
        <v>70</v>
      </c>
      <c r="C18" s="4">
        <v>1134</v>
      </c>
      <c r="D18" s="8">
        <v>2.0099999999999998</v>
      </c>
      <c r="E18" s="4">
        <v>537</v>
      </c>
      <c r="F18" s="8">
        <v>1.71</v>
      </c>
      <c r="G18" s="4">
        <v>596</v>
      </c>
      <c r="H18" s="8">
        <v>2.46</v>
      </c>
      <c r="I18" s="4">
        <v>1</v>
      </c>
    </row>
    <row r="19" spans="1:9" x14ac:dyDescent="0.2">
      <c r="A19" s="2">
        <v>17</v>
      </c>
      <c r="B19" s="1" t="s">
        <v>71</v>
      </c>
      <c r="C19" s="4">
        <v>1050</v>
      </c>
      <c r="D19" s="8">
        <v>1.86</v>
      </c>
      <c r="E19" s="4">
        <v>517</v>
      </c>
      <c r="F19" s="8">
        <v>1.65</v>
      </c>
      <c r="G19" s="4">
        <v>533</v>
      </c>
      <c r="H19" s="8">
        <v>2.2000000000000002</v>
      </c>
      <c r="I19" s="4">
        <v>0</v>
      </c>
    </row>
    <row r="20" spans="1:9" x14ac:dyDescent="0.2">
      <c r="A20" s="2">
        <v>18</v>
      </c>
      <c r="B20" s="1" t="s">
        <v>73</v>
      </c>
      <c r="C20" s="4">
        <v>916</v>
      </c>
      <c r="D20" s="8">
        <v>1.63</v>
      </c>
      <c r="E20" s="4">
        <v>310</v>
      </c>
      <c r="F20" s="8">
        <v>0.99</v>
      </c>
      <c r="G20" s="4">
        <v>583</v>
      </c>
      <c r="H20" s="8">
        <v>2.41</v>
      </c>
      <c r="I20" s="4">
        <v>23</v>
      </c>
    </row>
    <row r="21" spans="1:9" x14ac:dyDescent="0.2">
      <c r="A21" s="2">
        <v>19</v>
      </c>
      <c r="B21" s="1" t="s">
        <v>85</v>
      </c>
      <c r="C21" s="4">
        <v>737</v>
      </c>
      <c r="D21" s="8">
        <v>1.31</v>
      </c>
      <c r="E21" s="4">
        <v>546</v>
      </c>
      <c r="F21" s="8">
        <v>1.74</v>
      </c>
      <c r="G21" s="4">
        <v>191</v>
      </c>
      <c r="H21" s="8">
        <v>0.79</v>
      </c>
      <c r="I21" s="4">
        <v>0</v>
      </c>
    </row>
    <row r="22" spans="1:9" x14ac:dyDescent="0.2">
      <c r="A22" s="2">
        <v>20</v>
      </c>
      <c r="B22" s="1" t="s">
        <v>72</v>
      </c>
      <c r="C22" s="4">
        <v>711</v>
      </c>
      <c r="D22" s="8">
        <v>1.26</v>
      </c>
      <c r="E22" s="4">
        <v>226</v>
      </c>
      <c r="F22" s="8">
        <v>0.72</v>
      </c>
      <c r="G22" s="4">
        <v>485</v>
      </c>
      <c r="H22" s="8">
        <v>2</v>
      </c>
      <c r="I22" s="4">
        <v>0</v>
      </c>
    </row>
    <row r="23" spans="1:9" x14ac:dyDescent="0.2">
      <c r="A23" s="1"/>
      <c r="C23" s="4"/>
      <c r="D23" s="8"/>
      <c r="E23" s="4"/>
      <c r="F23" s="8"/>
      <c r="G23" s="4"/>
      <c r="H23" s="8"/>
      <c r="I23" s="4"/>
    </row>
    <row r="24" spans="1:9" x14ac:dyDescent="0.2">
      <c r="A24" s="1" t="s">
        <v>1</v>
      </c>
      <c r="C24" s="4"/>
      <c r="D24" s="8"/>
      <c r="E24" s="4"/>
      <c r="F24" s="8"/>
      <c r="G24" s="4"/>
      <c r="H24" s="8"/>
      <c r="I24" s="4"/>
    </row>
    <row r="25" spans="1:9" x14ac:dyDescent="0.2">
      <c r="A25" s="2">
        <v>1</v>
      </c>
      <c r="B25" s="1" t="s">
        <v>81</v>
      </c>
      <c r="C25" s="4">
        <v>1392</v>
      </c>
      <c r="D25" s="8">
        <v>11.85</v>
      </c>
      <c r="E25" s="4">
        <v>1216</v>
      </c>
      <c r="F25" s="8">
        <v>20.309999999999999</v>
      </c>
      <c r="G25" s="4">
        <v>176</v>
      </c>
      <c r="H25" s="8">
        <v>3.11</v>
      </c>
      <c r="I25" s="4">
        <v>0</v>
      </c>
    </row>
    <row r="26" spans="1:9" x14ac:dyDescent="0.2">
      <c r="A26" s="2">
        <v>2</v>
      </c>
      <c r="B26" s="1" t="s">
        <v>78</v>
      </c>
      <c r="C26" s="4">
        <v>1275</v>
      </c>
      <c r="D26" s="8">
        <v>10.85</v>
      </c>
      <c r="E26" s="4">
        <v>659</v>
      </c>
      <c r="F26" s="8">
        <v>11.01</v>
      </c>
      <c r="G26" s="4">
        <v>615</v>
      </c>
      <c r="H26" s="8">
        <v>10.85</v>
      </c>
      <c r="I26" s="4">
        <v>1</v>
      </c>
    </row>
    <row r="27" spans="1:9" x14ac:dyDescent="0.2">
      <c r="A27" s="2">
        <v>3</v>
      </c>
      <c r="B27" s="1" t="s">
        <v>82</v>
      </c>
      <c r="C27" s="4">
        <v>1131</v>
      </c>
      <c r="D27" s="8">
        <v>9.6300000000000008</v>
      </c>
      <c r="E27" s="4">
        <v>947</v>
      </c>
      <c r="F27" s="8">
        <v>15.82</v>
      </c>
      <c r="G27" s="4">
        <v>184</v>
      </c>
      <c r="H27" s="8">
        <v>3.25</v>
      </c>
      <c r="I27" s="4">
        <v>0</v>
      </c>
    </row>
    <row r="28" spans="1:9" x14ac:dyDescent="0.2">
      <c r="A28" s="2">
        <v>4</v>
      </c>
      <c r="B28" s="1" t="s">
        <v>77</v>
      </c>
      <c r="C28" s="4">
        <v>687</v>
      </c>
      <c r="D28" s="8">
        <v>5.85</v>
      </c>
      <c r="E28" s="4">
        <v>325</v>
      </c>
      <c r="F28" s="8">
        <v>5.43</v>
      </c>
      <c r="G28" s="4">
        <v>362</v>
      </c>
      <c r="H28" s="8">
        <v>6.39</v>
      </c>
      <c r="I28" s="4">
        <v>0</v>
      </c>
    </row>
    <row r="29" spans="1:9" x14ac:dyDescent="0.2">
      <c r="A29" s="2">
        <v>5</v>
      </c>
      <c r="B29" s="1" t="s">
        <v>66</v>
      </c>
      <c r="C29" s="4">
        <v>509</v>
      </c>
      <c r="D29" s="8">
        <v>4.33</v>
      </c>
      <c r="E29" s="4">
        <v>80</v>
      </c>
      <c r="F29" s="8">
        <v>1.34</v>
      </c>
      <c r="G29" s="4">
        <v>429</v>
      </c>
      <c r="H29" s="8">
        <v>7.57</v>
      </c>
      <c r="I29" s="4">
        <v>0</v>
      </c>
    </row>
    <row r="30" spans="1:9" x14ac:dyDescent="0.2">
      <c r="A30" s="2">
        <v>6</v>
      </c>
      <c r="B30" s="1" t="s">
        <v>79</v>
      </c>
      <c r="C30" s="4">
        <v>449</v>
      </c>
      <c r="D30" s="8">
        <v>3.82</v>
      </c>
      <c r="E30" s="4">
        <v>265</v>
      </c>
      <c r="F30" s="8">
        <v>4.43</v>
      </c>
      <c r="G30" s="4">
        <v>181</v>
      </c>
      <c r="H30" s="8">
        <v>3.19</v>
      </c>
      <c r="I30" s="4">
        <v>3</v>
      </c>
    </row>
    <row r="31" spans="1:9" x14ac:dyDescent="0.2">
      <c r="A31" s="2">
        <v>7</v>
      </c>
      <c r="B31" s="1" t="s">
        <v>67</v>
      </c>
      <c r="C31" s="4">
        <v>435</v>
      </c>
      <c r="D31" s="8">
        <v>3.7</v>
      </c>
      <c r="E31" s="4">
        <v>135</v>
      </c>
      <c r="F31" s="8">
        <v>2.2599999999999998</v>
      </c>
      <c r="G31" s="4">
        <v>300</v>
      </c>
      <c r="H31" s="8">
        <v>5.29</v>
      </c>
      <c r="I31" s="4">
        <v>0</v>
      </c>
    </row>
    <row r="32" spans="1:9" x14ac:dyDescent="0.2">
      <c r="A32" s="2">
        <v>8</v>
      </c>
      <c r="B32" s="1" t="s">
        <v>84</v>
      </c>
      <c r="C32" s="4">
        <v>432</v>
      </c>
      <c r="D32" s="8">
        <v>3.68</v>
      </c>
      <c r="E32" s="4">
        <v>392</v>
      </c>
      <c r="F32" s="8">
        <v>6.55</v>
      </c>
      <c r="G32" s="4">
        <v>40</v>
      </c>
      <c r="H32" s="8">
        <v>0.71</v>
      </c>
      <c r="I32" s="4">
        <v>0</v>
      </c>
    </row>
    <row r="33" spans="1:9" x14ac:dyDescent="0.2">
      <c r="A33" s="2">
        <v>9</v>
      </c>
      <c r="B33" s="1" t="s">
        <v>83</v>
      </c>
      <c r="C33" s="4">
        <v>431</v>
      </c>
      <c r="D33" s="8">
        <v>3.67</v>
      </c>
      <c r="E33" s="4">
        <v>212</v>
      </c>
      <c r="F33" s="8">
        <v>3.54</v>
      </c>
      <c r="G33" s="4">
        <v>163</v>
      </c>
      <c r="H33" s="8">
        <v>2.88</v>
      </c>
      <c r="I33" s="4">
        <v>0</v>
      </c>
    </row>
    <row r="34" spans="1:9" x14ac:dyDescent="0.2">
      <c r="A34" s="2">
        <v>10</v>
      </c>
      <c r="B34" s="1" t="s">
        <v>76</v>
      </c>
      <c r="C34" s="4">
        <v>372</v>
      </c>
      <c r="D34" s="8">
        <v>3.17</v>
      </c>
      <c r="E34" s="4">
        <v>213</v>
      </c>
      <c r="F34" s="8">
        <v>3.56</v>
      </c>
      <c r="G34" s="4">
        <v>159</v>
      </c>
      <c r="H34" s="8">
        <v>2.81</v>
      </c>
      <c r="I34" s="4">
        <v>0</v>
      </c>
    </row>
    <row r="35" spans="1:9" x14ac:dyDescent="0.2">
      <c r="A35" s="2">
        <v>11</v>
      </c>
      <c r="B35" s="1" t="s">
        <v>69</v>
      </c>
      <c r="C35" s="4">
        <v>356</v>
      </c>
      <c r="D35" s="8">
        <v>3.03</v>
      </c>
      <c r="E35" s="4">
        <v>197</v>
      </c>
      <c r="F35" s="8">
        <v>3.29</v>
      </c>
      <c r="G35" s="4">
        <v>159</v>
      </c>
      <c r="H35" s="8">
        <v>2.81</v>
      </c>
      <c r="I35" s="4">
        <v>0</v>
      </c>
    </row>
    <row r="36" spans="1:9" x14ac:dyDescent="0.2">
      <c r="A36" s="2">
        <v>12</v>
      </c>
      <c r="B36" s="1" t="s">
        <v>75</v>
      </c>
      <c r="C36" s="4">
        <v>338</v>
      </c>
      <c r="D36" s="8">
        <v>2.88</v>
      </c>
      <c r="E36" s="4">
        <v>217</v>
      </c>
      <c r="F36" s="8">
        <v>3.63</v>
      </c>
      <c r="G36" s="4">
        <v>121</v>
      </c>
      <c r="H36" s="8">
        <v>2.14</v>
      </c>
      <c r="I36" s="4">
        <v>0</v>
      </c>
    </row>
    <row r="37" spans="1:9" x14ac:dyDescent="0.2">
      <c r="A37" s="2">
        <v>13</v>
      </c>
      <c r="B37" s="1" t="s">
        <v>68</v>
      </c>
      <c r="C37" s="4">
        <v>337</v>
      </c>
      <c r="D37" s="8">
        <v>2.87</v>
      </c>
      <c r="E37" s="4">
        <v>86</v>
      </c>
      <c r="F37" s="8">
        <v>1.44</v>
      </c>
      <c r="G37" s="4">
        <v>251</v>
      </c>
      <c r="H37" s="8">
        <v>4.43</v>
      </c>
      <c r="I37" s="4">
        <v>0</v>
      </c>
    </row>
    <row r="38" spans="1:9" x14ac:dyDescent="0.2">
      <c r="A38" s="2">
        <v>14</v>
      </c>
      <c r="B38" s="1" t="s">
        <v>74</v>
      </c>
      <c r="C38" s="4">
        <v>302</v>
      </c>
      <c r="D38" s="8">
        <v>2.57</v>
      </c>
      <c r="E38" s="4">
        <v>155</v>
      </c>
      <c r="F38" s="8">
        <v>2.59</v>
      </c>
      <c r="G38" s="4">
        <v>147</v>
      </c>
      <c r="H38" s="8">
        <v>2.59</v>
      </c>
      <c r="I38" s="4">
        <v>0</v>
      </c>
    </row>
    <row r="39" spans="1:9" x14ac:dyDescent="0.2">
      <c r="A39" s="2">
        <v>15</v>
      </c>
      <c r="B39" s="1" t="s">
        <v>80</v>
      </c>
      <c r="C39" s="4">
        <v>251</v>
      </c>
      <c r="D39" s="8">
        <v>2.14</v>
      </c>
      <c r="E39" s="4">
        <v>89</v>
      </c>
      <c r="F39" s="8">
        <v>1.49</v>
      </c>
      <c r="G39" s="4">
        <v>155</v>
      </c>
      <c r="H39" s="8">
        <v>2.74</v>
      </c>
      <c r="I39" s="4">
        <v>0</v>
      </c>
    </row>
    <row r="40" spans="1:9" x14ac:dyDescent="0.2">
      <c r="A40" s="2">
        <v>16</v>
      </c>
      <c r="B40" s="1" t="s">
        <v>86</v>
      </c>
      <c r="C40" s="4">
        <v>219</v>
      </c>
      <c r="D40" s="8">
        <v>1.86</v>
      </c>
      <c r="E40" s="4">
        <v>54</v>
      </c>
      <c r="F40" s="8">
        <v>0.9</v>
      </c>
      <c r="G40" s="4">
        <v>165</v>
      </c>
      <c r="H40" s="8">
        <v>2.91</v>
      </c>
      <c r="I40" s="4">
        <v>0</v>
      </c>
    </row>
    <row r="41" spans="1:9" x14ac:dyDescent="0.2">
      <c r="A41" s="2">
        <v>17</v>
      </c>
      <c r="B41" s="1" t="s">
        <v>73</v>
      </c>
      <c r="C41" s="4">
        <v>194</v>
      </c>
      <c r="D41" s="8">
        <v>1.65</v>
      </c>
      <c r="E41" s="4">
        <v>43</v>
      </c>
      <c r="F41" s="8">
        <v>0.72</v>
      </c>
      <c r="G41" s="4">
        <v>151</v>
      </c>
      <c r="H41" s="8">
        <v>2.66</v>
      </c>
      <c r="I41" s="4">
        <v>0</v>
      </c>
    </row>
    <row r="42" spans="1:9" x14ac:dyDescent="0.2">
      <c r="A42" s="2">
        <v>18</v>
      </c>
      <c r="B42" s="1" t="s">
        <v>87</v>
      </c>
      <c r="C42" s="4">
        <v>175</v>
      </c>
      <c r="D42" s="8">
        <v>1.49</v>
      </c>
      <c r="E42" s="4">
        <v>16</v>
      </c>
      <c r="F42" s="8">
        <v>0.27</v>
      </c>
      <c r="G42" s="4">
        <v>159</v>
      </c>
      <c r="H42" s="8">
        <v>2.81</v>
      </c>
      <c r="I42" s="4">
        <v>0</v>
      </c>
    </row>
    <row r="43" spans="1:9" x14ac:dyDescent="0.2">
      <c r="A43" s="2">
        <v>19</v>
      </c>
      <c r="B43" s="1" t="s">
        <v>88</v>
      </c>
      <c r="C43" s="4">
        <v>158</v>
      </c>
      <c r="D43" s="8">
        <v>1.35</v>
      </c>
      <c r="E43" s="4">
        <v>41</v>
      </c>
      <c r="F43" s="8">
        <v>0.68</v>
      </c>
      <c r="G43" s="4">
        <v>111</v>
      </c>
      <c r="H43" s="8">
        <v>1.96</v>
      </c>
      <c r="I43" s="4">
        <v>6</v>
      </c>
    </row>
    <row r="44" spans="1:9" x14ac:dyDescent="0.2">
      <c r="A44" s="2">
        <v>20</v>
      </c>
      <c r="B44" s="1" t="s">
        <v>85</v>
      </c>
      <c r="C44" s="4">
        <v>151</v>
      </c>
      <c r="D44" s="8">
        <v>1.29</v>
      </c>
      <c r="E44" s="4">
        <v>101</v>
      </c>
      <c r="F44" s="8">
        <v>1.69</v>
      </c>
      <c r="G44" s="4">
        <v>50</v>
      </c>
      <c r="H44" s="8">
        <v>0.88</v>
      </c>
      <c r="I44" s="4">
        <v>0</v>
      </c>
    </row>
    <row r="45" spans="1:9" x14ac:dyDescent="0.2">
      <c r="A45" s="1"/>
      <c r="C45" s="4"/>
      <c r="D45" s="8"/>
      <c r="E45" s="4"/>
      <c r="F45" s="8"/>
      <c r="G45" s="4"/>
      <c r="H45" s="8"/>
      <c r="I45" s="4"/>
    </row>
    <row r="46" spans="1:9" x14ac:dyDescent="0.2">
      <c r="A46" s="1" t="s">
        <v>2</v>
      </c>
      <c r="C46" s="4"/>
      <c r="D46" s="8"/>
      <c r="E46" s="4"/>
      <c r="F46" s="8"/>
      <c r="G46" s="4"/>
      <c r="H46" s="8"/>
      <c r="I46" s="4"/>
    </row>
    <row r="47" spans="1:9" x14ac:dyDescent="0.2">
      <c r="A47" s="2">
        <v>1</v>
      </c>
      <c r="B47" s="1" t="s">
        <v>82</v>
      </c>
      <c r="C47" s="4">
        <v>425</v>
      </c>
      <c r="D47" s="8">
        <v>10.46</v>
      </c>
      <c r="E47" s="4">
        <v>368</v>
      </c>
      <c r="F47" s="8">
        <v>16.75</v>
      </c>
      <c r="G47" s="4">
        <v>57</v>
      </c>
      <c r="H47" s="8">
        <v>3.12</v>
      </c>
      <c r="I47" s="4">
        <v>0</v>
      </c>
    </row>
    <row r="48" spans="1:9" x14ac:dyDescent="0.2">
      <c r="A48" s="2">
        <v>2</v>
      </c>
      <c r="B48" s="1" t="s">
        <v>81</v>
      </c>
      <c r="C48" s="4">
        <v>386</v>
      </c>
      <c r="D48" s="8">
        <v>9.5</v>
      </c>
      <c r="E48" s="4">
        <v>338</v>
      </c>
      <c r="F48" s="8">
        <v>15.38</v>
      </c>
      <c r="G48" s="4">
        <v>48</v>
      </c>
      <c r="H48" s="8">
        <v>2.63</v>
      </c>
      <c r="I48" s="4">
        <v>0</v>
      </c>
    </row>
    <row r="49" spans="1:9" x14ac:dyDescent="0.2">
      <c r="A49" s="2">
        <v>3</v>
      </c>
      <c r="B49" s="1" t="s">
        <v>78</v>
      </c>
      <c r="C49" s="4">
        <v>337</v>
      </c>
      <c r="D49" s="8">
        <v>8.2899999999999991</v>
      </c>
      <c r="E49" s="4">
        <v>181</v>
      </c>
      <c r="F49" s="8">
        <v>8.24</v>
      </c>
      <c r="G49" s="4">
        <v>151</v>
      </c>
      <c r="H49" s="8">
        <v>8.27</v>
      </c>
      <c r="I49" s="4">
        <v>4</v>
      </c>
    </row>
    <row r="50" spans="1:9" x14ac:dyDescent="0.2">
      <c r="A50" s="2">
        <v>4</v>
      </c>
      <c r="B50" s="1" t="s">
        <v>77</v>
      </c>
      <c r="C50" s="4">
        <v>284</v>
      </c>
      <c r="D50" s="8">
        <v>6.99</v>
      </c>
      <c r="E50" s="4">
        <v>160</v>
      </c>
      <c r="F50" s="8">
        <v>7.28</v>
      </c>
      <c r="G50" s="4">
        <v>124</v>
      </c>
      <c r="H50" s="8">
        <v>6.79</v>
      </c>
      <c r="I50" s="4">
        <v>0</v>
      </c>
    </row>
    <row r="51" spans="1:9" x14ac:dyDescent="0.2">
      <c r="A51" s="2">
        <v>5</v>
      </c>
      <c r="B51" s="1" t="s">
        <v>66</v>
      </c>
      <c r="C51" s="4">
        <v>201</v>
      </c>
      <c r="D51" s="8">
        <v>4.9400000000000004</v>
      </c>
      <c r="E51" s="4">
        <v>49</v>
      </c>
      <c r="F51" s="8">
        <v>2.23</v>
      </c>
      <c r="G51" s="4">
        <v>152</v>
      </c>
      <c r="H51" s="8">
        <v>8.32</v>
      </c>
      <c r="I51" s="4">
        <v>0</v>
      </c>
    </row>
    <row r="52" spans="1:9" x14ac:dyDescent="0.2">
      <c r="A52" s="2">
        <v>6</v>
      </c>
      <c r="B52" s="1" t="s">
        <v>76</v>
      </c>
      <c r="C52" s="4">
        <v>185</v>
      </c>
      <c r="D52" s="8">
        <v>4.55</v>
      </c>
      <c r="E52" s="4">
        <v>98</v>
      </c>
      <c r="F52" s="8">
        <v>4.46</v>
      </c>
      <c r="G52" s="4">
        <v>87</v>
      </c>
      <c r="H52" s="8">
        <v>4.76</v>
      </c>
      <c r="I52" s="4">
        <v>0</v>
      </c>
    </row>
    <row r="53" spans="1:9" x14ac:dyDescent="0.2">
      <c r="A53" s="2">
        <v>7</v>
      </c>
      <c r="B53" s="1" t="s">
        <v>83</v>
      </c>
      <c r="C53" s="4">
        <v>180</v>
      </c>
      <c r="D53" s="8">
        <v>4.43</v>
      </c>
      <c r="E53" s="4">
        <v>111</v>
      </c>
      <c r="F53" s="8">
        <v>5.05</v>
      </c>
      <c r="G53" s="4">
        <v>57</v>
      </c>
      <c r="H53" s="8">
        <v>3.12</v>
      </c>
      <c r="I53" s="4">
        <v>1</v>
      </c>
    </row>
    <row r="54" spans="1:9" x14ac:dyDescent="0.2">
      <c r="A54" s="2">
        <v>8</v>
      </c>
      <c r="B54" s="1" t="s">
        <v>67</v>
      </c>
      <c r="C54" s="4">
        <v>163</v>
      </c>
      <c r="D54" s="8">
        <v>4.01</v>
      </c>
      <c r="E54" s="4">
        <v>73</v>
      </c>
      <c r="F54" s="8">
        <v>3.32</v>
      </c>
      <c r="G54" s="4">
        <v>90</v>
      </c>
      <c r="H54" s="8">
        <v>4.93</v>
      </c>
      <c r="I54" s="4">
        <v>0</v>
      </c>
    </row>
    <row r="55" spans="1:9" x14ac:dyDescent="0.2">
      <c r="A55" s="2">
        <v>9</v>
      </c>
      <c r="B55" s="1" t="s">
        <v>84</v>
      </c>
      <c r="C55" s="4">
        <v>148</v>
      </c>
      <c r="D55" s="8">
        <v>3.64</v>
      </c>
      <c r="E55" s="4">
        <v>136</v>
      </c>
      <c r="F55" s="8">
        <v>6.19</v>
      </c>
      <c r="G55" s="4">
        <v>12</v>
      </c>
      <c r="H55" s="8">
        <v>0.66</v>
      </c>
      <c r="I55" s="4">
        <v>0</v>
      </c>
    </row>
    <row r="56" spans="1:9" x14ac:dyDescent="0.2">
      <c r="A56" s="2">
        <v>10</v>
      </c>
      <c r="B56" s="1" t="s">
        <v>79</v>
      </c>
      <c r="C56" s="4">
        <v>135</v>
      </c>
      <c r="D56" s="8">
        <v>3.32</v>
      </c>
      <c r="E56" s="4">
        <v>97</v>
      </c>
      <c r="F56" s="8">
        <v>4.42</v>
      </c>
      <c r="G56" s="4">
        <v>37</v>
      </c>
      <c r="H56" s="8">
        <v>2.0299999999999998</v>
      </c>
      <c r="I56" s="4">
        <v>1</v>
      </c>
    </row>
    <row r="57" spans="1:9" x14ac:dyDescent="0.2">
      <c r="A57" s="2">
        <v>11</v>
      </c>
      <c r="B57" s="1" t="s">
        <v>75</v>
      </c>
      <c r="C57" s="4">
        <v>125</v>
      </c>
      <c r="D57" s="8">
        <v>3.08</v>
      </c>
      <c r="E57" s="4">
        <v>80</v>
      </c>
      <c r="F57" s="8">
        <v>3.64</v>
      </c>
      <c r="G57" s="4">
        <v>45</v>
      </c>
      <c r="H57" s="8">
        <v>2.46</v>
      </c>
      <c r="I57" s="4">
        <v>0</v>
      </c>
    </row>
    <row r="58" spans="1:9" x14ac:dyDescent="0.2">
      <c r="A58" s="2">
        <v>12</v>
      </c>
      <c r="B58" s="1" t="s">
        <v>68</v>
      </c>
      <c r="C58" s="4">
        <v>122</v>
      </c>
      <c r="D58" s="8">
        <v>3</v>
      </c>
      <c r="E58" s="4">
        <v>45</v>
      </c>
      <c r="F58" s="8">
        <v>2.0499999999999998</v>
      </c>
      <c r="G58" s="4">
        <v>77</v>
      </c>
      <c r="H58" s="8">
        <v>4.22</v>
      </c>
      <c r="I58" s="4">
        <v>0</v>
      </c>
    </row>
    <row r="59" spans="1:9" x14ac:dyDescent="0.2">
      <c r="A59" s="2">
        <v>13</v>
      </c>
      <c r="B59" s="1" t="s">
        <v>74</v>
      </c>
      <c r="C59" s="4">
        <v>118</v>
      </c>
      <c r="D59" s="8">
        <v>2.9</v>
      </c>
      <c r="E59" s="4">
        <v>54</v>
      </c>
      <c r="F59" s="8">
        <v>2.46</v>
      </c>
      <c r="G59" s="4">
        <v>64</v>
      </c>
      <c r="H59" s="8">
        <v>3.5</v>
      </c>
      <c r="I59" s="4">
        <v>0</v>
      </c>
    </row>
    <row r="60" spans="1:9" x14ac:dyDescent="0.2">
      <c r="A60" s="2">
        <v>14</v>
      </c>
      <c r="B60" s="1" t="s">
        <v>80</v>
      </c>
      <c r="C60" s="4">
        <v>94</v>
      </c>
      <c r="D60" s="8">
        <v>2.31</v>
      </c>
      <c r="E60" s="4">
        <v>48</v>
      </c>
      <c r="F60" s="8">
        <v>2.1800000000000002</v>
      </c>
      <c r="G60" s="4">
        <v>44</v>
      </c>
      <c r="H60" s="8">
        <v>2.41</v>
      </c>
      <c r="I60" s="4">
        <v>0</v>
      </c>
    </row>
    <row r="61" spans="1:9" x14ac:dyDescent="0.2">
      <c r="A61" s="2">
        <v>15</v>
      </c>
      <c r="B61" s="1" t="s">
        <v>72</v>
      </c>
      <c r="C61" s="4">
        <v>69</v>
      </c>
      <c r="D61" s="8">
        <v>1.7</v>
      </c>
      <c r="E61" s="4">
        <v>22</v>
      </c>
      <c r="F61" s="8">
        <v>1</v>
      </c>
      <c r="G61" s="4">
        <v>47</v>
      </c>
      <c r="H61" s="8">
        <v>2.57</v>
      </c>
      <c r="I61" s="4">
        <v>0</v>
      </c>
    </row>
    <row r="62" spans="1:9" x14ac:dyDescent="0.2">
      <c r="A62" s="2">
        <v>16</v>
      </c>
      <c r="B62" s="1" t="s">
        <v>69</v>
      </c>
      <c r="C62" s="4">
        <v>68</v>
      </c>
      <c r="D62" s="8">
        <v>1.67</v>
      </c>
      <c r="E62" s="4">
        <v>33</v>
      </c>
      <c r="F62" s="8">
        <v>1.5</v>
      </c>
      <c r="G62" s="4">
        <v>35</v>
      </c>
      <c r="H62" s="8">
        <v>1.92</v>
      </c>
      <c r="I62" s="4">
        <v>0</v>
      </c>
    </row>
    <row r="63" spans="1:9" x14ac:dyDescent="0.2">
      <c r="A63" s="2">
        <v>17</v>
      </c>
      <c r="B63" s="1" t="s">
        <v>89</v>
      </c>
      <c r="C63" s="4">
        <v>64</v>
      </c>
      <c r="D63" s="8">
        <v>1.57</v>
      </c>
      <c r="E63" s="4">
        <v>5</v>
      </c>
      <c r="F63" s="8">
        <v>0.23</v>
      </c>
      <c r="G63" s="4">
        <v>59</v>
      </c>
      <c r="H63" s="8">
        <v>3.23</v>
      </c>
      <c r="I63" s="4">
        <v>0</v>
      </c>
    </row>
    <row r="64" spans="1:9" x14ac:dyDescent="0.2">
      <c r="A64" s="2">
        <v>18</v>
      </c>
      <c r="B64" s="1" t="s">
        <v>87</v>
      </c>
      <c r="C64" s="4">
        <v>57</v>
      </c>
      <c r="D64" s="8">
        <v>1.4</v>
      </c>
      <c r="E64" s="4">
        <v>15</v>
      </c>
      <c r="F64" s="8">
        <v>0.68</v>
      </c>
      <c r="G64" s="4">
        <v>42</v>
      </c>
      <c r="H64" s="8">
        <v>2.2999999999999998</v>
      </c>
      <c r="I64" s="4">
        <v>0</v>
      </c>
    </row>
    <row r="65" spans="1:9" x14ac:dyDescent="0.2">
      <c r="A65" s="2">
        <v>19</v>
      </c>
      <c r="B65" s="1" t="s">
        <v>73</v>
      </c>
      <c r="C65" s="4">
        <v>50</v>
      </c>
      <c r="D65" s="8">
        <v>1.23</v>
      </c>
      <c r="E65" s="4">
        <v>17</v>
      </c>
      <c r="F65" s="8">
        <v>0.77</v>
      </c>
      <c r="G65" s="4">
        <v>25</v>
      </c>
      <c r="H65" s="8">
        <v>1.37</v>
      </c>
      <c r="I65" s="4">
        <v>8</v>
      </c>
    </row>
    <row r="66" spans="1:9" x14ac:dyDescent="0.2">
      <c r="A66" s="2">
        <v>20</v>
      </c>
      <c r="B66" s="1" t="s">
        <v>71</v>
      </c>
      <c r="C66" s="4">
        <v>49</v>
      </c>
      <c r="D66" s="8">
        <v>1.21</v>
      </c>
      <c r="E66" s="4">
        <v>23</v>
      </c>
      <c r="F66" s="8">
        <v>1.05</v>
      </c>
      <c r="G66" s="4">
        <v>26</v>
      </c>
      <c r="H66" s="8">
        <v>1.42</v>
      </c>
      <c r="I66" s="4">
        <v>0</v>
      </c>
    </row>
    <row r="67" spans="1:9" x14ac:dyDescent="0.2">
      <c r="A67" s="2">
        <v>20</v>
      </c>
      <c r="B67" s="1" t="s">
        <v>90</v>
      </c>
      <c r="C67" s="4">
        <v>49</v>
      </c>
      <c r="D67" s="8">
        <v>1.21</v>
      </c>
      <c r="E67" s="4">
        <v>18</v>
      </c>
      <c r="F67" s="8">
        <v>0.82</v>
      </c>
      <c r="G67" s="4">
        <v>29</v>
      </c>
      <c r="H67" s="8">
        <v>1.59</v>
      </c>
      <c r="I67" s="4">
        <v>0</v>
      </c>
    </row>
    <row r="68" spans="1:9" x14ac:dyDescent="0.2">
      <c r="A68" s="1"/>
      <c r="C68" s="4"/>
      <c r="D68" s="8"/>
      <c r="E68" s="4"/>
      <c r="F68" s="8"/>
      <c r="G68" s="4"/>
      <c r="H68" s="8"/>
      <c r="I68" s="4"/>
    </row>
    <row r="69" spans="1:9" x14ac:dyDescent="0.2">
      <c r="A69" s="1" t="s">
        <v>3</v>
      </c>
      <c r="C69" s="4"/>
      <c r="D69" s="8"/>
      <c r="E69" s="4"/>
      <c r="F69" s="8"/>
      <c r="G69" s="4"/>
      <c r="H69" s="8"/>
      <c r="I69" s="4"/>
    </row>
    <row r="70" spans="1:9" x14ac:dyDescent="0.2">
      <c r="A70" s="2">
        <v>1</v>
      </c>
      <c r="B70" s="1" t="s">
        <v>81</v>
      </c>
      <c r="C70" s="4">
        <v>545</v>
      </c>
      <c r="D70" s="8">
        <v>13.58</v>
      </c>
      <c r="E70" s="4">
        <v>451</v>
      </c>
      <c r="F70" s="8">
        <v>19.05</v>
      </c>
      <c r="G70" s="4">
        <v>94</v>
      </c>
      <c r="H70" s="8">
        <v>5.81</v>
      </c>
      <c r="I70" s="4">
        <v>0</v>
      </c>
    </row>
    <row r="71" spans="1:9" x14ac:dyDescent="0.2">
      <c r="A71" s="2">
        <v>2</v>
      </c>
      <c r="B71" s="1" t="s">
        <v>82</v>
      </c>
      <c r="C71" s="4">
        <v>341</v>
      </c>
      <c r="D71" s="8">
        <v>8.5</v>
      </c>
      <c r="E71" s="4">
        <v>297</v>
      </c>
      <c r="F71" s="8">
        <v>12.55</v>
      </c>
      <c r="G71" s="4">
        <v>44</v>
      </c>
      <c r="H71" s="8">
        <v>2.72</v>
      </c>
      <c r="I71" s="4">
        <v>0</v>
      </c>
    </row>
    <row r="72" spans="1:9" x14ac:dyDescent="0.2">
      <c r="A72" s="2">
        <v>3</v>
      </c>
      <c r="B72" s="1" t="s">
        <v>77</v>
      </c>
      <c r="C72" s="4">
        <v>302</v>
      </c>
      <c r="D72" s="8">
        <v>7.53</v>
      </c>
      <c r="E72" s="4">
        <v>176</v>
      </c>
      <c r="F72" s="8">
        <v>7.44</v>
      </c>
      <c r="G72" s="4">
        <v>126</v>
      </c>
      <c r="H72" s="8">
        <v>7.78</v>
      </c>
      <c r="I72" s="4">
        <v>0</v>
      </c>
    </row>
    <row r="73" spans="1:9" x14ac:dyDescent="0.2">
      <c r="A73" s="2">
        <v>4</v>
      </c>
      <c r="B73" s="1" t="s">
        <v>66</v>
      </c>
      <c r="C73" s="4">
        <v>299</v>
      </c>
      <c r="D73" s="8">
        <v>7.45</v>
      </c>
      <c r="E73" s="4">
        <v>100</v>
      </c>
      <c r="F73" s="8">
        <v>4.22</v>
      </c>
      <c r="G73" s="4">
        <v>199</v>
      </c>
      <c r="H73" s="8">
        <v>12.29</v>
      </c>
      <c r="I73" s="4">
        <v>0</v>
      </c>
    </row>
    <row r="74" spans="1:9" x14ac:dyDescent="0.2">
      <c r="A74" s="2">
        <v>5</v>
      </c>
      <c r="B74" s="1" t="s">
        <v>78</v>
      </c>
      <c r="C74" s="4">
        <v>260</v>
      </c>
      <c r="D74" s="8">
        <v>6.48</v>
      </c>
      <c r="E74" s="4">
        <v>151</v>
      </c>
      <c r="F74" s="8">
        <v>6.38</v>
      </c>
      <c r="G74" s="4">
        <v>109</v>
      </c>
      <c r="H74" s="8">
        <v>6.73</v>
      </c>
      <c r="I74" s="4">
        <v>0</v>
      </c>
    </row>
    <row r="75" spans="1:9" x14ac:dyDescent="0.2">
      <c r="A75" s="2">
        <v>6</v>
      </c>
      <c r="B75" s="1" t="s">
        <v>75</v>
      </c>
      <c r="C75" s="4">
        <v>225</v>
      </c>
      <c r="D75" s="8">
        <v>5.61</v>
      </c>
      <c r="E75" s="4">
        <v>131</v>
      </c>
      <c r="F75" s="8">
        <v>5.53</v>
      </c>
      <c r="G75" s="4">
        <v>93</v>
      </c>
      <c r="H75" s="8">
        <v>5.74</v>
      </c>
      <c r="I75" s="4">
        <v>1</v>
      </c>
    </row>
    <row r="76" spans="1:9" x14ac:dyDescent="0.2">
      <c r="A76" s="2">
        <v>7</v>
      </c>
      <c r="B76" s="1" t="s">
        <v>67</v>
      </c>
      <c r="C76" s="4">
        <v>201</v>
      </c>
      <c r="D76" s="8">
        <v>5.01</v>
      </c>
      <c r="E76" s="4">
        <v>126</v>
      </c>
      <c r="F76" s="8">
        <v>5.32</v>
      </c>
      <c r="G76" s="4">
        <v>75</v>
      </c>
      <c r="H76" s="8">
        <v>4.63</v>
      </c>
      <c r="I76" s="4">
        <v>0</v>
      </c>
    </row>
    <row r="77" spans="1:9" x14ac:dyDescent="0.2">
      <c r="A77" s="2">
        <v>8</v>
      </c>
      <c r="B77" s="1" t="s">
        <v>95</v>
      </c>
      <c r="C77" s="4">
        <v>160</v>
      </c>
      <c r="D77" s="8">
        <v>3.99</v>
      </c>
      <c r="E77" s="4">
        <v>97</v>
      </c>
      <c r="F77" s="8">
        <v>4.0999999999999996</v>
      </c>
      <c r="G77" s="4">
        <v>60</v>
      </c>
      <c r="H77" s="8">
        <v>3.71</v>
      </c>
      <c r="I77" s="4">
        <v>3</v>
      </c>
    </row>
    <row r="78" spans="1:9" x14ac:dyDescent="0.2">
      <c r="A78" s="2">
        <v>9</v>
      </c>
      <c r="B78" s="1" t="s">
        <v>84</v>
      </c>
      <c r="C78" s="4">
        <v>135</v>
      </c>
      <c r="D78" s="8">
        <v>3.36</v>
      </c>
      <c r="E78" s="4">
        <v>128</v>
      </c>
      <c r="F78" s="8">
        <v>5.41</v>
      </c>
      <c r="G78" s="4">
        <v>7</v>
      </c>
      <c r="H78" s="8">
        <v>0.43</v>
      </c>
      <c r="I78" s="4">
        <v>0</v>
      </c>
    </row>
    <row r="79" spans="1:9" x14ac:dyDescent="0.2">
      <c r="A79" s="2">
        <v>10</v>
      </c>
      <c r="B79" s="1" t="s">
        <v>83</v>
      </c>
      <c r="C79" s="4">
        <v>132</v>
      </c>
      <c r="D79" s="8">
        <v>3.29</v>
      </c>
      <c r="E79" s="4">
        <v>92</v>
      </c>
      <c r="F79" s="8">
        <v>3.89</v>
      </c>
      <c r="G79" s="4">
        <v>38</v>
      </c>
      <c r="H79" s="8">
        <v>2.35</v>
      </c>
      <c r="I79" s="4">
        <v>0</v>
      </c>
    </row>
    <row r="80" spans="1:9" x14ac:dyDescent="0.2">
      <c r="A80" s="2">
        <v>11</v>
      </c>
      <c r="B80" s="1" t="s">
        <v>76</v>
      </c>
      <c r="C80" s="4">
        <v>130</v>
      </c>
      <c r="D80" s="8">
        <v>3.24</v>
      </c>
      <c r="E80" s="4">
        <v>73</v>
      </c>
      <c r="F80" s="8">
        <v>3.08</v>
      </c>
      <c r="G80" s="4">
        <v>57</v>
      </c>
      <c r="H80" s="8">
        <v>3.52</v>
      </c>
      <c r="I80" s="4">
        <v>0</v>
      </c>
    </row>
    <row r="81" spans="1:9" x14ac:dyDescent="0.2">
      <c r="A81" s="2">
        <v>12</v>
      </c>
      <c r="B81" s="1" t="s">
        <v>74</v>
      </c>
      <c r="C81" s="4">
        <v>101</v>
      </c>
      <c r="D81" s="8">
        <v>2.52</v>
      </c>
      <c r="E81" s="4">
        <v>50</v>
      </c>
      <c r="F81" s="8">
        <v>2.11</v>
      </c>
      <c r="G81" s="4">
        <v>51</v>
      </c>
      <c r="H81" s="8">
        <v>3.15</v>
      </c>
      <c r="I81" s="4">
        <v>0</v>
      </c>
    </row>
    <row r="82" spans="1:9" x14ac:dyDescent="0.2">
      <c r="A82" s="2">
        <v>13</v>
      </c>
      <c r="B82" s="1" t="s">
        <v>80</v>
      </c>
      <c r="C82" s="4">
        <v>93</v>
      </c>
      <c r="D82" s="8">
        <v>2.3199999999999998</v>
      </c>
      <c r="E82" s="4">
        <v>35</v>
      </c>
      <c r="F82" s="8">
        <v>1.48</v>
      </c>
      <c r="G82" s="4">
        <v>55</v>
      </c>
      <c r="H82" s="8">
        <v>3.4</v>
      </c>
      <c r="I82" s="4">
        <v>0</v>
      </c>
    </row>
    <row r="83" spans="1:9" x14ac:dyDescent="0.2">
      <c r="A83" s="2">
        <v>14</v>
      </c>
      <c r="B83" s="1" t="s">
        <v>68</v>
      </c>
      <c r="C83" s="4">
        <v>85</v>
      </c>
      <c r="D83" s="8">
        <v>2.12</v>
      </c>
      <c r="E83" s="4">
        <v>30</v>
      </c>
      <c r="F83" s="8">
        <v>1.27</v>
      </c>
      <c r="G83" s="4">
        <v>55</v>
      </c>
      <c r="H83" s="8">
        <v>3.4</v>
      </c>
      <c r="I83" s="4">
        <v>0</v>
      </c>
    </row>
    <row r="84" spans="1:9" x14ac:dyDescent="0.2">
      <c r="A84" s="2">
        <v>15</v>
      </c>
      <c r="B84" s="1" t="s">
        <v>79</v>
      </c>
      <c r="C84" s="4">
        <v>78</v>
      </c>
      <c r="D84" s="8">
        <v>1.94</v>
      </c>
      <c r="E84" s="4">
        <v>58</v>
      </c>
      <c r="F84" s="8">
        <v>2.4500000000000002</v>
      </c>
      <c r="G84" s="4">
        <v>20</v>
      </c>
      <c r="H84" s="8">
        <v>1.24</v>
      </c>
      <c r="I84" s="4">
        <v>0</v>
      </c>
    </row>
    <row r="85" spans="1:9" x14ac:dyDescent="0.2">
      <c r="A85" s="2">
        <v>16</v>
      </c>
      <c r="B85" s="1" t="s">
        <v>91</v>
      </c>
      <c r="C85" s="4">
        <v>68</v>
      </c>
      <c r="D85" s="8">
        <v>1.69</v>
      </c>
      <c r="E85" s="4">
        <v>27</v>
      </c>
      <c r="F85" s="8">
        <v>1.1399999999999999</v>
      </c>
      <c r="G85" s="4">
        <v>40</v>
      </c>
      <c r="H85" s="8">
        <v>2.4700000000000002</v>
      </c>
      <c r="I85" s="4">
        <v>1</v>
      </c>
    </row>
    <row r="86" spans="1:9" x14ac:dyDescent="0.2">
      <c r="A86" s="2">
        <v>17</v>
      </c>
      <c r="B86" s="1" t="s">
        <v>93</v>
      </c>
      <c r="C86" s="4">
        <v>67</v>
      </c>
      <c r="D86" s="8">
        <v>1.67</v>
      </c>
      <c r="E86" s="4">
        <v>49</v>
      </c>
      <c r="F86" s="8">
        <v>2.0699999999999998</v>
      </c>
      <c r="G86" s="4">
        <v>18</v>
      </c>
      <c r="H86" s="8">
        <v>1.1100000000000001</v>
      </c>
      <c r="I86" s="4">
        <v>0</v>
      </c>
    </row>
    <row r="87" spans="1:9" x14ac:dyDescent="0.2">
      <c r="A87" s="2">
        <v>18</v>
      </c>
      <c r="B87" s="1" t="s">
        <v>94</v>
      </c>
      <c r="C87" s="4">
        <v>53</v>
      </c>
      <c r="D87" s="8">
        <v>1.32</v>
      </c>
      <c r="E87" s="4">
        <v>34</v>
      </c>
      <c r="F87" s="8">
        <v>1.44</v>
      </c>
      <c r="G87" s="4">
        <v>19</v>
      </c>
      <c r="H87" s="8">
        <v>1.17</v>
      </c>
      <c r="I87" s="4">
        <v>0</v>
      </c>
    </row>
    <row r="88" spans="1:9" x14ac:dyDescent="0.2">
      <c r="A88" s="2">
        <v>19</v>
      </c>
      <c r="B88" s="1" t="s">
        <v>73</v>
      </c>
      <c r="C88" s="4">
        <v>48</v>
      </c>
      <c r="D88" s="8">
        <v>1.2</v>
      </c>
      <c r="E88" s="4">
        <v>15</v>
      </c>
      <c r="F88" s="8">
        <v>0.63</v>
      </c>
      <c r="G88" s="4">
        <v>31</v>
      </c>
      <c r="H88" s="8">
        <v>1.91</v>
      </c>
      <c r="I88" s="4">
        <v>2</v>
      </c>
    </row>
    <row r="89" spans="1:9" x14ac:dyDescent="0.2">
      <c r="A89" s="2">
        <v>20</v>
      </c>
      <c r="B89" s="1" t="s">
        <v>92</v>
      </c>
      <c r="C89" s="4">
        <v>45</v>
      </c>
      <c r="D89" s="8">
        <v>1.1200000000000001</v>
      </c>
      <c r="E89" s="4">
        <v>28</v>
      </c>
      <c r="F89" s="8">
        <v>1.18</v>
      </c>
      <c r="G89" s="4">
        <v>17</v>
      </c>
      <c r="H89" s="8">
        <v>1.05</v>
      </c>
      <c r="I89" s="4">
        <v>0</v>
      </c>
    </row>
    <row r="90" spans="1:9" x14ac:dyDescent="0.2">
      <c r="A90" s="1"/>
      <c r="C90" s="4"/>
      <c r="D90" s="8"/>
      <c r="E90" s="4"/>
      <c r="F90" s="8"/>
      <c r="G90" s="4"/>
      <c r="H90" s="8"/>
      <c r="I90" s="4"/>
    </row>
    <row r="91" spans="1:9" x14ac:dyDescent="0.2">
      <c r="A91" s="1" t="s">
        <v>4</v>
      </c>
      <c r="C91" s="4"/>
      <c r="D91" s="8"/>
      <c r="E91" s="4"/>
      <c r="F91" s="8"/>
      <c r="G91" s="4"/>
      <c r="H91" s="8"/>
      <c r="I91" s="4"/>
    </row>
    <row r="92" spans="1:9" x14ac:dyDescent="0.2">
      <c r="A92" s="2">
        <v>1</v>
      </c>
      <c r="B92" s="1" t="s">
        <v>70</v>
      </c>
      <c r="C92" s="4">
        <v>260</v>
      </c>
      <c r="D92" s="8">
        <v>9.48</v>
      </c>
      <c r="E92" s="4">
        <v>135</v>
      </c>
      <c r="F92" s="8">
        <v>9.92</v>
      </c>
      <c r="G92" s="4">
        <v>125</v>
      </c>
      <c r="H92" s="8">
        <v>9.1199999999999992</v>
      </c>
      <c r="I92" s="4">
        <v>0</v>
      </c>
    </row>
    <row r="93" spans="1:9" x14ac:dyDescent="0.2">
      <c r="A93" s="2">
        <v>2</v>
      </c>
      <c r="B93" s="1" t="s">
        <v>82</v>
      </c>
      <c r="C93" s="4">
        <v>255</v>
      </c>
      <c r="D93" s="8">
        <v>9.3000000000000007</v>
      </c>
      <c r="E93" s="4">
        <v>211</v>
      </c>
      <c r="F93" s="8">
        <v>15.5</v>
      </c>
      <c r="G93" s="4">
        <v>44</v>
      </c>
      <c r="H93" s="8">
        <v>3.21</v>
      </c>
      <c r="I93" s="4">
        <v>0</v>
      </c>
    </row>
    <row r="94" spans="1:9" x14ac:dyDescent="0.2">
      <c r="A94" s="2">
        <v>3</v>
      </c>
      <c r="B94" s="1" t="s">
        <v>81</v>
      </c>
      <c r="C94" s="4">
        <v>207</v>
      </c>
      <c r="D94" s="8">
        <v>7.55</v>
      </c>
      <c r="E94" s="4">
        <v>181</v>
      </c>
      <c r="F94" s="8">
        <v>13.3</v>
      </c>
      <c r="G94" s="4">
        <v>26</v>
      </c>
      <c r="H94" s="8">
        <v>1.9</v>
      </c>
      <c r="I94" s="4">
        <v>0</v>
      </c>
    </row>
    <row r="95" spans="1:9" x14ac:dyDescent="0.2">
      <c r="A95" s="2">
        <v>4</v>
      </c>
      <c r="B95" s="1" t="s">
        <v>77</v>
      </c>
      <c r="C95" s="4">
        <v>168</v>
      </c>
      <c r="D95" s="8">
        <v>6.13</v>
      </c>
      <c r="E95" s="4">
        <v>82</v>
      </c>
      <c r="F95" s="8">
        <v>6.02</v>
      </c>
      <c r="G95" s="4">
        <v>84</v>
      </c>
      <c r="H95" s="8">
        <v>6.13</v>
      </c>
      <c r="I95" s="4">
        <v>2</v>
      </c>
    </row>
    <row r="96" spans="1:9" x14ac:dyDescent="0.2">
      <c r="A96" s="2">
        <v>5</v>
      </c>
      <c r="B96" s="1" t="s">
        <v>66</v>
      </c>
      <c r="C96" s="4">
        <v>161</v>
      </c>
      <c r="D96" s="8">
        <v>5.87</v>
      </c>
      <c r="E96" s="4">
        <v>33</v>
      </c>
      <c r="F96" s="8">
        <v>2.42</v>
      </c>
      <c r="G96" s="4">
        <v>128</v>
      </c>
      <c r="H96" s="8">
        <v>9.34</v>
      </c>
      <c r="I96" s="4">
        <v>0</v>
      </c>
    </row>
    <row r="97" spans="1:9" x14ac:dyDescent="0.2">
      <c r="A97" s="2">
        <v>6</v>
      </c>
      <c r="B97" s="1" t="s">
        <v>78</v>
      </c>
      <c r="C97" s="4">
        <v>157</v>
      </c>
      <c r="D97" s="8">
        <v>5.73</v>
      </c>
      <c r="E97" s="4">
        <v>45</v>
      </c>
      <c r="F97" s="8">
        <v>3.31</v>
      </c>
      <c r="G97" s="4">
        <v>109</v>
      </c>
      <c r="H97" s="8">
        <v>7.96</v>
      </c>
      <c r="I97" s="4">
        <v>2</v>
      </c>
    </row>
    <row r="98" spans="1:9" x14ac:dyDescent="0.2">
      <c r="A98" s="2">
        <v>7</v>
      </c>
      <c r="B98" s="1" t="s">
        <v>73</v>
      </c>
      <c r="C98" s="4">
        <v>141</v>
      </c>
      <c r="D98" s="8">
        <v>5.14</v>
      </c>
      <c r="E98" s="4">
        <v>49</v>
      </c>
      <c r="F98" s="8">
        <v>3.6</v>
      </c>
      <c r="G98" s="4">
        <v>92</v>
      </c>
      <c r="H98" s="8">
        <v>6.72</v>
      </c>
      <c r="I98" s="4">
        <v>0</v>
      </c>
    </row>
    <row r="99" spans="1:9" x14ac:dyDescent="0.2">
      <c r="A99" s="2">
        <v>8</v>
      </c>
      <c r="B99" s="1" t="s">
        <v>67</v>
      </c>
      <c r="C99" s="4">
        <v>124</v>
      </c>
      <c r="D99" s="8">
        <v>4.5199999999999996</v>
      </c>
      <c r="E99" s="4">
        <v>61</v>
      </c>
      <c r="F99" s="8">
        <v>4.4800000000000004</v>
      </c>
      <c r="G99" s="4">
        <v>63</v>
      </c>
      <c r="H99" s="8">
        <v>4.5999999999999996</v>
      </c>
      <c r="I99" s="4">
        <v>0</v>
      </c>
    </row>
    <row r="100" spans="1:9" x14ac:dyDescent="0.2">
      <c r="A100" s="2">
        <v>9</v>
      </c>
      <c r="B100" s="1" t="s">
        <v>83</v>
      </c>
      <c r="C100" s="4">
        <v>107</v>
      </c>
      <c r="D100" s="8">
        <v>3.9</v>
      </c>
      <c r="E100" s="4">
        <v>76</v>
      </c>
      <c r="F100" s="8">
        <v>5.58</v>
      </c>
      <c r="G100" s="4">
        <v>31</v>
      </c>
      <c r="H100" s="8">
        <v>2.2599999999999998</v>
      </c>
      <c r="I100" s="4">
        <v>0</v>
      </c>
    </row>
    <row r="101" spans="1:9" x14ac:dyDescent="0.2">
      <c r="A101" s="2">
        <v>10</v>
      </c>
      <c r="B101" s="1" t="s">
        <v>68</v>
      </c>
      <c r="C101" s="4">
        <v>103</v>
      </c>
      <c r="D101" s="8">
        <v>3.76</v>
      </c>
      <c r="E101" s="4">
        <v>32</v>
      </c>
      <c r="F101" s="8">
        <v>2.35</v>
      </c>
      <c r="G101" s="4">
        <v>71</v>
      </c>
      <c r="H101" s="8">
        <v>5.18</v>
      </c>
      <c r="I101" s="4">
        <v>0</v>
      </c>
    </row>
    <row r="102" spans="1:9" x14ac:dyDescent="0.2">
      <c r="A102" s="2">
        <v>11</v>
      </c>
      <c r="B102" s="1" t="s">
        <v>84</v>
      </c>
      <c r="C102" s="4">
        <v>100</v>
      </c>
      <c r="D102" s="8">
        <v>3.65</v>
      </c>
      <c r="E102" s="4">
        <v>93</v>
      </c>
      <c r="F102" s="8">
        <v>6.83</v>
      </c>
      <c r="G102" s="4">
        <v>7</v>
      </c>
      <c r="H102" s="8">
        <v>0.51</v>
      </c>
      <c r="I102" s="4">
        <v>0</v>
      </c>
    </row>
    <row r="103" spans="1:9" x14ac:dyDescent="0.2">
      <c r="A103" s="2">
        <v>12</v>
      </c>
      <c r="B103" s="1" t="s">
        <v>79</v>
      </c>
      <c r="C103" s="4">
        <v>88</v>
      </c>
      <c r="D103" s="8">
        <v>3.21</v>
      </c>
      <c r="E103" s="4">
        <v>64</v>
      </c>
      <c r="F103" s="8">
        <v>4.7</v>
      </c>
      <c r="G103" s="4">
        <v>24</v>
      </c>
      <c r="H103" s="8">
        <v>1.75</v>
      </c>
      <c r="I103" s="4">
        <v>0</v>
      </c>
    </row>
    <row r="104" spans="1:9" x14ac:dyDescent="0.2">
      <c r="A104" s="2">
        <v>13</v>
      </c>
      <c r="B104" s="1" t="s">
        <v>75</v>
      </c>
      <c r="C104" s="4">
        <v>73</v>
      </c>
      <c r="D104" s="8">
        <v>2.66</v>
      </c>
      <c r="E104" s="4">
        <v>49</v>
      </c>
      <c r="F104" s="8">
        <v>3.6</v>
      </c>
      <c r="G104" s="4">
        <v>24</v>
      </c>
      <c r="H104" s="8">
        <v>1.75</v>
      </c>
      <c r="I104" s="4">
        <v>0</v>
      </c>
    </row>
    <row r="105" spans="1:9" x14ac:dyDescent="0.2">
      <c r="A105" s="2">
        <v>14</v>
      </c>
      <c r="B105" s="1" t="s">
        <v>89</v>
      </c>
      <c r="C105" s="4">
        <v>66</v>
      </c>
      <c r="D105" s="8">
        <v>2.41</v>
      </c>
      <c r="E105" s="4">
        <v>15</v>
      </c>
      <c r="F105" s="8">
        <v>1.1000000000000001</v>
      </c>
      <c r="G105" s="4">
        <v>51</v>
      </c>
      <c r="H105" s="8">
        <v>3.72</v>
      </c>
      <c r="I105" s="4">
        <v>0</v>
      </c>
    </row>
    <row r="106" spans="1:9" x14ac:dyDescent="0.2">
      <c r="A106" s="2">
        <v>15</v>
      </c>
      <c r="B106" s="1" t="s">
        <v>76</v>
      </c>
      <c r="C106" s="4">
        <v>63</v>
      </c>
      <c r="D106" s="8">
        <v>2.2999999999999998</v>
      </c>
      <c r="E106" s="4">
        <v>26</v>
      </c>
      <c r="F106" s="8">
        <v>1.91</v>
      </c>
      <c r="G106" s="4">
        <v>37</v>
      </c>
      <c r="H106" s="8">
        <v>2.7</v>
      </c>
      <c r="I106" s="4">
        <v>0</v>
      </c>
    </row>
    <row r="107" spans="1:9" x14ac:dyDescent="0.2">
      <c r="A107" s="2">
        <v>16</v>
      </c>
      <c r="B107" s="1" t="s">
        <v>80</v>
      </c>
      <c r="C107" s="4">
        <v>56</v>
      </c>
      <c r="D107" s="8">
        <v>2.04</v>
      </c>
      <c r="E107" s="4">
        <v>25</v>
      </c>
      <c r="F107" s="8">
        <v>1.84</v>
      </c>
      <c r="G107" s="4">
        <v>30</v>
      </c>
      <c r="H107" s="8">
        <v>2.19</v>
      </c>
      <c r="I107" s="4">
        <v>0</v>
      </c>
    </row>
    <row r="108" spans="1:9" x14ac:dyDescent="0.2">
      <c r="A108" s="2">
        <v>17</v>
      </c>
      <c r="B108" s="1" t="s">
        <v>74</v>
      </c>
      <c r="C108" s="4">
        <v>51</v>
      </c>
      <c r="D108" s="8">
        <v>1.86</v>
      </c>
      <c r="E108" s="4">
        <v>36</v>
      </c>
      <c r="F108" s="8">
        <v>2.65</v>
      </c>
      <c r="G108" s="4">
        <v>15</v>
      </c>
      <c r="H108" s="8">
        <v>1.0900000000000001</v>
      </c>
      <c r="I108" s="4">
        <v>0</v>
      </c>
    </row>
    <row r="109" spans="1:9" x14ac:dyDescent="0.2">
      <c r="A109" s="2">
        <v>18</v>
      </c>
      <c r="B109" s="1" t="s">
        <v>97</v>
      </c>
      <c r="C109" s="4">
        <v>35</v>
      </c>
      <c r="D109" s="8">
        <v>1.28</v>
      </c>
      <c r="E109" s="4">
        <v>1</v>
      </c>
      <c r="F109" s="8">
        <v>7.0000000000000007E-2</v>
      </c>
      <c r="G109" s="4">
        <v>34</v>
      </c>
      <c r="H109" s="8">
        <v>2.48</v>
      </c>
      <c r="I109" s="4">
        <v>0</v>
      </c>
    </row>
    <row r="110" spans="1:9" x14ac:dyDescent="0.2">
      <c r="A110" s="2">
        <v>19</v>
      </c>
      <c r="B110" s="1" t="s">
        <v>96</v>
      </c>
      <c r="C110" s="4">
        <v>34</v>
      </c>
      <c r="D110" s="8">
        <v>1.24</v>
      </c>
      <c r="E110" s="4">
        <v>7</v>
      </c>
      <c r="F110" s="8">
        <v>0.51</v>
      </c>
      <c r="G110" s="4">
        <v>27</v>
      </c>
      <c r="H110" s="8">
        <v>1.97</v>
      </c>
      <c r="I110" s="4">
        <v>0</v>
      </c>
    </row>
    <row r="111" spans="1:9" x14ac:dyDescent="0.2">
      <c r="A111" s="2">
        <v>19</v>
      </c>
      <c r="B111" s="1" t="s">
        <v>85</v>
      </c>
      <c r="C111" s="4">
        <v>34</v>
      </c>
      <c r="D111" s="8">
        <v>1.24</v>
      </c>
      <c r="E111" s="4">
        <v>19</v>
      </c>
      <c r="F111" s="8">
        <v>1.4</v>
      </c>
      <c r="G111" s="4">
        <v>15</v>
      </c>
      <c r="H111" s="8">
        <v>1.0900000000000001</v>
      </c>
      <c r="I111" s="4">
        <v>0</v>
      </c>
    </row>
    <row r="112" spans="1:9" x14ac:dyDescent="0.2">
      <c r="A112" s="1"/>
      <c r="C112" s="4"/>
      <c r="D112" s="8"/>
      <c r="E112" s="4"/>
      <c r="F112" s="8"/>
      <c r="G112" s="4"/>
      <c r="H112" s="8"/>
      <c r="I112" s="4"/>
    </row>
    <row r="113" spans="1:9" x14ac:dyDescent="0.2">
      <c r="A113" s="1" t="s">
        <v>5</v>
      </c>
      <c r="C113" s="4"/>
      <c r="D113" s="8"/>
      <c r="E113" s="4"/>
      <c r="F113" s="8"/>
      <c r="G113" s="4"/>
      <c r="H113" s="8"/>
      <c r="I113" s="4"/>
    </row>
    <row r="114" spans="1:9" x14ac:dyDescent="0.2">
      <c r="A114" s="2">
        <v>1</v>
      </c>
      <c r="B114" s="1" t="s">
        <v>71</v>
      </c>
      <c r="C114" s="4">
        <v>316</v>
      </c>
      <c r="D114" s="8">
        <v>10.55</v>
      </c>
      <c r="E114" s="4">
        <v>200</v>
      </c>
      <c r="F114" s="8">
        <v>11.18</v>
      </c>
      <c r="G114" s="4">
        <v>116</v>
      </c>
      <c r="H114" s="8">
        <v>9.99</v>
      </c>
      <c r="I114" s="4">
        <v>0</v>
      </c>
    </row>
    <row r="115" spans="1:9" x14ac:dyDescent="0.2">
      <c r="A115" s="2">
        <v>2</v>
      </c>
      <c r="B115" s="1" t="s">
        <v>81</v>
      </c>
      <c r="C115" s="4">
        <v>250</v>
      </c>
      <c r="D115" s="8">
        <v>8.35</v>
      </c>
      <c r="E115" s="4">
        <v>217</v>
      </c>
      <c r="F115" s="8">
        <v>12.13</v>
      </c>
      <c r="G115" s="4">
        <v>33</v>
      </c>
      <c r="H115" s="8">
        <v>2.84</v>
      </c>
      <c r="I115" s="4">
        <v>0</v>
      </c>
    </row>
    <row r="116" spans="1:9" x14ac:dyDescent="0.2">
      <c r="A116" s="2">
        <v>3</v>
      </c>
      <c r="B116" s="1" t="s">
        <v>82</v>
      </c>
      <c r="C116" s="4">
        <v>243</v>
      </c>
      <c r="D116" s="8">
        <v>8.1199999999999992</v>
      </c>
      <c r="E116" s="4">
        <v>223</v>
      </c>
      <c r="F116" s="8">
        <v>12.47</v>
      </c>
      <c r="G116" s="4">
        <v>20</v>
      </c>
      <c r="H116" s="8">
        <v>1.72</v>
      </c>
      <c r="I116" s="4">
        <v>0</v>
      </c>
    </row>
    <row r="117" spans="1:9" x14ac:dyDescent="0.2">
      <c r="A117" s="2">
        <v>4</v>
      </c>
      <c r="B117" s="1" t="s">
        <v>66</v>
      </c>
      <c r="C117" s="4">
        <v>157</v>
      </c>
      <c r="D117" s="8">
        <v>5.24</v>
      </c>
      <c r="E117" s="4">
        <v>44</v>
      </c>
      <c r="F117" s="8">
        <v>2.46</v>
      </c>
      <c r="G117" s="4">
        <v>113</v>
      </c>
      <c r="H117" s="8">
        <v>9.73</v>
      </c>
      <c r="I117" s="4">
        <v>0</v>
      </c>
    </row>
    <row r="118" spans="1:9" x14ac:dyDescent="0.2">
      <c r="A118" s="2">
        <v>5</v>
      </c>
      <c r="B118" s="1" t="s">
        <v>77</v>
      </c>
      <c r="C118" s="4">
        <v>154</v>
      </c>
      <c r="D118" s="8">
        <v>5.14</v>
      </c>
      <c r="E118" s="4">
        <v>86</v>
      </c>
      <c r="F118" s="8">
        <v>4.8099999999999996</v>
      </c>
      <c r="G118" s="4">
        <v>68</v>
      </c>
      <c r="H118" s="8">
        <v>5.86</v>
      </c>
      <c r="I118" s="4">
        <v>0</v>
      </c>
    </row>
    <row r="119" spans="1:9" x14ac:dyDescent="0.2">
      <c r="A119" s="2">
        <v>6</v>
      </c>
      <c r="B119" s="1" t="s">
        <v>67</v>
      </c>
      <c r="C119" s="4">
        <v>146</v>
      </c>
      <c r="D119" s="8">
        <v>4.88</v>
      </c>
      <c r="E119" s="4">
        <v>93</v>
      </c>
      <c r="F119" s="8">
        <v>5.2</v>
      </c>
      <c r="G119" s="4">
        <v>53</v>
      </c>
      <c r="H119" s="8">
        <v>4.57</v>
      </c>
      <c r="I119" s="4">
        <v>0</v>
      </c>
    </row>
    <row r="120" spans="1:9" x14ac:dyDescent="0.2">
      <c r="A120" s="2">
        <v>7</v>
      </c>
      <c r="B120" s="1" t="s">
        <v>78</v>
      </c>
      <c r="C120" s="4">
        <v>125</v>
      </c>
      <c r="D120" s="8">
        <v>4.18</v>
      </c>
      <c r="E120" s="4">
        <v>80</v>
      </c>
      <c r="F120" s="8">
        <v>4.47</v>
      </c>
      <c r="G120" s="4">
        <v>45</v>
      </c>
      <c r="H120" s="8">
        <v>3.88</v>
      </c>
      <c r="I120" s="4">
        <v>0</v>
      </c>
    </row>
    <row r="121" spans="1:9" x14ac:dyDescent="0.2">
      <c r="A121" s="2">
        <v>8</v>
      </c>
      <c r="B121" s="1" t="s">
        <v>76</v>
      </c>
      <c r="C121" s="4">
        <v>115</v>
      </c>
      <c r="D121" s="8">
        <v>3.84</v>
      </c>
      <c r="E121" s="4">
        <v>75</v>
      </c>
      <c r="F121" s="8">
        <v>4.1900000000000004</v>
      </c>
      <c r="G121" s="4">
        <v>40</v>
      </c>
      <c r="H121" s="8">
        <v>3.45</v>
      </c>
      <c r="I121" s="4">
        <v>0</v>
      </c>
    </row>
    <row r="122" spans="1:9" x14ac:dyDescent="0.2">
      <c r="A122" s="2">
        <v>9</v>
      </c>
      <c r="B122" s="1" t="s">
        <v>72</v>
      </c>
      <c r="C122" s="4">
        <v>106</v>
      </c>
      <c r="D122" s="8">
        <v>3.54</v>
      </c>
      <c r="E122" s="4">
        <v>43</v>
      </c>
      <c r="F122" s="8">
        <v>2.4</v>
      </c>
      <c r="G122" s="4">
        <v>63</v>
      </c>
      <c r="H122" s="8">
        <v>5.43</v>
      </c>
      <c r="I122" s="4">
        <v>0</v>
      </c>
    </row>
    <row r="123" spans="1:9" x14ac:dyDescent="0.2">
      <c r="A123" s="2">
        <v>10</v>
      </c>
      <c r="B123" s="1" t="s">
        <v>83</v>
      </c>
      <c r="C123" s="4">
        <v>104</v>
      </c>
      <c r="D123" s="8">
        <v>3.47</v>
      </c>
      <c r="E123" s="4">
        <v>75</v>
      </c>
      <c r="F123" s="8">
        <v>4.1900000000000004</v>
      </c>
      <c r="G123" s="4">
        <v>21</v>
      </c>
      <c r="H123" s="8">
        <v>1.81</v>
      </c>
      <c r="I123" s="4">
        <v>1</v>
      </c>
    </row>
    <row r="124" spans="1:9" x14ac:dyDescent="0.2">
      <c r="A124" s="2">
        <v>11</v>
      </c>
      <c r="B124" s="1" t="s">
        <v>75</v>
      </c>
      <c r="C124" s="4">
        <v>100</v>
      </c>
      <c r="D124" s="8">
        <v>3.34</v>
      </c>
      <c r="E124" s="4">
        <v>74</v>
      </c>
      <c r="F124" s="8">
        <v>4.1399999999999997</v>
      </c>
      <c r="G124" s="4">
        <v>25</v>
      </c>
      <c r="H124" s="8">
        <v>2.15</v>
      </c>
      <c r="I124" s="4">
        <v>1</v>
      </c>
    </row>
    <row r="125" spans="1:9" x14ac:dyDescent="0.2">
      <c r="A125" s="2">
        <v>12</v>
      </c>
      <c r="B125" s="1" t="s">
        <v>68</v>
      </c>
      <c r="C125" s="4">
        <v>91</v>
      </c>
      <c r="D125" s="8">
        <v>3.04</v>
      </c>
      <c r="E125" s="4">
        <v>46</v>
      </c>
      <c r="F125" s="8">
        <v>2.57</v>
      </c>
      <c r="G125" s="4">
        <v>45</v>
      </c>
      <c r="H125" s="8">
        <v>3.88</v>
      </c>
      <c r="I125" s="4">
        <v>0</v>
      </c>
    </row>
    <row r="126" spans="1:9" x14ac:dyDescent="0.2">
      <c r="A126" s="2">
        <v>13</v>
      </c>
      <c r="B126" s="1" t="s">
        <v>84</v>
      </c>
      <c r="C126" s="4">
        <v>81</v>
      </c>
      <c r="D126" s="8">
        <v>2.71</v>
      </c>
      <c r="E126" s="4">
        <v>79</v>
      </c>
      <c r="F126" s="8">
        <v>4.42</v>
      </c>
      <c r="G126" s="4">
        <v>2</v>
      </c>
      <c r="H126" s="8">
        <v>0.17</v>
      </c>
      <c r="I126" s="4">
        <v>0</v>
      </c>
    </row>
    <row r="127" spans="1:9" x14ac:dyDescent="0.2">
      <c r="A127" s="2">
        <v>14</v>
      </c>
      <c r="B127" s="1" t="s">
        <v>74</v>
      </c>
      <c r="C127" s="4">
        <v>59</v>
      </c>
      <c r="D127" s="8">
        <v>1.97</v>
      </c>
      <c r="E127" s="4">
        <v>29</v>
      </c>
      <c r="F127" s="8">
        <v>1.62</v>
      </c>
      <c r="G127" s="4">
        <v>30</v>
      </c>
      <c r="H127" s="8">
        <v>2.58</v>
      </c>
      <c r="I127" s="4">
        <v>0</v>
      </c>
    </row>
    <row r="128" spans="1:9" x14ac:dyDescent="0.2">
      <c r="A128" s="2">
        <v>15</v>
      </c>
      <c r="B128" s="1" t="s">
        <v>97</v>
      </c>
      <c r="C128" s="4">
        <v>57</v>
      </c>
      <c r="D128" s="8">
        <v>1.9</v>
      </c>
      <c r="E128" s="4">
        <v>0</v>
      </c>
      <c r="F128" s="8">
        <v>0</v>
      </c>
      <c r="G128" s="4">
        <v>34</v>
      </c>
      <c r="H128" s="8">
        <v>2.93</v>
      </c>
      <c r="I128" s="4">
        <v>1</v>
      </c>
    </row>
    <row r="129" spans="1:9" x14ac:dyDescent="0.2">
      <c r="A129" s="2">
        <v>16</v>
      </c>
      <c r="B129" s="1" t="s">
        <v>73</v>
      </c>
      <c r="C129" s="4">
        <v>53</v>
      </c>
      <c r="D129" s="8">
        <v>1.77</v>
      </c>
      <c r="E129" s="4">
        <v>20</v>
      </c>
      <c r="F129" s="8">
        <v>1.1200000000000001</v>
      </c>
      <c r="G129" s="4">
        <v>33</v>
      </c>
      <c r="H129" s="8">
        <v>2.84</v>
      </c>
      <c r="I129" s="4">
        <v>0</v>
      </c>
    </row>
    <row r="130" spans="1:9" x14ac:dyDescent="0.2">
      <c r="A130" s="2">
        <v>17</v>
      </c>
      <c r="B130" s="1" t="s">
        <v>80</v>
      </c>
      <c r="C130" s="4">
        <v>52</v>
      </c>
      <c r="D130" s="8">
        <v>1.74</v>
      </c>
      <c r="E130" s="4">
        <v>28</v>
      </c>
      <c r="F130" s="8">
        <v>1.57</v>
      </c>
      <c r="G130" s="4">
        <v>23</v>
      </c>
      <c r="H130" s="8">
        <v>1.98</v>
      </c>
      <c r="I130" s="4">
        <v>0</v>
      </c>
    </row>
    <row r="131" spans="1:9" x14ac:dyDescent="0.2">
      <c r="A131" s="2">
        <v>18</v>
      </c>
      <c r="B131" s="1" t="s">
        <v>69</v>
      </c>
      <c r="C131" s="4">
        <v>51</v>
      </c>
      <c r="D131" s="8">
        <v>1.7</v>
      </c>
      <c r="E131" s="4">
        <v>34</v>
      </c>
      <c r="F131" s="8">
        <v>1.9</v>
      </c>
      <c r="G131" s="4">
        <v>17</v>
      </c>
      <c r="H131" s="8">
        <v>1.46</v>
      </c>
      <c r="I131" s="4">
        <v>0</v>
      </c>
    </row>
    <row r="132" spans="1:9" x14ac:dyDescent="0.2">
      <c r="A132" s="2">
        <v>19</v>
      </c>
      <c r="B132" s="1" t="s">
        <v>98</v>
      </c>
      <c r="C132" s="4">
        <v>49</v>
      </c>
      <c r="D132" s="8">
        <v>1.64</v>
      </c>
      <c r="E132" s="4">
        <v>25</v>
      </c>
      <c r="F132" s="8">
        <v>1.4</v>
      </c>
      <c r="G132" s="4">
        <v>24</v>
      </c>
      <c r="H132" s="8">
        <v>2.0699999999999998</v>
      </c>
      <c r="I132" s="4">
        <v>0</v>
      </c>
    </row>
    <row r="133" spans="1:9" x14ac:dyDescent="0.2">
      <c r="A133" s="2">
        <v>19</v>
      </c>
      <c r="B133" s="1" t="s">
        <v>85</v>
      </c>
      <c r="C133" s="4">
        <v>49</v>
      </c>
      <c r="D133" s="8">
        <v>1.64</v>
      </c>
      <c r="E133" s="4">
        <v>38</v>
      </c>
      <c r="F133" s="8">
        <v>2.12</v>
      </c>
      <c r="G133" s="4">
        <v>11</v>
      </c>
      <c r="H133" s="8">
        <v>0.95</v>
      </c>
      <c r="I133" s="4">
        <v>0</v>
      </c>
    </row>
    <row r="134" spans="1:9" x14ac:dyDescent="0.2">
      <c r="A134" s="1"/>
      <c r="C134" s="4"/>
      <c r="D134" s="8"/>
      <c r="E134" s="4"/>
      <c r="F134" s="8"/>
      <c r="G134" s="4"/>
      <c r="H134" s="8"/>
      <c r="I134" s="4"/>
    </row>
    <row r="135" spans="1:9" x14ac:dyDescent="0.2">
      <c r="A135" s="1" t="s">
        <v>6</v>
      </c>
      <c r="C135" s="4"/>
      <c r="D135" s="8"/>
      <c r="E135" s="4"/>
      <c r="F135" s="8"/>
      <c r="G135" s="4"/>
      <c r="H135" s="8"/>
      <c r="I135" s="4"/>
    </row>
    <row r="136" spans="1:9" x14ac:dyDescent="0.2">
      <c r="A136" s="2">
        <v>1</v>
      </c>
      <c r="B136" s="1" t="s">
        <v>81</v>
      </c>
      <c r="C136" s="4">
        <v>274</v>
      </c>
      <c r="D136" s="8">
        <v>12.15</v>
      </c>
      <c r="E136" s="4">
        <v>248</v>
      </c>
      <c r="F136" s="8">
        <v>18.66</v>
      </c>
      <c r="G136" s="4">
        <v>25</v>
      </c>
      <c r="H136" s="8">
        <v>2.74</v>
      </c>
      <c r="I136" s="4">
        <v>1</v>
      </c>
    </row>
    <row r="137" spans="1:9" x14ac:dyDescent="0.2">
      <c r="A137" s="2">
        <v>2</v>
      </c>
      <c r="B137" s="1" t="s">
        <v>82</v>
      </c>
      <c r="C137" s="4">
        <v>205</v>
      </c>
      <c r="D137" s="8">
        <v>9.09</v>
      </c>
      <c r="E137" s="4">
        <v>176</v>
      </c>
      <c r="F137" s="8">
        <v>13.24</v>
      </c>
      <c r="G137" s="4">
        <v>29</v>
      </c>
      <c r="H137" s="8">
        <v>3.18</v>
      </c>
      <c r="I137" s="4">
        <v>0</v>
      </c>
    </row>
    <row r="138" spans="1:9" x14ac:dyDescent="0.2">
      <c r="A138" s="2">
        <v>3</v>
      </c>
      <c r="B138" s="1" t="s">
        <v>66</v>
      </c>
      <c r="C138" s="4">
        <v>192</v>
      </c>
      <c r="D138" s="8">
        <v>8.51</v>
      </c>
      <c r="E138" s="4">
        <v>90</v>
      </c>
      <c r="F138" s="8">
        <v>6.77</v>
      </c>
      <c r="G138" s="4">
        <v>102</v>
      </c>
      <c r="H138" s="8">
        <v>11.2</v>
      </c>
      <c r="I138" s="4">
        <v>0</v>
      </c>
    </row>
    <row r="139" spans="1:9" x14ac:dyDescent="0.2">
      <c r="A139" s="2">
        <v>4</v>
      </c>
      <c r="B139" s="1" t="s">
        <v>77</v>
      </c>
      <c r="C139" s="4">
        <v>158</v>
      </c>
      <c r="D139" s="8">
        <v>7</v>
      </c>
      <c r="E139" s="4">
        <v>73</v>
      </c>
      <c r="F139" s="8">
        <v>5.49</v>
      </c>
      <c r="G139" s="4">
        <v>85</v>
      </c>
      <c r="H139" s="8">
        <v>9.33</v>
      </c>
      <c r="I139" s="4">
        <v>0</v>
      </c>
    </row>
    <row r="140" spans="1:9" x14ac:dyDescent="0.2">
      <c r="A140" s="2">
        <v>5</v>
      </c>
      <c r="B140" s="1" t="s">
        <v>67</v>
      </c>
      <c r="C140" s="4">
        <v>134</v>
      </c>
      <c r="D140" s="8">
        <v>5.94</v>
      </c>
      <c r="E140" s="4">
        <v>95</v>
      </c>
      <c r="F140" s="8">
        <v>7.15</v>
      </c>
      <c r="G140" s="4">
        <v>39</v>
      </c>
      <c r="H140" s="8">
        <v>4.28</v>
      </c>
      <c r="I140" s="4">
        <v>0</v>
      </c>
    </row>
    <row r="141" spans="1:9" x14ac:dyDescent="0.2">
      <c r="A141" s="2">
        <v>6</v>
      </c>
      <c r="B141" s="1" t="s">
        <v>75</v>
      </c>
      <c r="C141" s="4">
        <v>102</v>
      </c>
      <c r="D141" s="8">
        <v>4.5199999999999996</v>
      </c>
      <c r="E141" s="4">
        <v>71</v>
      </c>
      <c r="F141" s="8">
        <v>5.34</v>
      </c>
      <c r="G141" s="4">
        <v>30</v>
      </c>
      <c r="H141" s="8">
        <v>3.29</v>
      </c>
      <c r="I141" s="4">
        <v>1</v>
      </c>
    </row>
    <row r="142" spans="1:9" x14ac:dyDescent="0.2">
      <c r="A142" s="2">
        <v>7</v>
      </c>
      <c r="B142" s="1" t="s">
        <v>78</v>
      </c>
      <c r="C142" s="4">
        <v>89</v>
      </c>
      <c r="D142" s="8">
        <v>3.95</v>
      </c>
      <c r="E142" s="4">
        <v>41</v>
      </c>
      <c r="F142" s="8">
        <v>3.09</v>
      </c>
      <c r="G142" s="4">
        <v>47</v>
      </c>
      <c r="H142" s="8">
        <v>5.16</v>
      </c>
      <c r="I142" s="4">
        <v>0</v>
      </c>
    </row>
    <row r="143" spans="1:9" x14ac:dyDescent="0.2">
      <c r="A143" s="2">
        <v>8</v>
      </c>
      <c r="B143" s="1" t="s">
        <v>84</v>
      </c>
      <c r="C143" s="4">
        <v>78</v>
      </c>
      <c r="D143" s="8">
        <v>3.46</v>
      </c>
      <c r="E143" s="4">
        <v>76</v>
      </c>
      <c r="F143" s="8">
        <v>5.72</v>
      </c>
      <c r="G143" s="4">
        <v>2</v>
      </c>
      <c r="H143" s="8">
        <v>0.22</v>
      </c>
      <c r="I143" s="4">
        <v>0</v>
      </c>
    </row>
    <row r="144" spans="1:9" x14ac:dyDescent="0.2">
      <c r="A144" s="2">
        <v>9</v>
      </c>
      <c r="B144" s="1" t="s">
        <v>92</v>
      </c>
      <c r="C144" s="4">
        <v>76</v>
      </c>
      <c r="D144" s="8">
        <v>3.37</v>
      </c>
      <c r="E144" s="4">
        <v>39</v>
      </c>
      <c r="F144" s="8">
        <v>2.93</v>
      </c>
      <c r="G144" s="4">
        <v>37</v>
      </c>
      <c r="H144" s="8">
        <v>4.0599999999999996</v>
      </c>
      <c r="I144" s="4">
        <v>0</v>
      </c>
    </row>
    <row r="145" spans="1:9" x14ac:dyDescent="0.2">
      <c r="A145" s="2">
        <v>10</v>
      </c>
      <c r="B145" s="1" t="s">
        <v>68</v>
      </c>
      <c r="C145" s="4">
        <v>75</v>
      </c>
      <c r="D145" s="8">
        <v>3.32</v>
      </c>
      <c r="E145" s="4">
        <v>31</v>
      </c>
      <c r="F145" s="8">
        <v>2.33</v>
      </c>
      <c r="G145" s="4">
        <v>44</v>
      </c>
      <c r="H145" s="8">
        <v>4.83</v>
      </c>
      <c r="I145" s="4">
        <v>0</v>
      </c>
    </row>
    <row r="146" spans="1:9" x14ac:dyDescent="0.2">
      <c r="A146" s="2">
        <v>11</v>
      </c>
      <c r="B146" s="1" t="s">
        <v>83</v>
      </c>
      <c r="C146" s="4">
        <v>64</v>
      </c>
      <c r="D146" s="8">
        <v>2.84</v>
      </c>
      <c r="E146" s="4">
        <v>51</v>
      </c>
      <c r="F146" s="8">
        <v>3.84</v>
      </c>
      <c r="G146" s="4">
        <v>11</v>
      </c>
      <c r="H146" s="8">
        <v>1.21</v>
      </c>
      <c r="I146" s="4">
        <v>0</v>
      </c>
    </row>
    <row r="147" spans="1:9" x14ac:dyDescent="0.2">
      <c r="A147" s="2">
        <v>12</v>
      </c>
      <c r="B147" s="1" t="s">
        <v>76</v>
      </c>
      <c r="C147" s="4">
        <v>58</v>
      </c>
      <c r="D147" s="8">
        <v>2.57</v>
      </c>
      <c r="E147" s="4">
        <v>32</v>
      </c>
      <c r="F147" s="8">
        <v>2.41</v>
      </c>
      <c r="G147" s="4">
        <v>26</v>
      </c>
      <c r="H147" s="8">
        <v>2.85</v>
      </c>
      <c r="I147" s="4">
        <v>0</v>
      </c>
    </row>
    <row r="148" spans="1:9" x14ac:dyDescent="0.2">
      <c r="A148" s="2">
        <v>13</v>
      </c>
      <c r="B148" s="1" t="s">
        <v>80</v>
      </c>
      <c r="C148" s="4">
        <v>50</v>
      </c>
      <c r="D148" s="8">
        <v>2.2200000000000002</v>
      </c>
      <c r="E148" s="4">
        <v>24</v>
      </c>
      <c r="F148" s="8">
        <v>1.81</v>
      </c>
      <c r="G148" s="4">
        <v>23</v>
      </c>
      <c r="H148" s="8">
        <v>2.52</v>
      </c>
      <c r="I148" s="4">
        <v>0</v>
      </c>
    </row>
    <row r="149" spans="1:9" x14ac:dyDescent="0.2">
      <c r="A149" s="2">
        <v>14</v>
      </c>
      <c r="B149" s="1" t="s">
        <v>74</v>
      </c>
      <c r="C149" s="4">
        <v>45</v>
      </c>
      <c r="D149" s="8">
        <v>1.99</v>
      </c>
      <c r="E149" s="4">
        <v>22</v>
      </c>
      <c r="F149" s="8">
        <v>1.66</v>
      </c>
      <c r="G149" s="4">
        <v>23</v>
      </c>
      <c r="H149" s="8">
        <v>2.52</v>
      </c>
      <c r="I149" s="4">
        <v>0</v>
      </c>
    </row>
    <row r="150" spans="1:9" x14ac:dyDescent="0.2">
      <c r="A150" s="2">
        <v>15</v>
      </c>
      <c r="B150" s="1" t="s">
        <v>79</v>
      </c>
      <c r="C150" s="4">
        <v>43</v>
      </c>
      <c r="D150" s="8">
        <v>1.91</v>
      </c>
      <c r="E150" s="4">
        <v>31</v>
      </c>
      <c r="F150" s="8">
        <v>2.33</v>
      </c>
      <c r="G150" s="4">
        <v>12</v>
      </c>
      <c r="H150" s="8">
        <v>1.32</v>
      </c>
      <c r="I150" s="4">
        <v>0</v>
      </c>
    </row>
    <row r="151" spans="1:9" x14ac:dyDescent="0.2">
      <c r="A151" s="2">
        <v>16</v>
      </c>
      <c r="B151" s="1" t="s">
        <v>93</v>
      </c>
      <c r="C151" s="4">
        <v>41</v>
      </c>
      <c r="D151" s="8">
        <v>1.82</v>
      </c>
      <c r="E151" s="4">
        <v>31</v>
      </c>
      <c r="F151" s="8">
        <v>2.33</v>
      </c>
      <c r="G151" s="4">
        <v>10</v>
      </c>
      <c r="H151" s="8">
        <v>1.1000000000000001</v>
      </c>
      <c r="I151" s="4">
        <v>0</v>
      </c>
    </row>
    <row r="152" spans="1:9" x14ac:dyDescent="0.2">
      <c r="A152" s="2">
        <v>17</v>
      </c>
      <c r="B152" s="1" t="s">
        <v>71</v>
      </c>
      <c r="C152" s="4">
        <v>36</v>
      </c>
      <c r="D152" s="8">
        <v>1.6</v>
      </c>
      <c r="E152" s="4">
        <v>19</v>
      </c>
      <c r="F152" s="8">
        <v>1.43</v>
      </c>
      <c r="G152" s="4">
        <v>17</v>
      </c>
      <c r="H152" s="8">
        <v>1.87</v>
      </c>
      <c r="I152" s="4">
        <v>0</v>
      </c>
    </row>
    <row r="153" spans="1:9" x14ac:dyDescent="0.2">
      <c r="A153" s="2">
        <v>18</v>
      </c>
      <c r="B153" s="1" t="s">
        <v>97</v>
      </c>
      <c r="C153" s="4">
        <v>34</v>
      </c>
      <c r="D153" s="8">
        <v>1.51</v>
      </c>
      <c r="E153" s="4">
        <v>1</v>
      </c>
      <c r="F153" s="8">
        <v>0.08</v>
      </c>
      <c r="G153" s="4">
        <v>31</v>
      </c>
      <c r="H153" s="8">
        <v>3.4</v>
      </c>
      <c r="I153" s="4">
        <v>2</v>
      </c>
    </row>
    <row r="154" spans="1:9" x14ac:dyDescent="0.2">
      <c r="A154" s="2">
        <v>19</v>
      </c>
      <c r="B154" s="1" t="s">
        <v>91</v>
      </c>
      <c r="C154" s="4">
        <v>30</v>
      </c>
      <c r="D154" s="8">
        <v>1.33</v>
      </c>
      <c r="E154" s="4">
        <v>13</v>
      </c>
      <c r="F154" s="8">
        <v>0.98</v>
      </c>
      <c r="G154" s="4">
        <v>15</v>
      </c>
      <c r="H154" s="8">
        <v>1.65</v>
      </c>
      <c r="I154" s="4">
        <v>2</v>
      </c>
    </row>
    <row r="155" spans="1:9" x14ac:dyDescent="0.2">
      <c r="A155" s="2">
        <v>20</v>
      </c>
      <c r="B155" s="1" t="s">
        <v>95</v>
      </c>
      <c r="C155" s="4">
        <v>28</v>
      </c>
      <c r="D155" s="8">
        <v>1.24</v>
      </c>
      <c r="E155" s="4">
        <v>16</v>
      </c>
      <c r="F155" s="8">
        <v>1.2</v>
      </c>
      <c r="G155" s="4">
        <v>12</v>
      </c>
      <c r="H155" s="8">
        <v>1.32</v>
      </c>
      <c r="I155" s="4">
        <v>0</v>
      </c>
    </row>
    <row r="156" spans="1:9" x14ac:dyDescent="0.2">
      <c r="A156" s="1"/>
      <c r="C156" s="4"/>
      <c r="D156" s="8"/>
      <c r="E156" s="4"/>
      <c r="F156" s="8"/>
      <c r="G156" s="4"/>
      <c r="H156" s="8"/>
      <c r="I156" s="4"/>
    </row>
    <row r="157" spans="1:9" x14ac:dyDescent="0.2">
      <c r="A157" s="1" t="s">
        <v>7</v>
      </c>
      <c r="C157" s="4"/>
      <c r="D157" s="8"/>
      <c r="E157" s="4"/>
      <c r="F157" s="8"/>
      <c r="G157" s="4"/>
      <c r="H157" s="8"/>
      <c r="I157" s="4"/>
    </row>
    <row r="158" spans="1:9" x14ac:dyDescent="0.2">
      <c r="A158" s="2">
        <v>1</v>
      </c>
      <c r="B158" s="1" t="s">
        <v>77</v>
      </c>
      <c r="C158" s="4">
        <v>65</v>
      </c>
      <c r="D158" s="8">
        <v>8.33</v>
      </c>
      <c r="E158" s="4">
        <v>37</v>
      </c>
      <c r="F158" s="8">
        <v>7.97</v>
      </c>
      <c r="G158" s="4">
        <v>28</v>
      </c>
      <c r="H158" s="8">
        <v>9.18</v>
      </c>
      <c r="I158" s="4">
        <v>0</v>
      </c>
    </row>
    <row r="159" spans="1:9" x14ac:dyDescent="0.2">
      <c r="A159" s="2">
        <v>2</v>
      </c>
      <c r="B159" s="1" t="s">
        <v>81</v>
      </c>
      <c r="C159" s="4">
        <v>62</v>
      </c>
      <c r="D159" s="8">
        <v>7.95</v>
      </c>
      <c r="E159" s="4">
        <v>58</v>
      </c>
      <c r="F159" s="8">
        <v>12.5</v>
      </c>
      <c r="G159" s="4">
        <v>4</v>
      </c>
      <c r="H159" s="8">
        <v>1.31</v>
      </c>
      <c r="I159" s="4">
        <v>0</v>
      </c>
    </row>
    <row r="160" spans="1:9" x14ac:dyDescent="0.2">
      <c r="A160" s="2">
        <v>3</v>
      </c>
      <c r="B160" s="1" t="s">
        <v>82</v>
      </c>
      <c r="C160" s="4">
        <v>56</v>
      </c>
      <c r="D160" s="8">
        <v>7.18</v>
      </c>
      <c r="E160" s="4">
        <v>48</v>
      </c>
      <c r="F160" s="8">
        <v>10.34</v>
      </c>
      <c r="G160" s="4">
        <v>8</v>
      </c>
      <c r="H160" s="8">
        <v>2.62</v>
      </c>
      <c r="I160" s="4">
        <v>0</v>
      </c>
    </row>
    <row r="161" spans="1:9" x14ac:dyDescent="0.2">
      <c r="A161" s="2">
        <v>4</v>
      </c>
      <c r="B161" s="1" t="s">
        <v>66</v>
      </c>
      <c r="C161" s="4">
        <v>48</v>
      </c>
      <c r="D161" s="8">
        <v>6.15</v>
      </c>
      <c r="E161" s="4">
        <v>23</v>
      </c>
      <c r="F161" s="8">
        <v>4.96</v>
      </c>
      <c r="G161" s="4">
        <v>25</v>
      </c>
      <c r="H161" s="8">
        <v>8.1999999999999993</v>
      </c>
      <c r="I161" s="4">
        <v>0</v>
      </c>
    </row>
    <row r="162" spans="1:9" x14ac:dyDescent="0.2">
      <c r="A162" s="2">
        <v>5</v>
      </c>
      <c r="B162" s="1" t="s">
        <v>98</v>
      </c>
      <c r="C162" s="4">
        <v>43</v>
      </c>
      <c r="D162" s="8">
        <v>5.51</v>
      </c>
      <c r="E162" s="4">
        <v>20</v>
      </c>
      <c r="F162" s="8">
        <v>4.3099999999999996</v>
      </c>
      <c r="G162" s="4">
        <v>23</v>
      </c>
      <c r="H162" s="8">
        <v>7.54</v>
      </c>
      <c r="I162" s="4">
        <v>0</v>
      </c>
    </row>
    <row r="163" spans="1:9" x14ac:dyDescent="0.2">
      <c r="A163" s="2">
        <v>6</v>
      </c>
      <c r="B163" s="1" t="s">
        <v>71</v>
      </c>
      <c r="C163" s="4">
        <v>38</v>
      </c>
      <c r="D163" s="8">
        <v>4.87</v>
      </c>
      <c r="E163" s="4">
        <v>24</v>
      </c>
      <c r="F163" s="8">
        <v>5.17</v>
      </c>
      <c r="G163" s="4">
        <v>14</v>
      </c>
      <c r="H163" s="8">
        <v>4.59</v>
      </c>
      <c r="I163" s="4">
        <v>0</v>
      </c>
    </row>
    <row r="164" spans="1:9" x14ac:dyDescent="0.2">
      <c r="A164" s="2">
        <v>7</v>
      </c>
      <c r="B164" s="1" t="s">
        <v>67</v>
      </c>
      <c r="C164" s="4">
        <v>35</v>
      </c>
      <c r="D164" s="8">
        <v>4.49</v>
      </c>
      <c r="E164" s="4">
        <v>20</v>
      </c>
      <c r="F164" s="8">
        <v>4.3099999999999996</v>
      </c>
      <c r="G164" s="4">
        <v>15</v>
      </c>
      <c r="H164" s="8">
        <v>4.92</v>
      </c>
      <c r="I164" s="4">
        <v>0</v>
      </c>
    </row>
    <row r="165" spans="1:9" x14ac:dyDescent="0.2">
      <c r="A165" s="2">
        <v>8</v>
      </c>
      <c r="B165" s="1" t="s">
        <v>75</v>
      </c>
      <c r="C165" s="4">
        <v>32</v>
      </c>
      <c r="D165" s="8">
        <v>4.0999999999999996</v>
      </c>
      <c r="E165" s="4">
        <v>25</v>
      </c>
      <c r="F165" s="8">
        <v>5.39</v>
      </c>
      <c r="G165" s="4">
        <v>7</v>
      </c>
      <c r="H165" s="8">
        <v>2.2999999999999998</v>
      </c>
      <c r="I165" s="4">
        <v>0</v>
      </c>
    </row>
    <row r="166" spans="1:9" x14ac:dyDescent="0.2">
      <c r="A166" s="2">
        <v>9</v>
      </c>
      <c r="B166" s="1" t="s">
        <v>78</v>
      </c>
      <c r="C166" s="4">
        <v>31</v>
      </c>
      <c r="D166" s="8">
        <v>3.97</v>
      </c>
      <c r="E166" s="4">
        <v>19</v>
      </c>
      <c r="F166" s="8">
        <v>4.09</v>
      </c>
      <c r="G166" s="4">
        <v>11</v>
      </c>
      <c r="H166" s="8">
        <v>3.61</v>
      </c>
      <c r="I166" s="4">
        <v>0</v>
      </c>
    </row>
    <row r="167" spans="1:9" x14ac:dyDescent="0.2">
      <c r="A167" s="2">
        <v>10</v>
      </c>
      <c r="B167" s="1" t="s">
        <v>99</v>
      </c>
      <c r="C167" s="4">
        <v>27</v>
      </c>
      <c r="D167" s="8">
        <v>3.46</v>
      </c>
      <c r="E167" s="4">
        <v>13</v>
      </c>
      <c r="F167" s="8">
        <v>2.8</v>
      </c>
      <c r="G167" s="4">
        <v>14</v>
      </c>
      <c r="H167" s="8">
        <v>4.59</v>
      </c>
      <c r="I167" s="4">
        <v>0</v>
      </c>
    </row>
    <row r="168" spans="1:9" x14ac:dyDescent="0.2">
      <c r="A168" s="2">
        <v>11</v>
      </c>
      <c r="B168" s="1" t="s">
        <v>68</v>
      </c>
      <c r="C168" s="4">
        <v>24</v>
      </c>
      <c r="D168" s="8">
        <v>3.08</v>
      </c>
      <c r="E168" s="4">
        <v>10</v>
      </c>
      <c r="F168" s="8">
        <v>2.16</v>
      </c>
      <c r="G168" s="4">
        <v>14</v>
      </c>
      <c r="H168" s="8">
        <v>4.59</v>
      </c>
      <c r="I168" s="4">
        <v>0</v>
      </c>
    </row>
    <row r="169" spans="1:9" x14ac:dyDescent="0.2">
      <c r="A169" s="2">
        <v>12</v>
      </c>
      <c r="B169" s="1" t="s">
        <v>83</v>
      </c>
      <c r="C169" s="4">
        <v>22</v>
      </c>
      <c r="D169" s="8">
        <v>2.82</v>
      </c>
      <c r="E169" s="4">
        <v>17</v>
      </c>
      <c r="F169" s="8">
        <v>3.66</v>
      </c>
      <c r="G169" s="4">
        <v>3</v>
      </c>
      <c r="H169" s="8">
        <v>0.98</v>
      </c>
      <c r="I169" s="4">
        <v>0</v>
      </c>
    </row>
    <row r="170" spans="1:9" x14ac:dyDescent="0.2">
      <c r="A170" s="2">
        <v>13</v>
      </c>
      <c r="B170" s="1" t="s">
        <v>76</v>
      </c>
      <c r="C170" s="4">
        <v>21</v>
      </c>
      <c r="D170" s="8">
        <v>2.69</v>
      </c>
      <c r="E170" s="4">
        <v>12</v>
      </c>
      <c r="F170" s="8">
        <v>2.59</v>
      </c>
      <c r="G170" s="4">
        <v>9</v>
      </c>
      <c r="H170" s="8">
        <v>2.95</v>
      </c>
      <c r="I170" s="4">
        <v>0</v>
      </c>
    </row>
    <row r="171" spans="1:9" x14ac:dyDescent="0.2">
      <c r="A171" s="2">
        <v>14</v>
      </c>
      <c r="B171" s="1" t="s">
        <v>80</v>
      </c>
      <c r="C171" s="4">
        <v>19</v>
      </c>
      <c r="D171" s="8">
        <v>2.44</v>
      </c>
      <c r="E171" s="4">
        <v>8</v>
      </c>
      <c r="F171" s="8">
        <v>1.72</v>
      </c>
      <c r="G171" s="4">
        <v>11</v>
      </c>
      <c r="H171" s="8">
        <v>3.61</v>
      </c>
      <c r="I171" s="4">
        <v>0</v>
      </c>
    </row>
    <row r="172" spans="1:9" x14ac:dyDescent="0.2">
      <c r="A172" s="2">
        <v>15</v>
      </c>
      <c r="B172" s="1" t="s">
        <v>74</v>
      </c>
      <c r="C172" s="4">
        <v>16</v>
      </c>
      <c r="D172" s="8">
        <v>2.0499999999999998</v>
      </c>
      <c r="E172" s="4">
        <v>9</v>
      </c>
      <c r="F172" s="8">
        <v>1.94</v>
      </c>
      <c r="G172" s="4">
        <v>7</v>
      </c>
      <c r="H172" s="8">
        <v>2.2999999999999998</v>
      </c>
      <c r="I172" s="4">
        <v>0</v>
      </c>
    </row>
    <row r="173" spans="1:9" x14ac:dyDescent="0.2">
      <c r="A173" s="2">
        <v>16</v>
      </c>
      <c r="B173" s="1" t="s">
        <v>72</v>
      </c>
      <c r="C173" s="4">
        <v>15</v>
      </c>
      <c r="D173" s="8">
        <v>1.92</v>
      </c>
      <c r="E173" s="4">
        <v>7</v>
      </c>
      <c r="F173" s="8">
        <v>1.51</v>
      </c>
      <c r="G173" s="4">
        <v>8</v>
      </c>
      <c r="H173" s="8">
        <v>2.62</v>
      </c>
      <c r="I173" s="4">
        <v>0</v>
      </c>
    </row>
    <row r="174" spans="1:9" x14ac:dyDescent="0.2">
      <c r="A174" s="2">
        <v>17</v>
      </c>
      <c r="B174" s="1" t="s">
        <v>96</v>
      </c>
      <c r="C174" s="4">
        <v>14</v>
      </c>
      <c r="D174" s="8">
        <v>1.79</v>
      </c>
      <c r="E174" s="4">
        <v>5</v>
      </c>
      <c r="F174" s="8">
        <v>1.08</v>
      </c>
      <c r="G174" s="4">
        <v>9</v>
      </c>
      <c r="H174" s="8">
        <v>2.95</v>
      </c>
      <c r="I174" s="4">
        <v>0</v>
      </c>
    </row>
    <row r="175" spans="1:9" x14ac:dyDescent="0.2">
      <c r="A175" s="2">
        <v>18</v>
      </c>
      <c r="B175" s="1" t="s">
        <v>69</v>
      </c>
      <c r="C175" s="4">
        <v>13</v>
      </c>
      <c r="D175" s="8">
        <v>1.67</v>
      </c>
      <c r="E175" s="4">
        <v>9</v>
      </c>
      <c r="F175" s="8">
        <v>1.94</v>
      </c>
      <c r="G175" s="4">
        <v>4</v>
      </c>
      <c r="H175" s="8">
        <v>1.31</v>
      </c>
      <c r="I175" s="4">
        <v>0</v>
      </c>
    </row>
    <row r="176" spans="1:9" x14ac:dyDescent="0.2">
      <c r="A176" s="2">
        <v>18</v>
      </c>
      <c r="B176" s="1" t="s">
        <v>89</v>
      </c>
      <c r="C176" s="4">
        <v>13</v>
      </c>
      <c r="D176" s="8">
        <v>1.67</v>
      </c>
      <c r="E176" s="4">
        <v>4</v>
      </c>
      <c r="F176" s="8">
        <v>0.86</v>
      </c>
      <c r="G176" s="4">
        <v>9</v>
      </c>
      <c r="H176" s="8">
        <v>2.95</v>
      </c>
      <c r="I176" s="4">
        <v>0</v>
      </c>
    </row>
    <row r="177" spans="1:9" x14ac:dyDescent="0.2">
      <c r="A177" s="2">
        <v>18</v>
      </c>
      <c r="B177" s="1" t="s">
        <v>84</v>
      </c>
      <c r="C177" s="4">
        <v>13</v>
      </c>
      <c r="D177" s="8">
        <v>1.67</v>
      </c>
      <c r="E177" s="4">
        <v>11</v>
      </c>
      <c r="F177" s="8">
        <v>2.37</v>
      </c>
      <c r="G177" s="4">
        <v>2</v>
      </c>
      <c r="H177" s="8">
        <v>0.66</v>
      </c>
      <c r="I177" s="4">
        <v>0</v>
      </c>
    </row>
    <row r="178" spans="1:9" x14ac:dyDescent="0.2">
      <c r="A178" s="1"/>
      <c r="C178" s="4"/>
      <c r="D178" s="8"/>
      <c r="E178" s="4"/>
      <c r="F178" s="8"/>
      <c r="G178" s="4"/>
      <c r="H178" s="8"/>
      <c r="I178" s="4"/>
    </row>
    <row r="179" spans="1:9" x14ac:dyDescent="0.2">
      <c r="A179" s="1" t="s">
        <v>8</v>
      </c>
      <c r="C179" s="4"/>
      <c r="D179" s="8"/>
      <c r="E179" s="4"/>
      <c r="F179" s="8"/>
      <c r="G179" s="4"/>
      <c r="H179" s="8"/>
      <c r="I179" s="4"/>
    </row>
    <row r="180" spans="1:9" x14ac:dyDescent="0.2">
      <c r="A180" s="2">
        <v>1</v>
      </c>
      <c r="B180" s="1" t="s">
        <v>81</v>
      </c>
      <c r="C180" s="4">
        <v>130</v>
      </c>
      <c r="D180" s="8">
        <v>12.01</v>
      </c>
      <c r="E180" s="4">
        <v>108</v>
      </c>
      <c r="F180" s="8">
        <v>17.45</v>
      </c>
      <c r="G180" s="4">
        <v>22</v>
      </c>
      <c r="H180" s="8">
        <v>4.99</v>
      </c>
      <c r="I180" s="4">
        <v>0</v>
      </c>
    </row>
    <row r="181" spans="1:9" x14ac:dyDescent="0.2">
      <c r="A181" s="2">
        <v>2</v>
      </c>
      <c r="B181" s="1" t="s">
        <v>82</v>
      </c>
      <c r="C181" s="4">
        <v>99</v>
      </c>
      <c r="D181" s="8">
        <v>9.15</v>
      </c>
      <c r="E181" s="4">
        <v>82</v>
      </c>
      <c r="F181" s="8">
        <v>13.25</v>
      </c>
      <c r="G181" s="4">
        <v>17</v>
      </c>
      <c r="H181" s="8">
        <v>3.85</v>
      </c>
      <c r="I181" s="4">
        <v>0</v>
      </c>
    </row>
    <row r="182" spans="1:9" x14ac:dyDescent="0.2">
      <c r="A182" s="2">
        <v>3</v>
      </c>
      <c r="B182" s="1" t="s">
        <v>70</v>
      </c>
      <c r="C182" s="4">
        <v>90</v>
      </c>
      <c r="D182" s="8">
        <v>8.32</v>
      </c>
      <c r="E182" s="4">
        <v>32</v>
      </c>
      <c r="F182" s="8">
        <v>5.17</v>
      </c>
      <c r="G182" s="4">
        <v>58</v>
      </c>
      <c r="H182" s="8">
        <v>13.15</v>
      </c>
      <c r="I182" s="4">
        <v>0</v>
      </c>
    </row>
    <row r="183" spans="1:9" x14ac:dyDescent="0.2">
      <c r="A183" s="2">
        <v>4</v>
      </c>
      <c r="B183" s="1" t="s">
        <v>77</v>
      </c>
      <c r="C183" s="4">
        <v>77</v>
      </c>
      <c r="D183" s="8">
        <v>7.12</v>
      </c>
      <c r="E183" s="4">
        <v>43</v>
      </c>
      <c r="F183" s="8">
        <v>6.95</v>
      </c>
      <c r="G183" s="4">
        <v>33</v>
      </c>
      <c r="H183" s="8">
        <v>7.48</v>
      </c>
      <c r="I183" s="4">
        <v>1</v>
      </c>
    </row>
    <row r="184" spans="1:9" x14ac:dyDescent="0.2">
      <c r="A184" s="2">
        <v>5</v>
      </c>
      <c r="B184" s="1" t="s">
        <v>66</v>
      </c>
      <c r="C184" s="4">
        <v>74</v>
      </c>
      <c r="D184" s="8">
        <v>6.84</v>
      </c>
      <c r="E184" s="4">
        <v>30</v>
      </c>
      <c r="F184" s="8">
        <v>4.8499999999999996</v>
      </c>
      <c r="G184" s="4">
        <v>44</v>
      </c>
      <c r="H184" s="8">
        <v>9.98</v>
      </c>
      <c r="I184" s="4">
        <v>0</v>
      </c>
    </row>
    <row r="185" spans="1:9" x14ac:dyDescent="0.2">
      <c r="A185" s="2">
        <v>6</v>
      </c>
      <c r="B185" s="1" t="s">
        <v>67</v>
      </c>
      <c r="C185" s="4">
        <v>54</v>
      </c>
      <c r="D185" s="8">
        <v>4.99</v>
      </c>
      <c r="E185" s="4">
        <v>29</v>
      </c>
      <c r="F185" s="8">
        <v>4.68</v>
      </c>
      <c r="G185" s="4">
        <v>25</v>
      </c>
      <c r="H185" s="8">
        <v>5.67</v>
      </c>
      <c r="I185" s="4">
        <v>0</v>
      </c>
    </row>
    <row r="186" spans="1:9" x14ac:dyDescent="0.2">
      <c r="A186" s="2">
        <v>7</v>
      </c>
      <c r="B186" s="1" t="s">
        <v>75</v>
      </c>
      <c r="C186" s="4">
        <v>51</v>
      </c>
      <c r="D186" s="8">
        <v>4.71</v>
      </c>
      <c r="E186" s="4">
        <v>36</v>
      </c>
      <c r="F186" s="8">
        <v>5.82</v>
      </c>
      <c r="G186" s="4">
        <v>15</v>
      </c>
      <c r="H186" s="8">
        <v>3.4</v>
      </c>
      <c r="I186" s="4">
        <v>0</v>
      </c>
    </row>
    <row r="187" spans="1:9" x14ac:dyDescent="0.2">
      <c r="A187" s="2">
        <v>8</v>
      </c>
      <c r="B187" s="1" t="s">
        <v>78</v>
      </c>
      <c r="C187" s="4">
        <v>39</v>
      </c>
      <c r="D187" s="8">
        <v>3.6</v>
      </c>
      <c r="E187" s="4">
        <v>16</v>
      </c>
      <c r="F187" s="8">
        <v>2.58</v>
      </c>
      <c r="G187" s="4">
        <v>21</v>
      </c>
      <c r="H187" s="8">
        <v>4.76</v>
      </c>
      <c r="I187" s="4">
        <v>0</v>
      </c>
    </row>
    <row r="188" spans="1:9" x14ac:dyDescent="0.2">
      <c r="A188" s="2">
        <v>9</v>
      </c>
      <c r="B188" s="1" t="s">
        <v>83</v>
      </c>
      <c r="C188" s="4">
        <v>38</v>
      </c>
      <c r="D188" s="8">
        <v>3.51</v>
      </c>
      <c r="E188" s="4">
        <v>22</v>
      </c>
      <c r="F188" s="8">
        <v>3.55</v>
      </c>
      <c r="G188" s="4">
        <v>10</v>
      </c>
      <c r="H188" s="8">
        <v>2.27</v>
      </c>
      <c r="I188" s="4">
        <v>2</v>
      </c>
    </row>
    <row r="189" spans="1:9" x14ac:dyDescent="0.2">
      <c r="A189" s="2">
        <v>10</v>
      </c>
      <c r="B189" s="1" t="s">
        <v>84</v>
      </c>
      <c r="C189" s="4">
        <v>36</v>
      </c>
      <c r="D189" s="8">
        <v>3.33</v>
      </c>
      <c r="E189" s="4">
        <v>35</v>
      </c>
      <c r="F189" s="8">
        <v>5.65</v>
      </c>
      <c r="G189" s="4">
        <v>1</v>
      </c>
      <c r="H189" s="8">
        <v>0.23</v>
      </c>
      <c r="I189" s="4">
        <v>0</v>
      </c>
    </row>
    <row r="190" spans="1:9" x14ac:dyDescent="0.2">
      <c r="A190" s="2">
        <v>11</v>
      </c>
      <c r="B190" s="1" t="s">
        <v>76</v>
      </c>
      <c r="C190" s="4">
        <v>31</v>
      </c>
      <c r="D190" s="8">
        <v>2.87</v>
      </c>
      <c r="E190" s="4">
        <v>20</v>
      </c>
      <c r="F190" s="8">
        <v>3.23</v>
      </c>
      <c r="G190" s="4">
        <v>11</v>
      </c>
      <c r="H190" s="8">
        <v>2.4900000000000002</v>
      </c>
      <c r="I190" s="4">
        <v>0</v>
      </c>
    </row>
    <row r="191" spans="1:9" x14ac:dyDescent="0.2">
      <c r="A191" s="2">
        <v>12</v>
      </c>
      <c r="B191" s="1" t="s">
        <v>68</v>
      </c>
      <c r="C191" s="4">
        <v>30</v>
      </c>
      <c r="D191" s="8">
        <v>2.77</v>
      </c>
      <c r="E191" s="4">
        <v>14</v>
      </c>
      <c r="F191" s="8">
        <v>2.2599999999999998</v>
      </c>
      <c r="G191" s="4">
        <v>16</v>
      </c>
      <c r="H191" s="8">
        <v>3.63</v>
      </c>
      <c r="I191" s="4">
        <v>0</v>
      </c>
    </row>
    <row r="192" spans="1:9" x14ac:dyDescent="0.2">
      <c r="A192" s="2">
        <v>12</v>
      </c>
      <c r="B192" s="1" t="s">
        <v>73</v>
      </c>
      <c r="C192" s="4">
        <v>30</v>
      </c>
      <c r="D192" s="8">
        <v>2.77</v>
      </c>
      <c r="E192" s="4">
        <v>13</v>
      </c>
      <c r="F192" s="8">
        <v>2.1</v>
      </c>
      <c r="G192" s="4">
        <v>16</v>
      </c>
      <c r="H192" s="8">
        <v>3.63</v>
      </c>
      <c r="I192" s="4">
        <v>1</v>
      </c>
    </row>
    <row r="193" spans="1:9" x14ac:dyDescent="0.2">
      <c r="A193" s="2">
        <v>14</v>
      </c>
      <c r="B193" s="1" t="s">
        <v>79</v>
      </c>
      <c r="C193" s="4">
        <v>29</v>
      </c>
      <c r="D193" s="8">
        <v>2.68</v>
      </c>
      <c r="E193" s="4">
        <v>23</v>
      </c>
      <c r="F193" s="8">
        <v>3.72</v>
      </c>
      <c r="G193" s="4">
        <v>6</v>
      </c>
      <c r="H193" s="8">
        <v>1.36</v>
      </c>
      <c r="I193" s="4">
        <v>0</v>
      </c>
    </row>
    <row r="194" spans="1:9" x14ac:dyDescent="0.2">
      <c r="A194" s="2">
        <v>15</v>
      </c>
      <c r="B194" s="1" t="s">
        <v>74</v>
      </c>
      <c r="C194" s="4">
        <v>21</v>
      </c>
      <c r="D194" s="8">
        <v>1.94</v>
      </c>
      <c r="E194" s="4">
        <v>16</v>
      </c>
      <c r="F194" s="8">
        <v>2.58</v>
      </c>
      <c r="G194" s="4">
        <v>5</v>
      </c>
      <c r="H194" s="8">
        <v>1.1299999999999999</v>
      </c>
      <c r="I194" s="4">
        <v>0</v>
      </c>
    </row>
    <row r="195" spans="1:9" x14ac:dyDescent="0.2">
      <c r="A195" s="2">
        <v>16</v>
      </c>
      <c r="B195" s="1" t="s">
        <v>80</v>
      </c>
      <c r="C195" s="4">
        <v>19</v>
      </c>
      <c r="D195" s="8">
        <v>1.76</v>
      </c>
      <c r="E195" s="4">
        <v>12</v>
      </c>
      <c r="F195" s="8">
        <v>1.94</v>
      </c>
      <c r="G195" s="4">
        <v>6</v>
      </c>
      <c r="H195" s="8">
        <v>1.36</v>
      </c>
      <c r="I195" s="4">
        <v>0</v>
      </c>
    </row>
    <row r="196" spans="1:9" x14ac:dyDescent="0.2">
      <c r="A196" s="2">
        <v>16</v>
      </c>
      <c r="B196" s="1" t="s">
        <v>85</v>
      </c>
      <c r="C196" s="4">
        <v>19</v>
      </c>
      <c r="D196" s="8">
        <v>1.76</v>
      </c>
      <c r="E196" s="4">
        <v>15</v>
      </c>
      <c r="F196" s="8">
        <v>2.42</v>
      </c>
      <c r="G196" s="4">
        <v>4</v>
      </c>
      <c r="H196" s="8">
        <v>0.91</v>
      </c>
      <c r="I196" s="4">
        <v>0</v>
      </c>
    </row>
    <row r="197" spans="1:9" x14ac:dyDescent="0.2">
      <c r="A197" s="2">
        <v>18</v>
      </c>
      <c r="B197" s="1" t="s">
        <v>97</v>
      </c>
      <c r="C197" s="4">
        <v>18</v>
      </c>
      <c r="D197" s="8">
        <v>1.66</v>
      </c>
      <c r="E197" s="4">
        <v>0</v>
      </c>
      <c r="F197" s="8">
        <v>0</v>
      </c>
      <c r="G197" s="4">
        <v>13</v>
      </c>
      <c r="H197" s="8">
        <v>2.95</v>
      </c>
      <c r="I197" s="4">
        <v>1</v>
      </c>
    </row>
    <row r="198" spans="1:9" x14ac:dyDescent="0.2">
      <c r="A198" s="2">
        <v>19</v>
      </c>
      <c r="B198" s="1" t="s">
        <v>100</v>
      </c>
      <c r="C198" s="4">
        <v>16</v>
      </c>
      <c r="D198" s="8">
        <v>1.48</v>
      </c>
      <c r="E198" s="4">
        <v>3</v>
      </c>
      <c r="F198" s="8">
        <v>0.48</v>
      </c>
      <c r="G198" s="4">
        <v>12</v>
      </c>
      <c r="H198" s="8">
        <v>2.72</v>
      </c>
      <c r="I198" s="4">
        <v>0</v>
      </c>
    </row>
    <row r="199" spans="1:9" x14ac:dyDescent="0.2">
      <c r="A199" s="2">
        <v>20</v>
      </c>
      <c r="B199" s="1" t="s">
        <v>72</v>
      </c>
      <c r="C199" s="4">
        <v>13</v>
      </c>
      <c r="D199" s="8">
        <v>1.2</v>
      </c>
      <c r="E199" s="4">
        <v>8</v>
      </c>
      <c r="F199" s="8">
        <v>1.29</v>
      </c>
      <c r="G199" s="4">
        <v>5</v>
      </c>
      <c r="H199" s="8">
        <v>1.1299999999999999</v>
      </c>
      <c r="I199" s="4">
        <v>0</v>
      </c>
    </row>
    <row r="200" spans="1:9" x14ac:dyDescent="0.2">
      <c r="A200" s="2">
        <v>20</v>
      </c>
      <c r="B200" s="1" t="s">
        <v>90</v>
      </c>
      <c r="C200" s="4">
        <v>13</v>
      </c>
      <c r="D200" s="8">
        <v>1.2</v>
      </c>
      <c r="E200" s="4">
        <v>4</v>
      </c>
      <c r="F200" s="8">
        <v>0.65</v>
      </c>
      <c r="G200" s="4">
        <v>8</v>
      </c>
      <c r="H200" s="8">
        <v>1.81</v>
      </c>
      <c r="I200" s="4">
        <v>0</v>
      </c>
    </row>
    <row r="201" spans="1:9" x14ac:dyDescent="0.2">
      <c r="A201" s="1"/>
      <c r="C201" s="4"/>
      <c r="D201" s="8"/>
      <c r="E201" s="4"/>
      <c r="F201" s="8"/>
      <c r="G201" s="4"/>
      <c r="H201" s="8"/>
      <c r="I201" s="4"/>
    </row>
    <row r="202" spans="1:9" x14ac:dyDescent="0.2">
      <c r="A202" s="1" t="s">
        <v>9</v>
      </c>
      <c r="C202" s="4"/>
      <c r="D202" s="8"/>
      <c r="E202" s="4"/>
      <c r="F202" s="8"/>
      <c r="G202" s="4"/>
      <c r="H202" s="8"/>
      <c r="I202" s="4"/>
    </row>
    <row r="203" spans="1:9" x14ac:dyDescent="0.2">
      <c r="A203" s="2">
        <v>1</v>
      </c>
      <c r="B203" s="1" t="s">
        <v>69</v>
      </c>
      <c r="C203" s="4">
        <v>151</v>
      </c>
      <c r="D203" s="8">
        <v>8.75</v>
      </c>
      <c r="E203" s="4">
        <v>105</v>
      </c>
      <c r="F203" s="8">
        <v>11.03</v>
      </c>
      <c r="G203" s="4">
        <v>46</v>
      </c>
      <c r="H203" s="8">
        <v>6.08</v>
      </c>
      <c r="I203" s="4">
        <v>0</v>
      </c>
    </row>
    <row r="204" spans="1:9" x14ac:dyDescent="0.2">
      <c r="A204" s="2">
        <v>1</v>
      </c>
      <c r="B204" s="1" t="s">
        <v>82</v>
      </c>
      <c r="C204" s="4">
        <v>151</v>
      </c>
      <c r="D204" s="8">
        <v>8.75</v>
      </c>
      <c r="E204" s="4">
        <v>128</v>
      </c>
      <c r="F204" s="8">
        <v>13.45</v>
      </c>
      <c r="G204" s="4">
        <v>23</v>
      </c>
      <c r="H204" s="8">
        <v>3.04</v>
      </c>
      <c r="I204" s="4">
        <v>0</v>
      </c>
    </row>
    <row r="205" spans="1:9" x14ac:dyDescent="0.2">
      <c r="A205" s="2">
        <v>3</v>
      </c>
      <c r="B205" s="1" t="s">
        <v>81</v>
      </c>
      <c r="C205" s="4">
        <v>139</v>
      </c>
      <c r="D205" s="8">
        <v>8.0500000000000007</v>
      </c>
      <c r="E205" s="4">
        <v>129</v>
      </c>
      <c r="F205" s="8">
        <v>13.55</v>
      </c>
      <c r="G205" s="4">
        <v>10</v>
      </c>
      <c r="H205" s="8">
        <v>1.32</v>
      </c>
      <c r="I205" s="4">
        <v>0</v>
      </c>
    </row>
    <row r="206" spans="1:9" x14ac:dyDescent="0.2">
      <c r="A206" s="2">
        <v>4</v>
      </c>
      <c r="B206" s="1" t="s">
        <v>67</v>
      </c>
      <c r="C206" s="4">
        <v>105</v>
      </c>
      <c r="D206" s="8">
        <v>6.08</v>
      </c>
      <c r="E206" s="4">
        <v>44</v>
      </c>
      <c r="F206" s="8">
        <v>4.62</v>
      </c>
      <c r="G206" s="4">
        <v>61</v>
      </c>
      <c r="H206" s="8">
        <v>8.07</v>
      </c>
      <c r="I206" s="4">
        <v>0</v>
      </c>
    </row>
    <row r="207" spans="1:9" x14ac:dyDescent="0.2">
      <c r="A207" s="2">
        <v>5</v>
      </c>
      <c r="B207" s="1" t="s">
        <v>66</v>
      </c>
      <c r="C207" s="4">
        <v>87</v>
      </c>
      <c r="D207" s="8">
        <v>5.04</v>
      </c>
      <c r="E207" s="4">
        <v>23</v>
      </c>
      <c r="F207" s="8">
        <v>2.42</v>
      </c>
      <c r="G207" s="4">
        <v>64</v>
      </c>
      <c r="H207" s="8">
        <v>8.4700000000000006</v>
      </c>
      <c r="I207" s="4">
        <v>0</v>
      </c>
    </row>
    <row r="208" spans="1:9" x14ac:dyDescent="0.2">
      <c r="A208" s="2">
        <v>6</v>
      </c>
      <c r="B208" s="1" t="s">
        <v>77</v>
      </c>
      <c r="C208" s="4">
        <v>73</v>
      </c>
      <c r="D208" s="8">
        <v>4.2300000000000004</v>
      </c>
      <c r="E208" s="4">
        <v>53</v>
      </c>
      <c r="F208" s="8">
        <v>5.57</v>
      </c>
      <c r="G208" s="4">
        <v>20</v>
      </c>
      <c r="H208" s="8">
        <v>2.65</v>
      </c>
      <c r="I208" s="4">
        <v>0</v>
      </c>
    </row>
    <row r="209" spans="1:9" x14ac:dyDescent="0.2">
      <c r="A209" s="2">
        <v>7</v>
      </c>
      <c r="B209" s="1" t="s">
        <v>76</v>
      </c>
      <c r="C209" s="4">
        <v>71</v>
      </c>
      <c r="D209" s="8">
        <v>4.1100000000000003</v>
      </c>
      <c r="E209" s="4">
        <v>50</v>
      </c>
      <c r="F209" s="8">
        <v>5.25</v>
      </c>
      <c r="G209" s="4">
        <v>21</v>
      </c>
      <c r="H209" s="8">
        <v>2.78</v>
      </c>
      <c r="I209" s="4">
        <v>0</v>
      </c>
    </row>
    <row r="210" spans="1:9" x14ac:dyDescent="0.2">
      <c r="A210" s="2">
        <v>8</v>
      </c>
      <c r="B210" s="1" t="s">
        <v>83</v>
      </c>
      <c r="C210" s="4">
        <v>66</v>
      </c>
      <c r="D210" s="8">
        <v>3.82</v>
      </c>
      <c r="E210" s="4">
        <v>46</v>
      </c>
      <c r="F210" s="8">
        <v>4.83</v>
      </c>
      <c r="G210" s="4">
        <v>19</v>
      </c>
      <c r="H210" s="8">
        <v>2.5099999999999998</v>
      </c>
      <c r="I210" s="4">
        <v>0</v>
      </c>
    </row>
    <row r="211" spans="1:9" x14ac:dyDescent="0.2">
      <c r="A211" s="2">
        <v>9</v>
      </c>
      <c r="B211" s="1" t="s">
        <v>68</v>
      </c>
      <c r="C211" s="4">
        <v>61</v>
      </c>
      <c r="D211" s="8">
        <v>3.53</v>
      </c>
      <c r="E211" s="4">
        <v>16</v>
      </c>
      <c r="F211" s="8">
        <v>1.68</v>
      </c>
      <c r="G211" s="4">
        <v>45</v>
      </c>
      <c r="H211" s="8">
        <v>5.95</v>
      </c>
      <c r="I211" s="4">
        <v>0</v>
      </c>
    </row>
    <row r="212" spans="1:9" x14ac:dyDescent="0.2">
      <c r="A212" s="2">
        <v>9</v>
      </c>
      <c r="B212" s="1" t="s">
        <v>78</v>
      </c>
      <c r="C212" s="4">
        <v>61</v>
      </c>
      <c r="D212" s="8">
        <v>3.53</v>
      </c>
      <c r="E212" s="4">
        <v>22</v>
      </c>
      <c r="F212" s="8">
        <v>2.31</v>
      </c>
      <c r="G212" s="4">
        <v>39</v>
      </c>
      <c r="H212" s="8">
        <v>5.16</v>
      </c>
      <c r="I212" s="4">
        <v>0</v>
      </c>
    </row>
    <row r="213" spans="1:9" x14ac:dyDescent="0.2">
      <c r="A213" s="2">
        <v>9</v>
      </c>
      <c r="B213" s="1" t="s">
        <v>84</v>
      </c>
      <c r="C213" s="4">
        <v>61</v>
      </c>
      <c r="D213" s="8">
        <v>3.53</v>
      </c>
      <c r="E213" s="4">
        <v>56</v>
      </c>
      <c r="F213" s="8">
        <v>5.88</v>
      </c>
      <c r="G213" s="4">
        <v>5</v>
      </c>
      <c r="H213" s="8">
        <v>0.66</v>
      </c>
      <c r="I213" s="4">
        <v>0</v>
      </c>
    </row>
    <row r="214" spans="1:9" x14ac:dyDescent="0.2">
      <c r="A214" s="2">
        <v>12</v>
      </c>
      <c r="B214" s="1" t="s">
        <v>75</v>
      </c>
      <c r="C214" s="4">
        <v>45</v>
      </c>
      <c r="D214" s="8">
        <v>2.61</v>
      </c>
      <c r="E214" s="4">
        <v>34</v>
      </c>
      <c r="F214" s="8">
        <v>3.57</v>
      </c>
      <c r="G214" s="4">
        <v>11</v>
      </c>
      <c r="H214" s="8">
        <v>1.46</v>
      </c>
      <c r="I214" s="4">
        <v>0</v>
      </c>
    </row>
    <row r="215" spans="1:9" x14ac:dyDescent="0.2">
      <c r="A215" s="2">
        <v>13</v>
      </c>
      <c r="B215" s="1" t="s">
        <v>71</v>
      </c>
      <c r="C215" s="4">
        <v>42</v>
      </c>
      <c r="D215" s="8">
        <v>2.4300000000000002</v>
      </c>
      <c r="E215" s="4">
        <v>21</v>
      </c>
      <c r="F215" s="8">
        <v>2.21</v>
      </c>
      <c r="G215" s="4">
        <v>21</v>
      </c>
      <c r="H215" s="8">
        <v>2.78</v>
      </c>
      <c r="I215" s="4">
        <v>0</v>
      </c>
    </row>
    <row r="216" spans="1:9" x14ac:dyDescent="0.2">
      <c r="A216" s="2">
        <v>14</v>
      </c>
      <c r="B216" s="1" t="s">
        <v>80</v>
      </c>
      <c r="C216" s="4">
        <v>38</v>
      </c>
      <c r="D216" s="8">
        <v>2.2000000000000002</v>
      </c>
      <c r="E216" s="4">
        <v>17</v>
      </c>
      <c r="F216" s="8">
        <v>1.79</v>
      </c>
      <c r="G216" s="4">
        <v>20</v>
      </c>
      <c r="H216" s="8">
        <v>2.65</v>
      </c>
      <c r="I216" s="4">
        <v>0</v>
      </c>
    </row>
    <row r="217" spans="1:9" x14ac:dyDescent="0.2">
      <c r="A217" s="2">
        <v>15</v>
      </c>
      <c r="B217" s="1" t="s">
        <v>72</v>
      </c>
      <c r="C217" s="4">
        <v>37</v>
      </c>
      <c r="D217" s="8">
        <v>2.14</v>
      </c>
      <c r="E217" s="4">
        <v>11</v>
      </c>
      <c r="F217" s="8">
        <v>1.1599999999999999</v>
      </c>
      <c r="G217" s="4">
        <v>26</v>
      </c>
      <c r="H217" s="8">
        <v>3.44</v>
      </c>
      <c r="I217" s="4">
        <v>0</v>
      </c>
    </row>
    <row r="218" spans="1:9" x14ac:dyDescent="0.2">
      <c r="A218" s="2">
        <v>16</v>
      </c>
      <c r="B218" s="1" t="s">
        <v>79</v>
      </c>
      <c r="C218" s="4">
        <v>36</v>
      </c>
      <c r="D218" s="8">
        <v>2.09</v>
      </c>
      <c r="E218" s="4">
        <v>22</v>
      </c>
      <c r="F218" s="8">
        <v>2.31</v>
      </c>
      <c r="G218" s="4">
        <v>14</v>
      </c>
      <c r="H218" s="8">
        <v>1.85</v>
      </c>
      <c r="I218" s="4">
        <v>0</v>
      </c>
    </row>
    <row r="219" spans="1:9" x14ac:dyDescent="0.2">
      <c r="A219" s="2">
        <v>17</v>
      </c>
      <c r="B219" s="1" t="s">
        <v>85</v>
      </c>
      <c r="C219" s="4">
        <v>32</v>
      </c>
      <c r="D219" s="8">
        <v>1.85</v>
      </c>
      <c r="E219" s="4">
        <v>27</v>
      </c>
      <c r="F219" s="8">
        <v>2.84</v>
      </c>
      <c r="G219" s="4">
        <v>5</v>
      </c>
      <c r="H219" s="8">
        <v>0.66</v>
      </c>
      <c r="I219" s="4">
        <v>0</v>
      </c>
    </row>
    <row r="220" spans="1:9" x14ac:dyDescent="0.2">
      <c r="A220" s="2">
        <v>18</v>
      </c>
      <c r="B220" s="1" t="s">
        <v>101</v>
      </c>
      <c r="C220" s="4">
        <v>30</v>
      </c>
      <c r="D220" s="8">
        <v>1.74</v>
      </c>
      <c r="E220" s="4">
        <v>15</v>
      </c>
      <c r="F220" s="8">
        <v>1.58</v>
      </c>
      <c r="G220" s="4">
        <v>15</v>
      </c>
      <c r="H220" s="8">
        <v>1.98</v>
      </c>
      <c r="I220" s="4">
        <v>0</v>
      </c>
    </row>
    <row r="221" spans="1:9" x14ac:dyDescent="0.2">
      <c r="A221" s="2">
        <v>19</v>
      </c>
      <c r="B221" s="1" t="s">
        <v>87</v>
      </c>
      <c r="C221" s="4">
        <v>28</v>
      </c>
      <c r="D221" s="8">
        <v>1.62</v>
      </c>
      <c r="E221" s="4">
        <v>5</v>
      </c>
      <c r="F221" s="8">
        <v>0.53</v>
      </c>
      <c r="G221" s="4">
        <v>23</v>
      </c>
      <c r="H221" s="8">
        <v>3.04</v>
      </c>
      <c r="I221" s="4">
        <v>0</v>
      </c>
    </row>
    <row r="222" spans="1:9" x14ac:dyDescent="0.2">
      <c r="A222" s="2">
        <v>20</v>
      </c>
      <c r="B222" s="1" t="s">
        <v>74</v>
      </c>
      <c r="C222" s="4">
        <v>25</v>
      </c>
      <c r="D222" s="8">
        <v>1.45</v>
      </c>
      <c r="E222" s="4">
        <v>11</v>
      </c>
      <c r="F222" s="8">
        <v>1.1599999999999999</v>
      </c>
      <c r="G222" s="4">
        <v>14</v>
      </c>
      <c r="H222" s="8">
        <v>1.85</v>
      </c>
      <c r="I222" s="4">
        <v>0</v>
      </c>
    </row>
    <row r="223" spans="1:9" x14ac:dyDescent="0.2">
      <c r="A223" s="1"/>
      <c r="C223" s="4"/>
      <c r="D223" s="8"/>
      <c r="E223" s="4"/>
      <c r="F223" s="8"/>
      <c r="G223" s="4"/>
      <c r="H223" s="8"/>
      <c r="I223" s="4"/>
    </row>
    <row r="224" spans="1:9" x14ac:dyDescent="0.2">
      <c r="A224" s="1" t="s">
        <v>10</v>
      </c>
      <c r="C224" s="4"/>
      <c r="D224" s="8"/>
      <c r="E224" s="4"/>
      <c r="F224" s="8"/>
      <c r="G224" s="4"/>
      <c r="H224" s="8"/>
      <c r="I224" s="4"/>
    </row>
    <row r="225" spans="1:9" x14ac:dyDescent="0.2">
      <c r="A225" s="2">
        <v>1</v>
      </c>
      <c r="B225" s="1" t="s">
        <v>81</v>
      </c>
      <c r="C225" s="4">
        <v>175</v>
      </c>
      <c r="D225" s="8">
        <v>11.93</v>
      </c>
      <c r="E225" s="4">
        <v>157</v>
      </c>
      <c r="F225" s="8">
        <v>18.03</v>
      </c>
      <c r="G225" s="4">
        <v>17</v>
      </c>
      <c r="H225" s="8">
        <v>3.02</v>
      </c>
      <c r="I225" s="4">
        <v>1</v>
      </c>
    </row>
    <row r="226" spans="1:9" x14ac:dyDescent="0.2">
      <c r="A226" s="2">
        <v>2</v>
      </c>
      <c r="B226" s="1" t="s">
        <v>82</v>
      </c>
      <c r="C226" s="4">
        <v>147</v>
      </c>
      <c r="D226" s="8">
        <v>10.02</v>
      </c>
      <c r="E226" s="4">
        <v>127</v>
      </c>
      <c r="F226" s="8">
        <v>14.58</v>
      </c>
      <c r="G226" s="4">
        <v>20</v>
      </c>
      <c r="H226" s="8">
        <v>3.55</v>
      </c>
      <c r="I226" s="4">
        <v>0</v>
      </c>
    </row>
    <row r="227" spans="1:9" x14ac:dyDescent="0.2">
      <c r="A227" s="2">
        <v>3</v>
      </c>
      <c r="B227" s="1" t="s">
        <v>77</v>
      </c>
      <c r="C227" s="4">
        <v>135</v>
      </c>
      <c r="D227" s="8">
        <v>9.1999999999999993</v>
      </c>
      <c r="E227" s="4">
        <v>68</v>
      </c>
      <c r="F227" s="8">
        <v>7.81</v>
      </c>
      <c r="G227" s="4">
        <v>67</v>
      </c>
      <c r="H227" s="8">
        <v>11.9</v>
      </c>
      <c r="I227" s="4">
        <v>0</v>
      </c>
    </row>
    <row r="228" spans="1:9" x14ac:dyDescent="0.2">
      <c r="A228" s="2">
        <v>4</v>
      </c>
      <c r="B228" s="1" t="s">
        <v>66</v>
      </c>
      <c r="C228" s="4">
        <v>112</v>
      </c>
      <c r="D228" s="8">
        <v>7.63</v>
      </c>
      <c r="E228" s="4">
        <v>46</v>
      </c>
      <c r="F228" s="8">
        <v>5.28</v>
      </c>
      <c r="G228" s="4">
        <v>66</v>
      </c>
      <c r="H228" s="8">
        <v>11.72</v>
      </c>
      <c r="I228" s="4">
        <v>0</v>
      </c>
    </row>
    <row r="229" spans="1:9" x14ac:dyDescent="0.2">
      <c r="A229" s="2">
        <v>5</v>
      </c>
      <c r="B229" s="1" t="s">
        <v>78</v>
      </c>
      <c r="C229" s="4">
        <v>78</v>
      </c>
      <c r="D229" s="8">
        <v>5.32</v>
      </c>
      <c r="E229" s="4">
        <v>47</v>
      </c>
      <c r="F229" s="8">
        <v>5.4</v>
      </c>
      <c r="G229" s="4">
        <v>31</v>
      </c>
      <c r="H229" s="8">
        <v>5.51</v>
      </c>
      <c r="I229" s="4">
        <v>0</v>
      </c>
    </row>
    <row r="230" spans="1:9" x14ac:dyDescent="0.2">
      <c r="A230" s="2">
        <v>6</v>
      </c>
      <c r="B230" s="1" t="s">
        <v>75</v>
      </c>
      <c r="C230" s="4">
        <v>72</v>
      </c>
      <c r="D230" s="8">
        <v>4.91</v>
      </c>
      <c r="E230" s="4">
        <v>57</v>
      </c>
      <c r="F230" s="8">
        <v>6.54</v>
      </c>
      <c r="G230" s="4">
        <v>15</v>
      </c>
      <c r="H230" s="8">
        <v>2.66</v>
      </c>
      <c r="I230" s="4">
        <v>0</v>
      </c>
    </row>
    <row r="231" spans="1:9" x14ac:dyDescent="0.2">
      <c r="A231" s="2">
        <v>7</v>
      </c>
      <c r="B231" s="1" t="s">
        <v>67</v>
      </c>
      <c r="C231" s="4">
        <v>70</v>
      </c>
      <c r="D231" s="8">
        <v>4.7699999999999996</v>
      </c>
      <c r="E231" s="4">
        <v>51</v>
      </c>
      <c r="F231" s="8">
        <v>5.86</v>
      </c>
      <c r="G231" s="4">
        <v>19</v>
      </c>
      <c r="H231" s="8">
        <v>3.37</v>
      </c>
      <c r="I231" s="4">
        <v>0</v>
      </c>
    </row>
    <row r="232" spans="1:9" x14ac:dyDescent="0.2">
      <c r="A232" s="2">
        <v>8</v>
      </c>
      <c r="B232" s="1" t="s">
        <v>83</v>
      </c>
      <c r="C232" s="4">
        <v>56</v>
      </c>
      <c r="D232" s="8">
        <v>3.82</v>
      </c>
      <c r="E232" s="4">
        <v>40</v>
      </c>
      <c r="F232" s="8">
        <v>4.59</v>
      </c>
      <c r="G232" s="4">
        <v>6</v>
      </c>
      <c r="H232" s="8">
        <v>1.07</v>
      </c>
      <c r="I232" s="4">
        <v>0</v>
      </c>
    </row>
    <row r="233" spans="1:9" x14ac:dyDescent="0.2">
      <c r="A233" s="2">
        <v>9</v>
      </c>
      <c r="B233" s="1" t="s">
        <v>84</v>
      </c>
      <c r="C233" s="4">
        <v>50</v>
      </c>
      <c r="D233" s="8">
        <v>3.41</v>
      </c>
      <c r="E233" s="4">
        <v>43</v>
      </c>
      <c r="F233" s="8">
        <v>4.9400000000000004</v>
      </c>
      <c r="G233" s="4">
        <v>5</v>
      </c>
      <c r="H233" s="8">
        <v>0.89</v>
      </c>
      <c r="I233" s="4">
        <v>0</v>
      </c>
    </row>
    <row r="234" spans="1:9" x14ac:dyDescent="0.2">
      <c r="A234" s="2">
        <v>10</v>
      </c>
      <c r="B234" s="1" t="s">
        <v>76</v>
      </c>
      <c r="C234" s="4">
        <v>47</v>
      </c>
      <c r="D234" s="8">
        <v>3.2</v>
      </c>
      <c r="E234" s="4">
        <v>25</v>
      </c>
      <c r="F234" s="8">
        <v>2.87</v>
      </c>
      <c r="G234" s="4">
        <v>22</v>
      </c>
      <c r="H234" s="8">
        <v>3.91</v>
      </c>
      <c r="I234" s="4">
        <v>0</v>
      </c>
    </row>
    <row r="235" spans="1:9" x14ac:dyDescent="0.2">
      <c r="A235" s="2">
        <v>11</v>
      </c>
      <c r="B235" s="1" t="s">
        <v>79</v>
      </c>
      <c r="C235" s="4">
        <v>37</v>
      </c>
      <c r="D235" s="8">
        <v>2.52</v>
      </c>
      <c r="E235" s="4">
        <v>28</v>
      </c>
      <c r="F235" s="8">
        <v>3.21</v>
      </c>
      <c r="G235" s="4">
        <v>9</v>
      </c>
      <c r="H235" s="8">
        <v>1.6</v>
      </c>
      <c r="I235" s="4">
        <v>0</v>
      </c>
    </row>
    <row r="236" spans="1:9" x14ac:dyDescent="0.2">
      <c r="A236" s="2">
        <v>12</v>
      </c>
      <c r="B236" s="1" t="s">
        <v>70</v>
      </c>
      <c r="C236" s="4">
        <v>36</v>
      </c>
      <c r="D236" s="8">
        <v>2.4500000000000002</v>
      </c>
      <c r="E236" s="4">
        <v>10</v>
      </c>
      <c r="F236" s="8">
        <v>1.1499999999999999</v>
      </c>
      <c r="G236" s="4">
        <v>26</v>
      </c>
      <c r="H236" s="8">
        <v>4.62</v>
      </c>
      <c r="I236" s="4">
        <v>0</v>
      </c>
    </row>
    <row r="237" spans="1:9" x14ac:dyDescent="0.2">
      <c r="A237" s="2">
        <v>12</v>
      </c>
      <c r="B237" s="1" t="s">
        <v>80</v>
      </c>
      <c r="C237" s="4">
        <v>36</v>
      </c>
      <c r="D237" s="8">
        <v>2.4500000000000002</v>
      </c>
      <c r="E237" s="4">
        <v>14</v>
      </c>
      <c r="F237" s="8">
        <v>1.61</v>
      </c>
      <c r="G237" s="4">
        <v>20</v>
      </c>
      <c r="H237" s="8">
        <v>3.55</v>
      </c>
      <c r="I237" s="4">
        <v>0</v>
      </c>
    </row>
    <row r="238" spans="1:9" x14ac:dyDescent="0.2">
      <c r="A238" s="2">
        <v>14</v>
      </c>
      <c r="B238" s="1" t="s">
        <v>68</v>
      </c>
      <c r="C238" s="4">
        <v>35</v>
      </c>
      <c r="D238" s="8">
        <v>2.39</v>
      </c>
      <c r="E238" s="4">
        <v>19</v>
      </c>
      <c r="F238" s="8">
        <v>2.1800000000000002</v>
      </c>
      <c r="G238" s="4">
        <v>16</v>
      </c>
      <c r="H238" s="8">
        <v>2.84</v>
      </c>
      <c r="I238" s="4">
        <v>0</v>
      </c>
    </row>
    <row r="239" spans="1:9" x14ac:dyDescent="0.2">
      <c r="A239" s="2">
        <v>15</v>
      </c>
      <c r="B239" s="1" t="s">
        <v>74</v>
      </c>
      <c r="C239" s="4">
        <v>32</v>
      </c>
      <c r="D239" s="8">
        <v>2.1800000000000002</v>
      </c>
      <c r="E239" s="4">
        <v>25</v>
      </c>
      <c r="F239" s="8">
        <v>2.87</v>
      </c>
      <c r="G239" s="4">
        <v>7</v>
      </c>
      <c r="H239" s="8">
        <v>1.24</v>
      </c>
      <c r="I239" s="4">
        <v>0</v>
      </c>
    </row>
    <row r="240" spans="1:9" x14ac:dyDescent="0.2">
      <c r="A240" s="2">
        <v>16</v>
      </c>
      <c r="B240" s="1" t="s">
        <v>91</v>
      </c>
      <c r="C240" s="4">
        <v>25</v>
      </c>
      <c r="D240" s="8">
        <v>1.7</v>
      </c>
      <c r="E240" s="4">
        <v>12</v>
      </c>
      <c r="F240" s="8">
        <v>1.38</v>
      </c>
      <c r="G240" s="4">
        <v>13</v>
      </c>
      <c r="H240" s="8">
        <v>2.31</v>
      </c>
      <c r="I240" s="4">
        <v>0</v>
      </c>
    </row>
    <row r="241" spans="1:9" x14ac:dyDescent="0.2">
      <c r="A241" s="2">
        <v>17</v>
      </c>
      <c r="B241" s="1" t="s">
        <v>100</v>
      </c>
      <c r="C241" s="4">
        <v>22</v>
      </c>
      <c r="D241" s="8">
        <v>1.5</v>
      </c>
      <c r="E241" s="4">
        <v>7</v>
      </c>
      <c r="F241" s="8">
        <v>0.8</v>
      </c>
      <c r="G241" s="4">
        <v>11</v>
      </c>
      <c r="H241" s="8">
        <v>1.95</v>
      </c>
      <c r="I241" s="4">
        <v>0</v>
      </c>
    </row>
    <row r="242" spans="1:9" x14ac:dyDescent="0.2">
      <c r="A242" s="2">
        <v>18</v>
      </c>
      <c r="B242" s="1" t="s">
        <v>85</v>
      </c>
      <c r="C242" s="4">
        <v>17</v>
      </c>
      <c r="D242" s="8">
        <v>1.1599999999999999</v>
      </c>
      <c r="E242" s="4">
        <v>12</v>
      </c>
      <c r="F242" s="8">
        <v>1.38</v>
      </c>
      <c r="G242" s="4">
        <v>5</v>
      </c>
      <c r="H242" s="8">
        <v>0.89</v>
      </c>
      <c r="I242" s="4">
        <v>0</v>
      </c>
    </row>
    <row r="243" spans="1:9" x14ac:dyDescent="0.2">
      <c r="A243" s="2">
        <v>19</v>
      </c>
      <c r="B243" s="1" t="s">
        <v>89</v>
      </c>
      <c r="C243" s="4">
        <v>15</v>
      </c>
      <c r="D243" s="8">
        <v>1.02</v>
      </c>
      <c r="E243" s="4">
        <v>3</v>
      </c>
      <c r="F243" s="8">
        <v>0.34</v>
      </c>
      <c r="G243" s="4">
        <v>12</v>
      </c>
      <c r="H243" s="8">
        <v>2.13</v>
      </c>
      <c r="I243" s="4">
        <v>0</v>
      </c>
    </row>
    <row r="244" spans="1:9" x14ac:dyDescent="0.2">
      <c r="A244" s="2">
        <v>19</v>
      </c>
      <c r="B244" s="1" t="s">
        <v>95</v>
      </c>
      <c r="C244" s="4">
        <v>15</v>
      </c>
      <c r="D244" s="8">
        <v>1.02</v>
      </c>
      <c r="E244" s="4">
        <v>6</v>
      </c>
      <c r="F244" s="8">
        <v>0.69</v>
      </c>
      <c r="G244" s="4">
        <v>9</v>
      </c>
      <c r="H244" s="8">
        <v>1.6</v>
      </c>
      <c r="I244" s="4">
        <v>0</v>
      </c>
    </row>
    <row r="245" spans="1:9" x14ac:dyDescent="0.2">
      <c r="A245" s="2">
        <v>19</v>
      </c>
      <c r="B245" s="1" t="s">
        <v>97</v>
      </c>
      <c r="C245" s="4">
        <v>15</v>
      </c>
      <c r="D245" s="8">
        <v>1.02</v>
      </c>
      <c r="E245" s="4">
        <v>0</v>
      </c>
      <c r="F245" s="8">
        <v>0</v>
      </c>
      <c r="G245" s="4">
        <v>14</v>
      </c>
      <c r="H245" s="8">
        <v>2.4900000000000002</v>
      </c>
      <c r="I245" s="4">
        <v>1</v>
      </c>
    </row>
    <row r="246" spans="1:9" x14ac:dyDescent="0.2">
      <c r="A246" s="1"/>
      <c r="C246" s="4"/>
      <c r="D246" s="8"/>
      <c r="E246" s="4"/>
      <c r="F246" s="8"/>
      <c r="G246" s="4"/>
      <c r="H246" s="8"/>
      <c r="I246" s="4"/>
    </row>
    <row r="247" spans="1:9" x14ac:dyDescent="0.2">
      <c r="A247" s="1" t="s">
        <v>11</v>
      </c>
      <c r="C247" s="4"/>
      <c r="D247" s="8"/>
      <c r="E247" s="4"/>
      <c r="F247" s="8"/>
      <c r="G247" s="4"/>
      <c r="H247" s="8"/>
      <c r="I247" s="4"/>
    </row>
    <row r="248" spans="1:9" x14ac:dyDescent="0.2">
      <c r="A248" s="2">
        <v>1</v>
      </c>
      <c r="B248" s="1" t="s">
        <v>81</v>
      </c>
      <c r="C248" s="4">
        <v>158</v>
      </c>
      <c r="D248" s="8">
        <v>11.38</v>
      </c>
      <c r="E248" s="4">
        <v>136</v>
      </c>
      <c r="F248" s="8">
        <v>17.39</v>
      </c>
      <c r="G248" s="4">
        <v>22</v>
      </c>
      <c r="H248" s="8">
        <v>3.69</v>
      </c>
      <c r="I248" s="4">
        <v>0</v>
      </c>
    </row>
    <row r="249" spans="1:9" x14ac:dyDescent="0.2">
      <c r="A249" s="2">
        <v>2</v>
      </c>
      <c r="B249" s="1" t="s">
        <v>82</v>
      </c>
      <c r="C249" s="4">
        <v>127</v>
      </c>
      <c r="D249" s="8">
        <v>9.14</v>
      </c>
      <c r="E249" s="4">
        <v>113</v>
      </c>
      <c r="F249" s="8">
        <v>14.45</v>
      </c>
      <c r="G249" s="4">
        <v>14</v>
      </c>
      <c r="H249" s="8">
        <v>2.35</v>
      </c>
      <c r="I249" s="4">
        <v>0</v>
      </c>
    </row>
    <row r="250" spans="1:9" x14ac:dyDescent="0.2">
      <c r="A250" s="2">
        <v>3</v>
      </c>
      <c r="B250" s="1" t="s">
        <v>77</v>
      </c>
      <c r="C250" s="4">
        <v>89</v>
      </c>
      <c r="D250" s="8">
        <v>6.41</v>
      </c>
      <c r="E250" s="4">
        <v>47</v>
      </c>
      <c r="F250" s="8">
        <v>6.01</v>
      </c>
      <c r="G250" s="4">
        <v>42</v>
      </c>
      <c r="H250" s="8">
        <v>7.04</v>
      </c>
      <c r="I250" s="4">
        <v>0</v>
      </c>
    </row>
    <row r="251" spans="1:9" x14ac:dyDescent="0.2">
      <c r="A251" s="2">
        <v>4</v>
      </c>
      <c r="B251" s="1" t="s">
        <v>66</v>
      </c>
      <c r="C251" s="4">
        <v>85</v>
      </c>
      <c r="D251" s="8">
        <v>6.12</v>
      </c>
      <c r="E251" s="4">
        <v>17</v>
      </c>
      <c r="F251" s="8">
        <v>2.17</v>
      </c>
      <c r="G251" s="4">
        <v>68</v>
      </c>
      <c r="H251" s="8">
        <v>11.39</v>
      </c>
      <c r="I251" s="4">
        <v>0</v>
      </c>
    </row>
    <row r="252" spans="1:9" x14ac:dyDescent="0.2">
      <c r="A252" s="2">
        <v>5</v>
      </c>
      <c r="B252" s="1" t="s">
        <v>78</v>
      </c>
      <c r="C252" s="4">
        <v>84</v>
      </c>
      <c r="D252" s="8">
        <v>6.05</v>
      </c>
      <c r="E252" s="4">
        <v>50</v>
      </c>
      <c r="F252" s="8">
        <v>6.39</v>
      </c>
      <c r="G252" s="4">
        <v>34</v>
      </c>
      <c r="H252" s="8">
        <v>5.7</v>
      </c>
      <c r="I252" s="4">
        <v>0</v>
      </c>
    </row>
    <row r="253" spans="1:9" x14ac:dyDescent="0.2">
      <c r="A253" s="2">
        <v>6</v>
      </c>
      <c r="B253" s="1" t="s">
        <v>67</v>
      </c>
      <c r="C253" s="4">
        <v>65</v>
      </c>
      <c r="D253" s="8">
        <v>4.68</v>
      </c>
      <c r="E253" s="4">
        <v>29</v>
      </c>
      <c r="F253" s="8">
        <v>3.71</v>
      </c>
      <c r="G253" s="4">
        <v>36</v>
      </c>
      <c r="H253" s="8">
        <v>6.03</v>
      </c>
      <c r="I253" s="4">
        <v>0</v>
      </c>
    </row>
    <row r="254" spans="1:9" x14ac:dyDescent="0.2">
      <c r="A254" s="2">
        <v>6</v>
      </c>
      <c r="B254" s="1" t="s">
        <v>83</v>
      </c>
      <c r="C254" s="4">
        <v>65</v>
      </c>
      <c r="D254" s="8">
        <v>4.68</v>
      </c>
      <c r="E254" s="4">
        <v>44</v>
      </c>
      <c r="F254" s="8">
        <v>5.63</v>
      </c>
      <c r="G254" s="4">
        <v>20</v>
      </c>
      <c r="H254" s="8">
        <v>3.35</v>
      </c>
      <c r="I254" s="4">
        <v>0</v>
      </c>
    </row>
    <row r="255" spans="1:9" x14ac:dyDescent="0.2">
      <c r="A255" s="2">
        <v>8</v>
      </c>
      <c r="B255" s="1" t="s">
        <v>84</v>
      </c>
      <c r="C255" s="4">
        <v>60</v>
      </c>
      <c r="D255" s="8">
        <v>4.32</v>
      </c>
      <c r="E255" s="4">
        <v>53</v>
      </c>
      <c r="F255" s="8">
        <v>6.78</v>
      </c>
      <c r="G255" s="4">
        <v>7</v>
      </c>
      <c r="H255" s="8">
        <v>1.17</v>
      </c>
      <c r="I255" s="4">
        <v>0</v>
      </c>
    </row>
    <row r="256" spans="1:9" x14ac:dyDescent="0.2">
      <c r="A256" s="2">
        <v>9</v>
      </c>
      <c r="B256" s="1" t="s">
        <v>76</v>
      </c>
      <c r="C256" s="4">
        <v>59</v>
      </c>
      <c r="D256" s="8">
        <v>4.25</v>
      </c>
      <c r="E256" s="4">
        <v>35</v>
      </c>
      <c r="F256" s="8">
        <v>4.4800000000000004</v>
      </c>
      <c r="G256" s="4">
        <v>24</v>
      </c>
      <c r="H256" s="8">
        <v>4.0199999999999996</v>
      </c>
      <c r="I256" s="4">
        <v>0</v>
      </c>
    </row>
    <row r="257" spans="1:9" x14ac:dyDescent="0.2">
      <c r="A257" s="2">
        <v>10</v>
      </c>
      <c r="B257" s="1" t="s">
        <v>68</v>
      </c>
      <c r="C257" s="4">
        <v>51</v>
      </c>
      <c r="D257" s="8">
        <v>3.67</v>
      </c>
      <c r="E257" s="4">
        <v>20</v>
      </c>
      <c r="F257" s="8">
        <v>2.56</v>
      </c>
      <c r="G257" s="4">
        <v>31</v>
      </c>
      <c r="H257" s="8">
        <v>5.19</v>
      </c>
      <c r="I257" s="4">
        <v>0</v>
      </c>
    </row>
    <row r="258" spans="1:9" x14ac:dyDescent="0.2">
      <c r="A258" s="2">
        <v>11</v>
      </c>
      <c r="B258" s="1" t="s">
        <v>75</v>
      </c>
      <c r="C258" s="4">
        <v>46</v>
      </c>
      <c r="D258" s="8">
        <v>3.31</v>
      </c>
      <c r="E258" s="4">
        <v>33</v>
      </c>
      <c r="F258" s="8">
        <v>4.22</v>
      </c>
      <c r="G258" s="4">
        <v>13</v>
      </c>
      <c r="H258" s="8">
        <v>2.1800000000000002</v>
      </c>
      <c r="I258" s="4">
        <v>0</v>
      </c>
    </row>
    <row r="259" spans="1:9" x14ac:dyDescent="0.2">
      <c r="A259" s="2">
        <v>12</v>
      </c>
      <c r="B259" s="1" t="s">
        <v>74</v>
      </c>
      <c r="C259" s="4">
        <v>34</v>
      </c>
      <c r="D259" s="8">
        <v>2.4500000000000002</v>
      </c>
      <c r="E259" s="4">
        <v>22</v>
      </c>
      <c r="F259" s="8">
        <v>2.81</v>
      </c>
      <c r="G259" s="4">
        <v>12</v>
      </c>
      <c r="H259" s="8">
        <v>2.0099999999999998</v>
      </c>
      <c r="I259" s="4">
        <v>0</v>
      </c>
    </row>
    <row r="260" spans="1:9" x14ac:dyDescent="0.2">
      <c r="A260" s="2">
        <v>13</v>
      </c>
      <c r="B260" s="1" t="s">
        <v>80</v>
      </c>
      <c r="C260" s="4">
        <v>32</v>
      </c>
      <c r="D260" s="8">
        <v>2.2999999999999998</v>
      </c>
      <c r="E260" s="4">
        <v>13</v>
      </c>
      <c r="F260" s="8">
        <v>1.66</v>
      </c>
      <c r="G260" s="4">
        <v>18</v>
      </c>
      <c r="H260" s="8">
        <v>3.02</v>
      </c>
      <c r="I260" s="4">
        <v>0</v>
      </c>
    </row>
    <row r="261" spans="1:9" x14ac:dyDescent="0.2">
      <c r="A261" s="2">
        <v>14</v>
      </c>
      <c r="B261" s="1" t="s">
        <v>79</v>
      </c>
      <c r="C261" s="4">
        <v>26</v>
      </c>
      <c r="D261" s="8">
        <v>1.87</v>
      </c>
      <c r="E261" s="4">
        <v>18</v>
      </c>
      <c r="F261" s="8">
        <v>2.2999999999999998</v>
      </c>
      <c r="G261" s="4">
        <v>8</v>
      </c>
      <c r="H261" s="8">
        <v>1.34</v>
      </c>
      <c r="I261" s="4">
        <v>0</v>
      </c>
    </row>
    <row r="262" spans="1:9" x14ac:dyDescent="0.2">
      <c r="A262" s="2">
        <v>15</v>
      </c>
      <c r="B262" s="1" t="s">
        <v>85</v>
      </c>
      <c r="C262" s="4">
        <v>24</v>
      </c>
      <c r="D262" s="8">
        <v>1.73</v>
      </c>
      <c r="E262" s="4">
        <v>22</v>
      </c>
      <c r="F262" s="8">
        <v>2.81</v>
      </c>
      <c r="G262" s="4">
        <v>2</v>
      </c>
      <c r="H262" s="8">
        <v>0.34</v>
      </c>
      <c r="I262" s="4">
        <v>0</v>
      </c>
    </row>
    <row r="263" spans="1:9" x14ac:dyDescent="0.2">
      <c r="A263" s="2">
        <v>16</v>
      </c>
      <c r="B263" s="1" t="s">
        <v>71</v>
      </c>
      <c r="C263" s="4">
        <v>21</v>
      </c>
      <c r="D263" s="8">
        <v>1.51</v>
      </c>
      <c r="E263" s="4">
        <v>9</v>
      </c>
      <c r="F263" s="8">
        <v>1.1499999999999999</v>
      </c>
      <c r="G263" s="4">
        <v>12</v>
      </c>
      <c r="H263" s="8">
        <v>2.0099999999999998</v>
      </c>
      <c r="I263" s="4">
        <v>0</v>
      </c>
    </row>
    <row r="264" spans="1:9" x14ac:dyDescent="0.2">
      <c r="A264" s="2">
        <v>17</v>
      </c>
      <c r="B264" s="1" t="s">
        <v>72</v>
      </c>
      <c r="C264" s="4">
        <v>20</v>
      </c>
      <c r="D264" s="8">
        <v>1.44</v>
      </c>
      <c r="E264" s="4">
        <v>7</v>
      </c>
      <c r="F264" s="8">
        <v>0.9</v>
      </c>
      <c r="G264" s="4">
        <v>13</v>
      </c>
      <c r="H264" s="8">
        <v>2.1800000000000002</v>
      </c>
      <c r="I264" s="4">
        <v>0</v>
      </c>
    </row>
    <row r="265" spans="1:9" x14ac:dyDescent="0.2">
      <c r="A265" s="2">
        <v>18</v>
      </c>
      <c r="B265" s="1" t="s">
        <v>90</v>
      </c>
      <c r="C265" s="4">
        <v>19</v>
      </c>
      <c r="D265" s="8">
        <v>1.37</v>
      </c>
      <c r="E265" s="4">
        <v>10</v>
      </c>
      <c r="F265" s="8">
        <v>1.28</v>
      </c>
      <c r="G265" s="4">
        <v>9</v>
      </c>
      <c r="H265" s="8">
        <v>1.51</v>
      </c>
      <c r="I265" s="4">
        <v>0</v>
      </c>
    </row>
    <row r="266" spans="1:9" x14ac:dyDescent="0.2">
      <c r="A266" s="2">
        <v>19</v>
      </c>
      <c r="B266" s="1" t="s">
        <v>69</v>
      </c>
      <c r="C266" s="4">
        <v>18</v>
      </c>
      <c r="D266" s="8">
        <v>1.3</v>
      </c>
      <c r="E266" s="4">
        <v>13</v>
      </c>
      <c r="F266" s="8">
        <v>1.66</v>
      </c>
      <c r="G266" s="4">
        <v>5</v>
      </c>
      <c r="H266" s="8">
        <v>0.84</v>
      </c>
      <c r="I266" s="4">
        <v>0</v>
      </c>
    </row>
    <row r="267" spans="1:9" x14ac:dyDescent="0.2">
      <c r="A267" s="2">
        <v>19</v>
      </c>
      <c r="B267" s="1" t="s">
        <v>87</v>
      </c>
      <c r="C267" s="4">
        <v>18</v>
      </c>
      <c r="D267" s="8">
        <v>1.3</v>
      </c>
      <c r="E267" s="4">
        <v>3</v>
      </c>
      <c r="F267" s="8">
        <v>0.38</v>
      </c>
      <c r="G267" s="4">
        <v>15</v>
      </c>
      <c r="H267" s="8">
        <v>2.5099999999999998</v>
      </c>
      <c r="I267" s="4">
        <v>0</v>
      </c>
    </row>
    <row r="268" spans="1:9" x14ac:dyDescent="0.2">
      <c r="A268" s="2">
        <v>19</v>
      </c>
      <c r="B268" s="1" t="s">
        <v>102</v>
      </c>
      <c r="C268" s="4">
        <v>18</v>
      </c>
      <c r="D268" s="8">
        <v>1.3</v>
      </c>
      <c r="E268" s="4">
        <v>9</v>
      </c>
      <c r="F268" s="8">
        <v>1.1499999999999999</v>
      </c>
      <c r="G268" s="4">
        <v>9</v>
      </c>
      <c r="H268" s="8">
        <v>1.51</v>
      </c>
      <c r="I268" s="4">
        <v>0</v>
      </c>
    </row>
    <row r="269" spans="1:9" x14ac:dyDescent="0.2">
      <c r="A269" s="1"/>
      <c r="C269" s="4"/>
      <c r="D269" s="8"/>
      <c r="E269" s="4"/>
      <c r="F269" s="8"/>
      <c r="G269" s="4"/>
      <c r="H269" s="8"/>
      <c r="I269" s="4"/>
    </row>
    <row r="270" spans="1:9" x14ac:dyDescent="0.2">
      <c r="A270" s="1" t="s">
        <v>12</v>
      </c>
      <c r="C270" s="4"/>
      <c r="D270" s="8"/>
      <c r="E270" s="4"/>
      <c r="F270" s="8"/>
      <c r="G270" s="4"/>
      <c r="H270" s="8"/>
      <c r="I270" s="4"/>
    </row>
    <row r="271" spans="1:9" x14ac:dyDescent="0.2">
      <c r="A271" s="2">
        <v>1</v>
      </c>
      <c r="B271" s="1" t="s">
        <v>70</v>
      </c>
      <c r="C271" s="4">
        <v>508</v>
      </c>
      <c r="D271" s="8">
        <v>25.25</v>
      </c>
      <c r="E271" s="4">
        <v>298</v>
      </c>
      <c r="F271" s="8">
        <v>25.71</v>
      </c>
      <c r="G271" s="4">
        <v>210</v>
      </c>
      <c r="H271" s="8">
        <v>25.21</v>
      </c>
      <c r="I271" s="4">
        <v>0</v>
      </c>
    </row>
    <row r="272" spans="1:9" x14ac:dyDescent="0.2">
      <c r="A272" s="2">
        <v>2</v>
      </c>
      <c r="B272" s="1" t="s">
        <v>81</v>
      </c>
      <c r="C272" s="4">
        <v>168</v>
      </c>
      <c r="D272" s="8">
        <v>8.35</v>
      </c>
      <c r="E272" s="4">
        <v>151</v>
      </c>
      <c r="F272" s="8">
        <v>13.03</v>
      </c>
      <c r="G272" s="4">
        <v>17</v>
      </c>
      <c r="H272" s="8">
        <v>2.04</v>
      </c>
      <c r="I272" s="4">
        <v>0</v>
      </c>
    </row>
    <row r="273" spans="1:9" x14ac:dyDescent="0.2">
      <c r="A273" s="2">
        <v>3</v>
      </c>
      <c r="B273" s="1" t="s">
        <v>82</v>
      </c>
      <c r="C273" s="4">
        <v>148</v>
      </c>
      <c r="D273" s="8">
        <v>7.36</v>
      </c>
      <c r="E273" s="4">
        <v>135</v>
      </c>
      <c r="F273" s="8">
        <v>11.65</v>
      </c>
      <c r="G273" s="4">
        <v>13</v>
      </c>
      <c r="H273" s="8">
        <v>1.56</v>
      </c>
      <c r="I273" s="4">
        <v>0</v>
      </c>
    </row>
    <row r="274" spans="1:9" x14ac:dyDescent="0.2">
      <c r="A274" s="2">
        <v>4</v>
      </c>
      <c r="B274" s="1" t="s">
        <v>73</v>
      </c>
      <c r="C274" s="4">
        <v>116</v>
      </c>
      <c r="D274" s="8">
        <v>5.77</v>
      </c>
      <c r="E274" s="4">
        <v>47</v>
      </c>
      <c r="F274" s="8">
        <v>4.0599999999999996</v>
      </c>
      <c r="G274" s="4">
        <v>69</v>
      </c>
      <c r="H274" s="8">
        <v>8.2799999999999994</v>
      </c>
      <c r="I274" s="4">
        <v>0</v>
      </c>
    </row>
    <row r="275" spans="1:9" x14ac:dyDescent="0.2">
      <c r="A275" s="2">
        <v>5</v>
      </c>
      <c r="B275" s="1" t="s">
        <v>66</v>
      </c>
      <c r="C275" s="4">
        <v>115</v>
      </c>
      <c r="D275" s="8">
        <v>5.72</v>
      </c>
      <c r="E275" s="4">
        <v>47</v>
      </c>
      <c r="F275" s="8">
        <v>4.0599999999999996</v>
      </c>
      <c r="G275" s="4">
        <v>68</v>
      </c>
      <c r="H275" s="8">
        <v>8.16</v>
      </c>
      <c r="I275" s="4">
        <v>0</v>
      </c>
    </row>
    <row r="276" spans="1:9" x14ac:dyDescent="0.2">
      <c r="A276" s="2">
        <v>6</v>
      </c>
      <c r="B276" s="1" t="s">
        <v>77</v>
      </c>
      <c r="C276" s="4">
        <v>99</v>
      </c>
      <c r="D276" s="8">
        <v>4.92</v>
      </c>
      <c r="E276" s="4">
        <v>53</v>
      </c>
      <c r="F276" s="8">
        <v>4.57</v>
      </c>
      <c r="G276" s="4">
        <v>46</v>
      </c>
      <c r="H276" s="8">
        <v>5.52</v>
      </c>
      <c r="I276" s="4">
        <v>0</v>
      </c>
    </row>
    <row r="277" spans="1:9" x14ac:dyDescent="0.2">
      <c r="A277" s="2">
        <v>7</v>
      </c>
      <c r="B277" s="1" t="s">
        <v>75</v>
      </c>
      <c r="C277" s="4">
        <v>77</v>
      </c>
      <c r="D277" s="8">
        <v>3.83</v>
      </c>
      <c r="E277" s="4">
        <v>58</v>
      </c>
      <c r="F277" s="8">
        <v>5</v>
      </c>
      <c r="G277" s="4">
        <v>18</v>
      </c>
      <c r="H277" s="8">
        <v>2.16</v>
      </c>
      <c r="I277" s="4">
        <v>1</v>
      </c>
    </row>
    <row r="278" spans="1:9" x14ac:dyDescent="0.2">
      <c r="A278" s="2">
        <v>8</v>
      </c>
      <c r="B278" s="1" t="s">
        <v>67</v>
      </c>
      <c r="C278" s="4">
        <v>67</v>
      </c>
      <c r="D278" s="8">
        <v>3.33</v>
      </c>
      <c r="E278" s="4">
        <v>39</v>
      </c>
      <c r="F278" s="8">
        <v>3.36</v>
      </c>
      <c r="G278" s="4">
        <v>28</v>
      </c>
      <c r="H278" s="8">
        <v>3.36</v>
      </c>
      <c r="I278" s="4">
        <v>0</v>
      </c>
    </row>
    <row r="279" spans="1:9" x14ac:dyDescent="0.2">
      <c r="A279" s="2">
        <v>9</v>
      </c>
      <c r="B279" s="1" t="s">
        <v>68</v>
      </c>
      <c r="C279" s="4">
        <v>60</v>
      </c>
      <c r="D279" s="8">
        <v>2.98</v>
      </c>
      <c r="E279" s="4">
        <v>28</v>
      </c>
      <c r="F279" s="8">
        <v>2.42</v>
      </c>
      <c r="G279" s="4">
        <v>32</v>
      </c>
      <c r="H279" s="8">
        <v>3.84</v>
      </c>
      <c r="I279" s="4">
        <v>0</v>
      </c>
    </row>
    <row r="280" spans="1:9" x14ac:dyDescent="0.2">
      <c r="A280" s="2">
        <v>10</v>
      </c>
      <c r="B280" s="1" t="s">
        <v>74</v>
      </c>
      <c r="C280" s="4">
        <v>57</v>
      </c>
      <c r="D280" s="8">
        <v>2.83</v>
      </c>
      <c r="E280" s="4">
        <v>23</v>
      </c>
      <c r="F280" s="8">
        <v>1.98</v>
      </c>
      <c r="G280" s="4">
        <v>34</v>
      </c>
      <c r="H280" s="8">
        <v>4.08</v>
      </c>
      <c r="I280" s="4">
        <v>0</v>
      </c>
    </row>
    <row r="281" spans="1:9" x14ac:dyDescent="0.2">
      <c r="A281" s="2">
        <v>11</v>
      </c>
      <c r="B281" s="1" t="s">
        <v>84</v>
      </c>
      <c r="C281" s="4">
        <v>54</v>
      </c>
      <c r="D281" s="8">
        <v>2.68</v>
      </c>
      <c r="E281" s="4">
        <v>52</v>
      </c>
      <c r="F281" s="8">
        <v>4.49</v>
      </c>
      <c r="G281" s="4">
        <v>2</v>
      </c>
      <c r="H281" s="8">
        <v>0.24</v>
      </c>
      <c r="I281" s="4">
        <v>0</v>
      </c>
    </row>
    <row r="282" spans="1:9" x14ac:dyDescent="0.2">
      <c r="A282" s="2">
        <v>12</v>
      </c>
      <c r="B282" s="1" t="s">
        <v>83</v>
      </c>
      <c r="C282" s="4">
        <v>51</v>
      </c>
      <c r="D282" s="8">
        <v>2.5299999999999998</v>
      </c>
      <c r="E282" s="4">
        <v>32</v>
      </c>
      <c r="F282" s="8">
        <v>2.76</v>
      </c>
      <c r="G282" s="4">
        <v>9</v>
      </c>
      <c r="H282" s="8">
        <v>1.08</v>
      </c>
      <c r="I282" s="4">
        <v>0</v>
      </c>
    </row>
    <row r="283" spans="1:9" x14ac:dyDescent="0.2">
      <c r="A283" s="2">
        <v>13</v>
      </c>
      <c r="B283" s="1" t="s">
        <v>78</v>
      </c>
      <c r="C283" s="4">
        <v>50</v>
      </c>
      <c r="D283" s="8">
        <v>2.4900000000000002</v>
      </c>
      <c r="E283" s="4">
        <v>13</v>
      </c>
      <c r="F283" s="8">
        <v>1.1200000000000001</v>
      </c>
      <c r="G283" s="4">
        <v>36</v>
      </c>
      <c r="H283" s="8">
        <v>4.32</v>
      </c>
      <c r="I283" s="4">
        <v>0</v>
      </c>
    </row>
    <row r="284" spans="1:9" x14ac:dyDescent="0.2">
      <c r="A284" s="2">
        <v>14</v>
      </c>
      <c r="B284" s="1" t="s">
        <v>76</v>
      </c>
      <c r="C284" s="4">
        <v>37</v>
      </c>
      <c r="D284" s="8">
        <v>1.84</v>
      </c>
      <c r="E284" s="4">
        <v>26</v>
      </c>
      <c r="F284" s="8">
        <v>2.2400000000000002</v>
      </c>
      <c r="G284" s="4">
        <v>11</v>
      </c>
      <c r="H284" s="8">
        <v>1.32</v>
      </c>
      <c r="I284" s="4">
        <v>0</v>
      </c>
    </row>
    <row r="285" spans="1:9" x14ac:dyDescent="0.2">
      <c r="A285" s="2">
        <v>15</v>
      </c>
      <c r="B285" s="1" t="s">
        <v>79</v>
      </c>
      <c r="C285" s="4">
        <v>36</v>
      </c>
      <c r="D285" s="8">
        <v>1.79</v>
      </c>
      <c r="E285" s="4">
        <v>31</v>
      </c>
      <c r="F285" s="8">
        <v>2.67</v>
      </c>
      <c r="G285" s="4">
        <v>5</v>
      </c>
      <c r="H285" s="8">
        <v>0.6</v>
      </c>
      <c r="I285" s="4">
        <v>0</v>
      </c>
    </row>
    <row r="286" spans="1:9" x14ac:dyDescent="0.2">
      <c r="A286" s="2">
        <v>16</v>
      </c>
      <c r="B286" s="1" t="s">
        <v>99</v>
      </c>
      <c r="C286" s="4">
        <v>28</v>
      </c>
      <c r="D286" s="8">
        <v>1.39</v>
      </c>
      <c r="E286" s="4">
        <v>17</v>
      </c>
      <c r="F286" s="8">
        <v>1.47</v>
      </c>
      <c r="G286" s="4">
        <v>11</v>
      </c>
      <c r="H286" s="8">
        <v>1.32</v>
      </c>
      <c r="I286" s="4">
        <v>0</v>
      </c>
    </row>
    <row r="287" spans="1:9" x14ac:dyDescent="0.2">
      <c r="A287" s="2">
        <v>17</v>
      </c>
      <c r="B287" s="1" t="s">
        <v>97</v>
      </c>
      <c r="C287" s="4">
        <v>25</v>
      </c>
      <c r="D287" s="8">
        <v>1.24</v>
      </c>
      <c r="E287" s="4">
        <v>0</v>
      </c>
      <c r="F287" s="8">
        <v>0</v>
      </c>
      <c r="G287" s="4">
        <v>23</v>
      </c>
      <c r="H287" s="8">
        <v>2.76</v>
      </c>
      <c r="I287" s="4">
        <v>0</v>
      </c>
    </row>
    <row r="288" spans="1:9" x14ac:dyDescent="0.2">
      <c r="A288" s="2">
        <v>18</v>
      </c>
      <c r="B288" s="1" t="s">
        <v>80</v>
      </c>
      <c r="C288" s="4">
        <v>22</v>
      </c>
      <c r="D288" s="8">
        <v>1.0900000000000001</v>
      </c>
      <c r="E288" s="4">
        <v>8</v>
      </c>
      <c r="F288" s="8">
        <v>0.69</v>
      </c>
      <c r="G288" s="4">
        <v>12</v>
      </c>
      <c r="H288" s="8">
        <v>1.44</v>
      </c>
      <c r="I288" s="4">
        <v>0</v>
      </c>
    </row>
    <row r="289" spans="1:9" x14ac:dyDescent="0.2">
      <c r="A289" s="2">
        <v>19</v>
      </c>
      <c r="B289" s="1" t="s">
        <v>90</v>
      </c>
      <c r="C289" s="4">
        <v>20</v>
      </c>
      <c r="D289" s="8">
        <v>0.99</v>
      </c>
      <c r="E289" s="4">
        <v>7</v>
      </c>
      <c r="F289" s="8">
        <v>0.6</v>
      </c>
      <c r="G289" s="4">
        <v>12</v>
      </c>
      <c r="H289" s="8">
        <v>1.44</v>
      </c>
      <c r="I289" s="4">
        <v>0</v>
      </c>
    </row>
    <row r="290" spans="1:9" x14ac:dyDescent="0.2">
      <c r="A290" s="2">
        <v>20</v>
      </c>
      <c r="B290" s="1" t="s">
        <v>89</v>
      </c>
      <c r="C290" s="4">
        <v>19</v>
      </c>
      <c r="D290" s="8">
        <v>0.94</v>
      </c>
      <c r="E290" s="4">
        <v>1</v>
      </c>
      <c r="F290" s="8">
        <v>0.09</v>
      </c>
      <c r="G290" s="4">
        <v>18</v>
      </c>
      <c r="H290" s="8">
        <v>2.16</v>
      </c>
      <c r="I290" s="4">
        <v>0</v>
      </c>
    </row>
    <row r="291" spans="1:9" x14ac:dyDescent="0.2">
      <c r="A291" s="1"/>
      <c r="C291" s="4"/>
      <c r="D291" s="8"/>
      <c r="E291" s="4"/>
      <c r="F291" s="8"/>
      <c r="G291" s="4"/>
      <c r="H291" s="8"/>
      <c r="I291" s="4"/>
    </row>
    <row r="292" spans="1:9" x14ac:dyDescent="0.2">
      <c r="A292" s="1" t="s">
        <v>13</v>
      </c>
      <c r="C292" s="4"/>
      <c r="D292" s="8"/>
      <c r="E292" s="4"/>
      <c r="F292" s="8"/>
      <c r="G292" s="4"/>
      <c r="H292" s="8"/>
      <c r="I292" s="4"/>
    </row>
    <row r="293" spans="1:9" x14ac:dyDescent="0.2">
      <c r="A293" s="2">
        <v>1</v>
      </c>
      <c r="B293" s="1" t="s">
        <v>82</v>
      </c>
      <c r="C293" s="4">
        <v>312</v>
      </c>
      <c r="D293" s="8">
        <v>9.98</v>
      </c>
      <c r="E293" s="4">
        <v>258</v>
      </c>
      <c r="F293" s="8">
        <v>16</v>
      </c>
      <c r="G293" s="4">
        <v>54</v>
      </c>
      <c r="H293" s="8">
        <v>3.6</v>
      </c>
      <c r="I293" s="4">
        <v>0</v>
      </c>
    </row>
    <row r="294" spans="1:9" x14ac:dyDescent="0.2">
      <c r="A294" s="2">
        <v>2</v>
      </c>
      <c r="B294" s="1" t="s">
        <v>81</v>
      </c>
      <c r="C294" s="4">
        <v>291</v>
      </c>
      <c r="D294" s="8">
        <v>9.31</v>
      </c>
      <c r="E294" s="4">
        <v>258</v>
      </c>
      <c r="F294" s="8">
        <v>16</v>
      </c>
      <c r="G294" s="4">
        <v>33</v>
      </c>
      <c r="H294" s="8">
        <v>2.2000000000000002</v>
      </c>
      <c r="I294" s="4">
        <v>0</v>
      </c>
    </row>
    <row r="295" spans="1:9" x14ac:dyDescent="0.2">
      <c r="A295" s="2">
        <v>3</v>
      </c>
      <c r="B295" s="1" t="s">
        <v>77</v>
      </c>
      <c r="C295" s="4">
        <v>178</v>
      </c>
      <c r="D295" s="8">
        <v>5.7</v>
      </c>
      <c r="E295" s="4">
        <v>88</v>
      </c>
      <c r="F295" s="8">
        <v>5.46</v>
      </c>
      <c r="G295" s="4">
        <v>90</v>
      </c>
      <c r="H295" s="8">
        <v>6</v>
      </c>
      <c r="I295" s="4">
        <v>0</v>
      </c>
    </row>
    <row r="296" spans="1:9" x14ac:dyDescent="0.2">
      <c r="A296" s="2">
        <v>4</v>
      </c>
      <c r="B296" s="1" t="s">
        <v>66</v>
      </c>
      <c r="C296" s="4">
        <v>176</v>
      </c>
      <c r="D296" s="8">
        <v>5.63</v>
      </c>
      <c r="E296" s="4">
        <v>32</v>
      </c>
      <c r="F296" s="8">
        <v>1.98</v>
      </c>
      <c r="G296" s="4">
        <v>144</v>
      </c>
      <c r="H296" s="8">
        <v>9.61</v>
      </c>
      <c r="I296" s="4">
        <v>0</v>
      </c>
    </row>
    <row r="297" spans="1:9" x14ac:dyDescent="0.2">
      <c r="A297" s="2">
        <v>5</v>
      </c>
      <c r="B297" s="1" t="s">
        <v>83</v>
      </c>
      <c r="C297" s="4">
        <v>146</v>
      </c>
      <c r="D297" s="8">
        <v>4.67</v>
      </c>
      <c r="E297" s="4">
        <v>102</v>
      </c>
      <c r="F297" s="8">
        <v>6.32</v>
      </c>
      <c r="G297" s="4">
        <v>43</v>
      </c>
      <c r="H297" s="8">
        <v>2.87</v>
      </c>
      <c r="I297" s="4">
        <v>0</v>
      </c>
    </row>
    <row r="298" spans="1:9" x14ac:dyDescent="0.2">
      <c r="A298" s="2">
        <v>6</v>
      </c>
      <c r="B298" s="1" t="s">
        <v>76</v>
      </c>
      <c r="C298" s="4">
        <v>143</v>
      </c>
      <c r="D298" s="8">
        <v>4.58</v>
      </c>
      <c r="E298" s="4">
        <v>79</v>
      </c>
      <c r="F298" s="8">
        <v>4.9000000000000004</v>
      </c>
      <c r="G298" s="4">
        <v>64</v>
      </c>
      <c r="H298" s="8">
        <v>4.2699999999999996</v>
      </c>
      <c r="I298" s="4">
        <v>0</v>
      </c>
    </row>
    <row r="299" spans="1:9" x14ac:dyDescent="0.2">
      <c r="A299" s="2">
        <v>7</v>
      </c>
      <c r="B299" s="1" t="s">
        <v>69</v>
      </c>
      <c r="C299" s="4">
        <v>140</v>
      </c>
      <c r="D299" s="8">
        <v>4.4800000000000004</v>
      </c>
      <c r="E299" s="4">
        <v>102</v>
      </c>
      <c r="F299" s="8">
        <v>6.32</v>
      </c>
      <c r="G299" s="4">
        <v>38</v>
      </c>
      <c r="H299" s="8">
        <v>2.54</v>
      </c>
      <c r="I299" s="4">
        <v>0</v>
      </c>
    </row>
    <row r="300" spans="1:9" x14ac:dyDescent="0.2">
      <c r="A300" s="2">
        <v>8</v>
      </c>
      <c r="B300" s="1" t="s">
        <v>84</v>
      </c>
      <c r="C300" s="4">
        <v>130</v>
      </c>
      <c r="D300" s="8">
        <v>4.16</v>
      </c>
      <c r="E300" s="4">
        <v>121</v>
      </c>
      <c r="F300" s="8">
        <v>7.5</v>
      </c>
      <c r="G300" s="4">
        <v>9</v>
      </c>
      <c r="H300" s="8">
        <v>0.6</v>
      </c>
      <c r="I300" s="4">
        <v>0</v>
      </c>
    </row>
    <row r="301" spans="1:9" x14ac:dyDescent="0.2">
      <c r="A301" s="2">
        <v>9</v>
      </c>
      <c r="B301" s="1" t="s">
        <v>78</v>
      </c>
      <c r="C301" s="4">
        <v>119</v>
      </c>
      <c r="D301" s="8">
        <v>3.81</v>
      </c>
      <c r="E301" s="4">
        <v>29</v>
      </c>
      <c r="F301" s="8">
        <v>1.8</v>
      </c>
      <c r="G301" s="4">
        <v>89</v>
      </c>
      <c r="H301" s="8">
        <v>5.94</v>
      </c>
      <c r="I301" s="4">
        <v>0</v>
      </c>
    </row>
    <row r="302" spans="1:9" x14ac:dyDescent="0.2">
      <c r="A302" s="2">
        <v>10</v>
      </c>
      <c r="B302" s="1" t="s">
        <v>67</v>
      </c>
      <c r="C302" s="4">
        <v>117</v>
      </c>
      <c r="D302" s="8">
        <v>3.74</v>
      </c>
      <c r="E302" s="4">
        <v>44</v>
      </c>
      <c r="F302" s="8">
        <v>2.73</v>
      </c>
      <c r="G302" s="4">
        <v>73</v>
      </c>
      <c r="H302" s="8">
        <v>4.87</v>
      </c>
      <c r="I302" s="4">
        <v>0</v>
      </c>
    </row>
    <row r="303" spans="1:9" x14ac:dyDescent="0.2">
      <c r="A303" s="2">
        <v>11</v>
      </c>
      <c r="B303" s="1" t="s">
        <v>68</v>
      </c>
      <c r="C303" s="4">
        <v>113</v>
      </c>
      <c r="D303" s="8">
        <v>3.62</v>
      </c>
      <c r="E303" s="4">
        <v>32</v>
      </c>
      <c r="F303" s="8">
        <v>1.98</v>
      </c>
      <c r="G303" s="4">
        <v>81</v>
      </c>
      <c r="H303" s="8">
        <v>5.4</v>
      </c>
      <c r="I303" s="4">
        <v>0</v>
      </c>
    </row>
    <row r="304" spans="1:9" x14ac:dyDescent="0.2">
      <c r="A304" s="2">
        <v>12</v>
      </c>
      <c r="B304" s="1" t="s">
        <v>72</v>
      </c>
      <c r="C304" s="4">
        <v>85</v>
      </c>
      <c r="D304" s="8">
        <v>2.72</v>
      </c>
      <c r="E304" s="4">
        <v>24</v>
      </c>
      <c r="F304" s="8">
        <v>1.49</v>
      </c>
      <c r="G304" s="4">
        <v>61</v>
      </c>
      <c r="H304" s="8">
        <v>4.07</v>
      </c>
      <c r="I304" s="4">
        <v>0</v>
      </c>
    </row>
    <row r="305" spans="1:9" x14ac:dyDescent="0.2">
      <c r="A305" s="2">
        <v>13</v>
      </c>
      <c r="B305" s="1" t="s">
        <v>75</v>
      </c>
      <c r="C305" s="4">
        <v>80</v>
      </c>
      <c r="D305" s="8">
        <v>2.56</v>
      </c>
      <c r="E305" s="4">
        <v>58</v>
      </c>
      <c r="F305" s="8">
        <v>3.6</v>
      </c>
      <c r="G305" s="4">
        <v>22</v>
      </c>
      <c r="H305" s="8">
        <v>1.47</v>
      </c>
      <c r="I305" s="4">
        <v>0</v>
      </c>
    </row>
    <row r="306" spans="1:9" x14ac:dyDescent="0.2">
      <c r="A306" s="2">
        <v>13</v>
      </c>
      <c r="B306" s="1" t="s">
        <v>79</v>
      </c>
      <c r="C306" s="4">
        <v>80</v>
      </c>
      <c r="D306" s="8">
        <v>2.56</v>
      </c>
      <c r="E306" s="4">
        <v>53</v>
      </c>
      <c r="F306" s="8">
        <v>3.29</v>
      </c>
      <c r="G306" s="4">
        <v>27</v>
      </c>
      <c r="H306" s="8">
        <v>1.8</v>
      </c>
      <c r="I306" s="4">
        <v>0</v>
      </c>
    </row>
    <row r="307" spans="1:9" x14ac:dyDescent="0.2">
      <c r="A307" s="2">
        <v>15</v>
      </c>
      <c r="B307" s="1" t="s">
        <v>71</v>
      </c>
      <c r="C307" s="4">
        <v>77</v>
      </c>
      <c r="D307" s="8">
        <v>2.46</v>
      </c>
      <c r="E307" s="4">
        <v>31</v>
      </c>
      <c r="F307" s="8">
        <v>1.92</v>
      </c>
      <c r="G307" s="4">
        <v>46</v>
      </c>
      <c r="H307" s="8">
        <v>3.07</v>
      </c>
      <c r="I307" s="4">
        <v>0</v>
      </c>
    </row>
    <row r="308" spans="1:9" x14ac:dyDescent="0.2">
      <c r="A308" s="2">
        <v>16</v>
      </c>
      <c r="B308" s="1" t="s">
        <v>74</v>
      </c>
      <c r="C308" s="4">
        <v>74</v>
      </c>
      <c r="D308" s="8">
        <v>2.37</v>
      </c>
      <c r="E308" s="4">
        <v>29</v>
      </c>
      <c r="F308" s="8">
        <v>1.8</v>
      </c>
      <c r="G308" s="4">
        <v>44</v>
      </c>
      <c r="H308" s="8">
        <v>2.94</v>
      </c>
      <c r="I308" s="4">
        <v>1</v>
      </c>
    </row>
    <row r="309" spans="1:9" x14ac:dyDescent="0.2">
      <c r="A309" s="2">
        <v>17</v>
      </c>
      <c r="B309" s="1" t="s">
        <v>80</v>
      </c>
      <c r="C309" s="4">
        <v>71</v>
      </c>
      <c r="D309" s="8">
        <v>2.27</v>
      </c>
      <c r="E309" s="4">
        <v>24</v>
      </c>
      <c r="F309" s="8">
        <v>1.49</v>
      </c>
      <c r="G309" s="4">
        <v>46</v>
      </c>
      <c r="H309" s="8">
        <v>3.07</v>
      </c>
      <c r="I309" s="4">
        <v>0</v>
      </c>
    </row>
    <row r="310" spans="1:9" x14ac:dyDescent="0.2">
      <c r="A310" s="2">
        <v>18</v>
      </c>
      <c r="B310" s="1" t="s">
        <v>89</v>
      </c>
      <c r="C310" s="4">
        <v>49</v>
      </c>
      <c r="D310" s="8">
        <v>1.57</v>
      </c>
      <c r="E310" s="4">
        <v>11</v>
      </c>
      <c r="F310" s="8">
        <v>0.68</v>
      </c>
      <c r="G310" s="4">
        <v>38</v>
      </c>
      <c r="H310" s="8">
        <v>2.54</v>
      </c>
      <c r="I310" s="4">
        <v>0</v>
      </c>
    </row>
    <row r="311" spans="1:9" x14ac:dyDescent="0.2">
      <c r="A311" s="2">
        <v>19</v>
      </c>
      <c r="B311" s="1" t="s">
        <v>87</v>
      </c>
      <c r="C311" s="4">
        <v>48</v>
      </c>
      <c r="D311" s="8">
        <v>1.54</v>
      </c>
      <c r="E311" s="4">
        <v>8</v>
      </c>
      <c r="F311" s="8">
        <v>0.5</v>
      </c>
      <c r="G311" s="4">
        <v>40</v>
      </c>
      <c r="H311" s="8">
        <v>2.67</v>
      </c>
      <c r="I311" s="4">
        <v>0</v>
      </c>
    </row>
    <row r="312" spans="1:9" x14ac:dyDescent="0.2">
      <c r="A312" s="2">
        <v>20</v>
      </c>
      <c r="B312" s="1" t="s">
        <v>85</v>
      </c>
      <c r="C312" s="4">
        <v>45</v>
      </c>
      <c r="D312" s="8">
        <v>1.44</v>
      </c>
      <c r="E312" s="4">
        <v>34</v>
      </c>
      <c r="F312" s="8">
        <v>2.11</v>
      </c>
      <c r="G312" s="4">
        <v>11</v>
      </c>
      <c r="H312" s="8">
        <v>0.73</v>
      </c>
      <c r="I312" s="4">
        <v>0</v>
      </c>
    </row>
    <row r="313" spans="1:9" x14ac:dyDescent="0.2">
      <c r="A313" s="1"/>
      <c r="C313" s="4"/>
      <c r="D313" s="8"/>
      <c r="E313" s="4"/>
      <c r="F313" s="8"/>
      <c r="G313" s="4"/>
      <c r="H313" s="8"/>
      <c r="I313" s="4"/>
    </row>
    <row r="314" spans="1:9" x14ac:dyDescent="0.2">
      <c r="A314" s="1" t="s">
        <v>14</v>
      </c>
      <c r="C314" s="4"/>
      <c r="D314" s="8"/>
      <c r="E314" s="4"/>
      <c r="F314" s="8"/>
      <c r="G314" s="4"/>
      <c r="H314" s="8"/>
      <c r="I314" s="4"/>
    </row>
    <row r="315" spans="1:9" x14ac:dyDescent="0.2">
      <c r="A315" s="2">
        <v>1</v>
      </c>
      <c r="B315" s="1" t="s">
        <v>82</v>
      </c>
      <c r="C315" s="4">
        <v>232</v>
      </c>
      <c r="D315" s="8">
        <v>12.76</v>
      </c>
      <c r="E315" s="4">
        <v>188</v>
      </c>
      <c r="F315" s="8">
        <v>19.420000000000002</v>
      </c>
      <c r="G315" s="4">
        <v>44</v>
      </c>
      <c r="H315" s="8">
        <v>5.31</v>
      </c>
      <c r="I315" s="4">
        <v>0</v>
      </c>
    </row>
    <row r="316" spans="1:9" x14ac:dyDescent="0.2">
      <c r="A316" s="2">
        <v>2</v>
      </c>
      <c r="B316" s="1" t="s">
        <v>81</v>
      </c>
      <c r="C316" s="4">
        <v>205</v>
      </c>
      <c r="D316" s="8">
        <v>11.28</v>
      </c>
      <c r="E316" s="4">
        <v>181</v>
      </c>
      <c r="F316" s="8">
        <v>18.7</v>
      </c>
      <c r="G316" s="4">
        <v>24</v>
      </c>
      <c r="H316" s="8">
        <v>2.9</v>
      </c>
      <c r="I316" s="4">
        <v>0</v>
      </c>
    </row>
    <row r="317" spans="1:9" x14ac:dyDescent="0.2">
      <c r="A317" s="2">
        <v>3</v>
      </c>
      <c r="B317" s="1" t="s">
        <v>66</v>
      </c>
      <c r="C317" s="4">
        <v>125</v>
      </c>
      <c r="D317" s="8">
        <v>6.88</v>
      </c>
      <c r="E317" s="4">
        <v>23</v>
      </c>
      <c r="F317" s="8">
        <v>2.38</v>
      </c>
      <c r="G317" s="4">
        <v>102</v>
      </c>
      <c r="H317" s="8">
        <v>12.3</v>
      </c>
      <c r="I317" s="4">
        <v>0</v>
      </c>
    </row>
    <row r="318" spans="1:9" x14ac:dyDescent="0.2">
      <c r="A318" s="2">
        <v>4</v>
      </c>
      <c r="B318" s="1" t="s">
        <v>83</v>
      </c>
      <c r="C318" s="4">
        <v>109</v>
      </c>
      <c r="D318" s="8">
        <v>6</v>
      </c>
      <c r="E318" s="4">
        <v>70</v>
      </c>
      <c r="F318" s="8">
        <v>7.23</v>
      </c>
      <c r="G318" s="4">
        <v>24</v>
      </c>
      <c r="H318" s="8">
        <v>2.9</v>
      </c>
      <c r="I318" s="4">
        <v>0</v>
      </c>
    </row>
    <row r="319" spans="1:9" x14ac:dyDescent="0.2">
      <c r="A319" s="2">
        <v>5</v>
      </c>
      <c r="B319" s="1" t="s">
        <v>77</v>
      </c>
      <c r="C319" s="4">
        <v>98</v>
      </c>
      <c r="D319" s="8">
        <v>5.39</v>
      </c>
      <c r="E319" s="4">
        <v>57</v>
      </c>
      <c r="F319" s="8">
        <v>5.89</v>
      </c>
      <c r="G319" s="4">
        <v>41</v>
      </c>
      <c r="H319" s="8">
        <v>4.95</v>
      </c>
      <c r="I319" s="4">
        <v>0</v>
      </c>
    </row>
    <row r="320" spans="1:9" x14ac:dyDescent="0.2">
      <c r="A320" s="2">
        <v>6</v>
      </c>
      <c r="B320" s="1" t="s">
        <v>67</v>
      </c>
      <c r="C320" s="4">
        <v>92</v>
      </c>
      <c r="D320" s="8">
        <v>5.0599999999999996</v>
      </c>
      <c r="E320" s="4">
        <v>42</v>
      </c>
      <c r="F320" s="8">
        <v>4.34</v>
      </c>
      <c r="G320" s="4">
        <v>50</v>
      </c>
      <c r="H320" s="8">
        <v>6.03</v>
      </c>
      <c r="I320" s="4">
        <v>0</v>
      </c>
    </row>
    <row r="321" spans="1:9" x14ac:dyDescent="0.2">
      <c r="A321" s="2">
        <v>7</v>
      </c>
      <c r="B321" s="1" t="s">
        <v>78</v>
      </c>
      <c r="C321" s="4">
        <v>89</v>
      </c>
      <c r="D321" s="8">
        <v>4.9000000000000004</v>
      </c>
      <c r="E321" s="4">
        <v>30</v>
      </c>
      <c r="F321" s="8">
        <v>3.1</v>
      </c>
      <c r="G321" s="4">
        <v>59</v>
      </c>
      <c r="H321" s="8">
        <v>7.12</v>
      </c>
      <c r="I321" s="4">
        <v>0</v>
      </c>
    </row>
    <row r="322" spans="1:9" x14ac:dyDescent="0.2">
      <c r="A322" s="2">
        <v>8</v>
      </c>
      <c r="B322" s="1" t="s">
        <v>68</v>
      </c>
      <c r="C322" s="4">
        <v>79</v>
      </c>
      <c r="D322" s="8">
        <v>4.3499999999999996</v>
      </c>
      <c r="E322" s="4">
        <v>18</v>
      </c>
      <c r="F322" s="8">
        <v>1.86</v>
      </c>
      <c r="G322" s="4">
        <v>61</v>
      </c>
      <c r="H322" s="8">
        <v>7.36</v>
      </c>
      <c r="I322" s="4">
        <v>0</v>
      </c>
    </row>
    <row r="323" spans="1:9" x14ac:dyDescent="0.2">
      <c r="A323" s="2">
        <v>9</v>
      </c>
      <c r="B323" s="1" t="s">
        <v>79</v>
      </c>
      <c r="C323" s="4">
        <v>63</v>
      </c>
      <c r="D323" s="8">
        <v>3.47</v>
      </c>
      <c r="E323" s="4">
        <v>51</v>
      </c>
      <c r="F323" s="8">
        <v>5.27</v>
      </c>
      <c r="G323" s="4">
        <v>12</v>
      </c>
      <c r="H323" s="8">
        <v>1.45</v>
      </c>
      <c r="I323" s="4">
        <v>0</v>
      </c>
    </row>
    <row r="324" spans="1:9" x14ac:dyDescent="0.2">
      <c r="A324" s="2">
        <v>10</v>
      </c>
      <c r="B324" s="1" t="s">
        <v>84</v>
      </c>
      <c r="C324" s="4">
        <v>62</v>
      </c>
      <c r="D324" s="8">
        <v>3.41</v>
      </c>
      <c r="E324" s="4">
        <v>61</v>
      </c>
      <c r="F324" s="8">
        <v>6.3</v>
      </c>
      <c r="G324" s="4">
        <v>1</v>
      </c>
      <c r="H324" s="8">
        <v>0.12</v>
      </c>
      <c r="I324" s="4">
        <v>0</v>
      </c>
    </row>
    <row r="325" spans="1:9" x14ac:dyDescent="0.2">
      <c r="A325" s="2">
        <v>11</v>
      </c>
      <c r="B325" s="1" t="s">
        <v>80</v>
      </c>
      <c r="C325" s="4">
        <v>59</v>
      </c>
      <c r="D325" s="8">
        <v>3.25</v>
      </c>
      <c r="E325" s="4">
        <v>24</v>
      </c>
      <c r="F325" s="8">
        <v>2.48</v>
      </c>
      <c r="G325" s="4">
        <v>35</v>
      </c>
      <c r="H325" s="8">
        <v>4.22</v>
      </c>
      <c r="I325" s="4">
        <v>0</v>
      </c>
    </row>
    <row r="326" spans="1:9" x14ac:dyDescent="0.2">
      <c r="A326" s="2">
        <v>12</v>
      </c>
      <c r="B326" s="1" t="s">
        <v>75</v>
      </c>
      <c r="C326" s="4">
        <v>57</v>
      </c>
      <c r="D326" s="8">
        <v>3.14</v>
      </c>
      <c r="E326" s="4">
        <v>35</v>
      </c>
      <c r="F326" s="8">
        <v>3.62</v>
      </c>
      <c r="G326" s="4">
        <v>22</v>
      </c>
      <c r="H326" s="8">
        <v>2.65</v>
      </c>
      <c r="I326" s="4">
        <v>0</v>
      </c>
    </row>
    <row r="327" spans="1:9" x14ac:dyDescent="0.2">
      <c r="A327" s="2">
        <v>13</v>
      </c>
      <c r="B327" s="1" t="s">
        <v>76</v>
      </c>
      <c r="C327" s="4">
        <v>52</v>
      </c>
      <c r="D327" s="8">
        <v>2.86</v>
      </c>
      <c r="E327" s="4">
        <v>30</v>
      </c>
      <c r="F327" s="8">
        <v>3.1</v>
      </c>
      <c r="G327" s="4">
        <v>22</v>
      </c>
      <c r="H327" s="8">
        <v>2.65</v>
      </c>
      <c r="I327" s="4">
        <v>0</v>
      </c>
    </row>
    <row r="328" spans="1:9" x14ac:dyDescent="0.2">
      <c r="A328" s="2">
        <v>14</v>
      </c>
      <c r="B328" s="1" t="s">
        <v>102</v>
      </c>
      <c r="C328" s="4">
        <v>36</v>
      </c>
      <c r="D328" s="8">
        <v>1.98</v>
      </c>
      <c r="E328" s="4">
        <v>7</v>
      </c>
      <c r="F328" s="8">
        <v>0.72</v>
      </c>
      <c r="G328" s="4">
        <v>29</v>
      </c>
      <c r="H328" s="8">
        <v>3.5</v>
      </c>
      <c r="I328" s="4">
        <v>0</v>
      </c>
    </row>
    <row r="329" spans="1:9" x14ac:dyDescent="0.2">
      <c r="A329" s="2">
        <v>15</v>
      </c>
      <c r="B329" s="1" t="s">
        <v>74</v>
      </c>
      <c r="C329" s="4">
        <v>34</v>
      </c>
      <c r="D329" s="8">
        <v>1.87</v>
      </c>
      <c r="E329" s="4">
        <v>17</v>
      </c>
      <c r="F329" s="8">
        <v>1.76</v>
      </c>
      <c r="G329" s="4">
        <v>17</v>
      </c>
      <c r="H329" s="8">
        <v>2.0499999999999998</v>
      </c>
      <c r="I329" s="4">
        <v>0</v>
      </c>
    </row>
    <row r="330" spans="1:9" x14ac:dyDescent="0.2">
      <c r="A330" s="2">
        <v>16</v>
      </c>
      <c r="B330" s="1" t="s">
        <v>72</v>
      </c>
      <c r="C330" s="4">
        <v>27</v>
      </c>
      <c r="D330" s="8">
        <v>1.49</v>
      </c>
      <c r="E330" s="4">
        <v>8</v>
      </c>
      <c r="F330" s="8">
        <v>0.83</v>
      </c>
      <c r="G330" s="4">
        <v>19</v>
      </c>
      <c r="H330" s="8">
        <v>2.29</v>
      </c>
      <c r="I330" s="4">
        <v>0</v>
      </c>
    </row>
    <row r="331" spans="1:9" x14ac:dyDescent="0.2">
      <c r="A331" s="2">
        <v>16</v>
      </c>
      <c r="B331" s="1" t="s">
        <v>90</v>
      </c>
      <c r="C331" s="4">
        <v>27</v>
      </c>
      <c r="D331" s="8">
        <v>1.49</v>
      </c>
      <c r="E331" s="4">
        <v>12</v>
      </c>
      <c r="F331" s="8">
        <v>1.24</v>
      </c>
      <c r="G331" s="4">
        <v>15</v>
      </c>
      <c r="H331" s="8">
        <v>1.81</v>
      </c>
      <c r="I331" s="4">
        <v>0</v>
      </c>
    </row>
    <row r="332" spans="1:9" x14ac:dyDescent="0.2">
      <c r="A332" s="2">
        <v>18</v>
      </c>
      <c r="B332" s="1" t="s">
        <v>73</v>
      </c>
      <c r="C332" s="4">
        <v>25</v>
      </c>
      <c r="D332" s="8">
        <v>1.38</v>
      </c>
      <c r="E332" s="4">
        <v>12</v>
      </c>
      <c r="F332" s="8">
        <v>1.24</v>
      </c>
      <c r="G332" s="4">
        <v>13</v>
      </c>
      <c r="H332" s="8">
        <v>1.57</v>
      </c>
      <c r="I332" s="4">
        <v>0</v>
      </c>
    </row>
    <row r="333" spans="1:9" x14ac:dyDescent="0.2">
      <c r="A333" s="2">
        <v>19</v>
      </c>
      <c r="B333" s="1" t="s">
        <v>89</v>
      </c>
      <c r="C333" s="4">
        <v>24</v>
      </c>
      <c r="D333" s="8">
        <v>1.32</v>
      </c>
      <c r="E333" s="4">
        <v>6</v>
      </c>
      <c r="F333" s="8">
        <v>0.62</v>
      </c>
      <c r="G333" s="4">
        <v>18</v>
      </c>
      <c r="H333" s="8">
        <v>2.17</v>
      </c>
      <c r="I333" s="4">
        <v>0</v>
      </c>
    </row>
    <row r="334" spans="1:9" x14ac:dyDescent="0.2">
      <c r="A334" s="2">
        <v>20</v>
      </c>
      <c r="B334" s="1" t="s">
        <v>97</v>
      </c>
      <c r="C334" s="4">
        <v>22</v>
      </c>
      <c r="D334" s="8">
        <v>1.21</v>
      </c>
      <c r="E334" s="4">
        <v>0</v>
      </c>
      <c r="F334" s="8">
        <v>0</v>
      </c>
      <c r="G334" s="4">
        <v>22</v>
      </c>
      <c r="H334" s="8">
        <v>2.65</v>
      </c>
      <c r="I334" s="4">
        <v>0</v>
      </c>
    </row>
    <row r="335" spans="1:9" x14ac:dyDescent="0.2">
      <c r="A335" s="2">
        <v>20</v>
      </c>
      <c r="B335" s="1" t="s">
        <v>85</v>
      </c>
      <c r="C335" s="4">
        <v>22</v>
      </c>
      <c r="D335" s="8">
        <v>1.21</v>
      </c>
      <c r="E335" s="4">
        <v>18</v>
      </c>
      <c r="F335" s="8">
        <v>1.86</v>
      </c>
      <c r="G335" s="4">
        <v>4</v>
      </c>
      <c r="H335" s="8">
        <v>0.48</v>
      </c>
      <c r="I335" s="4">
        <v>0</v>
      </c>
    </row>
    <row r="336" spans="1:9" x14ac:dyDescent="0.2">
      <c r="A336" s="1"/>
      <c r="C336" s="4"/>
      <c r="D336" s="8"/>
      <c r="E336" s="4"/>
      <c r="F336" s="8"/>
      <c r="G336" s="4"/>
      <c r="H336" s="8"/>
      <c r="I336" s="4"/>
    </row>
    <row r="337" spans="1:9" x14ac:dyDescent="0.2">
      <c r="A337" s="1" t="s">
        <v>15</v>
      </c>
      <c r="C337" s="4"/>
      <c r="D337" s="8"/>
      <c r="E337" s="4"/>
      <c r="F337" s="8"/>
      <c r="G337" s="4"/>
      <c r="H337" s="8"/>
      <c r="I337" s="4"/>
    </row>
    <row r="338" spans="1:9" x14ac:dyDescent="0.2">
      <c r="A338" s="2">
        <v>1</v>
      </c>
      <c r="B338" s="1" t="s">
        <v>66</v>
      </c>
      <c r="C338" s="4">
        <v>103</v>
      </c>
      <c r="D338" s="8">
        <v>11.94</v>
      </c>
      <c r="E338" s="4">
        <v>54</v>
      </c>
      <c r="F338" s="8">
        <v>9.75</v>
      </c>
      <c r="G338" s="4">
        <v>49</v>
      </c>
      <c r="H338" s="8">
        <v>16.28</v>
      </c>
      <c r="I338" s="4">
        <v>0</v>
      </c>
    </row>
    <row r="339" spans="1:9" x14ac:dyDescent="0.2">
      <c r="A339" s="2">
        <v>2</v>
      </c>
      <c r="B339" s="1" t="s">
        <v>67</v>
      </c>
      <c r="C339" s="4">
        <v>84</v>
      </c>
      <c r="D339" s="8">
        <v>9.73</v>
      </c>
      <c r="E339" s="4">
        <v>59</v>
      </c>
      <c r="F339" s="8">
        <v>10.65</v>
      </c>
      <c r="G339" s="4">
        <v>25</v>
      </c>
      <c r="H339" s="8">
        <v>8.31</v>
      </c>
      <c r="I339" s="4">
        <v>0</v>
      </c>
    </row>
    <row r="340" spans="1:9" x14ac:dyDescent="0.2">
      <c r="A340" s="2">
        <v>3</v>
      </c>
      <c r="B340" s="1" t="s">
        <v>82</v>
      </c>
      <c r="C340" s="4">
        <v>56</v>
      </c>
      <c r="D340" s="8">
        <v>6.49</v>
      </c>
      <c r="E340" s="4">
        <v>49</v>
      </c>
      <c r="F340" s="8">
        <v>8.84</v>
      </c>
      <c r="G340" s="4">
        <v>7</v>
      </c>
      <c r="H340" s="8">
        <v>2.33</v>
      </c>
      <c r="I340" s="4">
        <v>0</v>
      </c>
    </row>
    <row r="341" spans="1:9" x14ac:dyDescent="0.2">
      <c r="A341" s="2">
        <v>4</v>
      </c>
      <c r="B341" s="1" t="s">
        <v>69</v>
      </c>
      <c r="C341" s="4">
        <v>50</v>
      </c>
      <c r="D341" s="8">
        <v>5.79</v>
      </c>
      <c r="E341" s="4">
        <v>37</v>
      </c>
      <c r="F341" s="8">
        <v>6.68</v>
      </c>
      <c r="G341" s="4">
        <v>13</v>
      </c>
      <c r="H341" s="8">
        <v>4.32</v>
      </c>
      <c r="I341" s="4">
        <v>0</v>
      </c>
    </row>
    <row r="342" spans="1:9" x14ac:dyDescent="0.2">
      <c r="A342" s="2">
        <v>4</v>
      </c>
      <c r="B342" s="1" t="s">
        <v>81</v>
      </c>
      <c r="C342" s="4">
        <v>50</v>
      </c>
      <c r="D342" s="8">
        <v>5.79</v>
      </c>
      <c r="E342" s="4">
        <v>47</v>
      </c>
      <c r="F342" s="8">
        <v>8.48</v>
      </c>
      <c r="G342" s="4">
        <v>3</v>
      </c>
      <c r="H342" s="8">
        <v>1</v>
      </c>
      <c r="I342" s="4">
        <v>0</v>
      </c>
    </row>
    <row r="343" spans="1:9" x14ac:dyDescent="0.2">
      <c r="A343" s="2">
        <v>6</v>
      </c>
      <c r="B343" s="1" t="s">
        <v>77</v>
      </c>
      <c r="C343" s="4">
        <v>44</v>
      </c>
      <c r="D343" s="8">
        <v>5.0999999999999996</v>
      </c>
      <c r="E343" s="4">
        <v>26</v>
      </c>
      <c r="F343" s="8">
        <v>4.6900000000000004</v>
      </c>
      <c r="G343" s="4">
        <v>18</v>
      </c>
      <c r="H343" s="8">
        <v>5.98</v>
      </c>
      <c r="I343" s="4">
        <v>0</v>
      </c>
    </row>
    <row r="344" spans="1:9" x14ac:dyDescent="0.2">
      <c r="A344" s="2">
        <v>7</v>
      </c>
      <c r="B344" s="1" t="s">
        <v>76</v>
      </c>
      <c r="C344" s="4">
        <v>39</v>
      </c>
      <c r="D344" s="8">
        <v>4.5199999999999996</v>
      </c>
      <c r="E344" s="4">
        <v>27</v>
      </c>
      <c r="F344" s="8">
        <v>4.87</v>
      </c>
      <c r="G344" s="4">
        <v>12</v>
      </c>
      <c r="H344" s="8">
        <v>3.99</v>
      </c>
      <c r="I344" s="4">
        <v>0</v>
      </c>
    </row>
    <row r="345" spans="1:9" x14ac:dyDescent="0.2">
      <c r="A345" s="2">
        <v>8</v>
      </c>
      <c r="B345" s="1" t="s">
        <v>68</v>
      </c>
      <c r="C345" s="4">
        <v>28</v>
      </c>
      <c r="D345" s="8">
        <v>3.24</v>
      </c>
      <c r="E345" s="4">
        <v>18</v>
      </c>
      <c r="F345" s="8">
        <v>3.25</v>
      </c>
      <c r="G345" s="4">
        <v>10</v>
      </c>
      <c r="H345" s="8">
        <v>3.32</v>
      </c>
      <c r="I345" s="4">
        <v>0</v>
      </c>
    </row>
    <row r="346" spans="1:9" x14ac:dyDescent="0.2">
      <c r="A346" s="2">
        <v>9</v>
      </c>
      <c r="B346" s="1" t="s">
        <v>92</v>
      </c>
      <c r="C346" s="4">
        <v>27</v>
      </c>
      <c r="D346" s="8">
        <v>3.13</v>
      </c>
      <c r="E346" s="4">
        <v>14</v>
      </c>
      <c r="F346" s="8">
        <v>2.5299999999999998</v>
      </c>
      <c r="G346" s="4">
        <v>13</v>
      </c>
      <c r="H346" s="8">
        <v>4.32</v>
      </c>
      <c r="I346" s="4">
        <v>0</v>
      </c>
    </row>
    <row r="347" spans="1:9" x14ac:dyDescent="0.2">
      <c r="A347" s="2">
        <v>9</v>
      </c>
      <c r="B347" s="1" t="s">
        <v>83</v>
      </c>
      <c r="C347" s="4">
        <v>27</v>
      </c>
      <c r="D347" s="8">
        <v>3.13</v>
      </c>
      <c r="E347" s="4">
        <v>20</v>
      </c>
      <c r="F347" s="8">
        <v>3.61</v>
      </c>
      <c r="G347" s="4">
        <v>4</v>
      </c>
      <c r="H347" s="8">
        <v>1.33</v>
      </c>
      <c r="I347" s="4">
        <v>0</v>
      </c>
    </row>
    <row r="348" spans="1:9" x14ac:dyDescent="0.2">
      <c r="A348" s="2">
        <v>11</v>
      </c>
      <c r="B348" s="1" t="s">
        <v>98</v>
      </c>
      <c r="C348" s="4">
        <v>26</v>
      </c>
      <c r="D348" s="8">
        <v>3.01</v>
      </c>
      <c r="E348" s="4">
        <v>13</v>
      </c>
      <c r="F348" s="8">
        <v>2.35</v>
      </c>
      <c r="G348" s="4">
        <v>13</v>
      </c>
      <c r="H348" s="8">
        <v>4.32</v>
      </c>
      <c r="I348" s="4">
        <v>0</v>
      </c>
    </row>
    <row r="349" spans="1:9" x14ac:dyDescent="0.2">
      <c r="A349" s="2">
        <v>12</v>
      </c>
      <c r="B349" s="1" t="s">
        <v>71</v>
      </c>
      <c r="C349" s="4">
        <v>24</v>
      </c>
      <c r="D349" s="8">
        <v>2.78</v>
      </c>
      <c r="E349" s="4">
        <v>13</v>
      </c>
      <c r="F349" s="8">
        <v>2.35</v>
      </c>
      <c r="G349" s="4">
        <v>11</v>
      </c>
      <c r="H349" s="8">
        <v>3.65</v>
      </c>
      <c r="I349" s="4">
        <v>0</v>
      </c>
    </row>
    <row r="350" spans="1:9" x14ac:dyDescent="0.2">
      <c r="A350" s="2">
        <v>12</v>
      </c>
      <c r="B350" s="1" t="s">
        <v>75</v>
      </c>
      <c r="C350" s="4">
        <v>24</v>
      </c>
      <c r="D350" s="8">
        <v>2.78</v>
      </c>
      <c r="E350" s="4">
        <v>18</v>
      </c>
      <c r="F350" s="8">
        <v>3.25</v>
      </c>
      <c r="G350" s="4">
        <v>6</v>
      </c>
      <c r="H350" s="8">
        <v>1.99</v>
      </c>
      <c r="I350" s="4">
        <v>0</v>
      </c>
    </row>
    <row r="351" spans="1:9" x14ac:dyDescent="0.2">
      <c r="A351" s="2">
        <v>14</v>
      </c>
      <c r="B351" s="1" t="s">
        <v>74</v>
      </c>
      <c r="C351" s="4">
        <v>19</v>
      </c>
      <c r="D351" s="8">
        <v>2.2000000000000002</v>
      </c>
      <c r="E351" s="4">
        <v>13</v>
      </c>
      <c r="F351" s="8">
        <v>2.35</v>
      </c>
      <c r="G351" s="4">
        <v>6</v>
      </c>
      <c r="H351" s="8">
        <v>1.99</v>
      </c>
      <c r="I351" s="4">
        <v>0</v>
      </c>
    </row>
    <row r="352" spans="1:9" x14ac:dyDescent="0.2">
      <c r="A352" s="2">
        <v>15</v>
      </c>
      <c r="B352" s="1" t="s">
        <v>103</v>
      </c>
      <c r="C352" s="4">
        <v>18</v>
      </c>
      <c r="D352" s="8">
        <v>2.09</v>
      </c>
      <c r="E352" s="4">
        <v>8</v>
      </c>
      <c r="F352" s="8">
        <v>1.44</v>
      </c>
      <c r="G352" s="4">
        <v>10</v>
      </c>
      <c r="H352" s="8">
        <v>3.32</v>
      </c>
      <c r="I352" s="4">
        <v>0</v>
      </c>
    </row>
    <row r="353" spans="1:9" x14ac:dyDescent="0.2">
      <c r="A353" s="2">
        <v>16</v>
      </c>
      <c r="B353" s="1" t="s">
        <v>93</v>
      </c>
      <c r="C353" s="4">
        <v>17</v>
      </c>
      <c r="D353" s="8">
        <v>1.97</v>
      </c>
      <c r="E353" s="4">
        <v>11</v>
      </c>
      <c r="F353" s="8">
        <v>1.99</v>
      </c>
      <c r="G353" s="4">
        <v>6</v>
      </c>
      <c r="H353" s="8">
        <v>1.99</v>
      </c>
      <c r="I353" s="4">
        <v>0</v>
      </c>
    </row>
    <row r="354" spans="1:9" x14ac:dyDescent="0.2">
      <c r="A354" s="2">
        <v>16</v>
      </c>
      <c r="B354" s="1" t="s">
        <v>84</v>
      </c>
      <c r="C354" s="4">
        <v>17</v>
      </c>
      <c r="D354" s="8">
        <v>1.97</v>
      </c>
      <c r="E354" s="4">
        <v>17</v>
      </c>
      <c r="F354" s="8">
        <v>3.07</v>
      </c>
      <c r="G354" s="4">
        <v>0</v>
      </c>
      <c r="H354" s="8">
        <v>0</v>
      </c>
      <c r="I354" s="4">
        <v>0</v>
      </c>
    </row>
    <row r="355" spans="1:9" x14ac:dyDescent="0.2">
      <c r="A355" s="2">
        <v>18</v>
      </c>
      <c r="B355" s="1" t="s">
        <v>80</v>
      </c>
      <c r="C355" s="4">
        <v>16</v>
      </c>
      <c r="D355" s="8">
        <v>1.85</v>
      </c>
      <c r="E355" s="4">
        <v>8</v>
      </c>
      <c r="F355" s="8">
        <v>1.44</v>
      </c>
      <c r="G355" s="4">
        <v>8</v>
      </c>
      <c r="H355" s="8">
        <v>2.66</v>
      </c>
      <c r="I355" s="4">
        <v>0</v>
      </c>
    </row>
    <row r="356" spans="1:9" x14ac:dyDescent="0.2">
      <c r="A356" s="2">
        <v>19</v>
      </c>
      <c r="B356" s="1" t="s">
        <v>72</v>
      </c>
      <c r="C356" s="4">
        <v>15</v>
      </c>
      <c r="D356" s="8">
        <v>1.74</v>
      </c>
      <c r="E356" s="4">
        <v>8</v>
      </c>
      <c r="F356" s="8">
        <v>1.44</v>
      </c>
      <c r="G356" s="4">
        <v>7</v>
      </c>
      <c r="H356" s="8">
        <v>2.33</v>
      </c>
      <c r="I356" s="4">
        <v>0</v>
      </c>
    </row>
    <row r="357" spans="1:9" x14ac:dyDescent="0.2">
      <c r="A357" s="2">
        <v>20</v>
      </c>
      <c r="B357" s="1" t="s">
        <v>85</v>
      </c>
      <c r="C357" s="4">
        <v>13</v>
      </c>
      <c r="D357" s="8">
        <v>1.51</v>
      </c>
      <c r="E357" s="4">
        <v>8</v>
      </c>
      <c r="F357" s="8">
        <v>1.44</v>
      </c>
      <c r="G357" s="4">
        <v>5</v>
      </c>
      <c r="H357" s="8">
        <v>1.66</v>
      </c>
      <c r="I357" s="4">
        <v>0</v>
      </c>
    </row>
    <row r="358" spans="1:9" x14ac:dyDescent="0.2">
      <c r="A358" s="1"/>
      <c r="C358" s="4"/>
      <c r="D358" s="8"/>
      <c r="E358" s="4"/>
      <c r="F358" s="8"/>
      <c r="G358" s="4"/>
      <c r="H358" s="8"/>
      <c r="I358" s="4"/>
    </row>
    <row r="359" spans="1:9" x14ac:dyDescent="0.2">
      <c r="A359" s="1" t="s">
        <v>16</v>
      </c>
      <c r="C359" s="4"/>
      <c r="D359" s="8"/>
      <c r="E359" s="4"/>
      <c r="F359" s="8"/>
      <c r="G359" s="4"/>
      <c r="H359" s="8"/>
      <c r="I359" s="4"/>
    </row>
    <row r="360" spans="1:9" x14ac:dyDescent="0.2">
      <c r="A360" s="2">
        <v>1</v>
      </c>
      <c r="B360" s="1" t="s">
        <v>78</v>
      </c>
      <c r="C360" s="4">
        <v>114</v>
      </c>
      <c r="D360" s="8">
        <v>11.03</v>
      </c>
      <c r="E360" s="4">
        <v>75</v>
      </c>
      <c r="F360" s="8">
        <v>14.4</v>
      </c>
      <c r="G360" s="4">
        <v>39</v>
      </c>
      <c r="H360" s="8">
        <v>7.62</v>
      </c>
      <c r="I360" s="4">
        <v>0</v>
      </c>
    </row>
    <row r="361" spans="1:9" x14ac:dyDescent="0.2">
      <c r="A361" s="2">
        <v>2</v>
      </c>
      <c r="B361" s="1" t="s">
        <v>82</v>
      </c>
      <c r="C361" s="4">
        <v>95</v>
      </c>
      <c r="D361" s="8">
        <v>9.19</v>
      </c>
      <c r="E361" s="4">
        <v>88</v>
      </c>
      <c r="F361" s="8">
        <v>16.89</v>
      </c>
      <c r="G361" s="4">
        <v>7</v>
      </c>
      <c r="H361" s="8">
        <v>1.37</v>
      </c>
      <c r="I361" s="4">
        <v>0</v>
      </c>
    </row>
    <row r="362" spans="1:9" x14ac:dyDescent="0.2">
      <c r="A362" s="2">
        <v>3</v>
      </c>
      <c r="B362" s="1" t="s">
        <v>81</v>
      </c>
      <c r="C362" s="4">
        <v>79</v>
      </c>
      <c r="D362" s="8">
        <v>7.64</v>
      </c>
      <c r="E362" s="4">
        <v>70</v>
      </c>
      <c r="F362" s="8">
        <v>13.44</v>
      </c>
      <c r="G362" s="4">
        <v>9</v>
      </c>
      <c r="H362" s="8">
        <v>1.76</v>
      </c>
      <c r="I362" s="4">
        <v>0</v>
      </c>
    </row>
    <row r="363" spans="1:9" x14ac:dyDescent="0.2">
      <c r="A363" s="2">
        <v>4</v>
      </c>
      <c r="B363" s="1" t="s">
        <v>66</v>
      </c>
      <c r="C363" s="4">
        <v>72</v>
      </c>
      <c r="D363" s="8">
        <v>6.96</v>
      </c>
      <c r="E363" s="4">
        <v>15</v>
      </c>
      <c r="F363" s="8">
        <v>2.88</v>
      </c>
      <c r="G363" s="4">
        <v>57</v>
      </c>
      <c r="H363" s="8">
        <v>11.13</v>
      </c>
      <c r="I363" s="4">
        <v>0</v>
      </c>
    </row>
    <row r="364" spans="1:9" x14ac:dyDescent="0.2">
      <c r="A364" s="2">
        <v>4</v>
      </c>
      <c r="B364" s="1" t="s">
        <v>77</v>
      </c>
      <c r="C364" s="4">
        <v>72</v>
      </c>
      <c r="D364" s="8">
        <v>6.96</v>
      </c>
      <c r="E364" s="4">
        <v>25</v>
      </c>
      <c r="F364" s="8">
        <v>4.8</v>
      </c>
      <c r="G364" s="4">
        <v>47</v>
      </c>
      <c r="H364" s="8">
        <v>9.18</v>
      </c>
      <c r="I364" s="4">
        <v>0</v>
      </c>
    </row>
    <row r="365" spans="1:9" x14ac:dyDescent="0.2">
      <c r="A365" s="2">
        <v>6</v>
      </c>
      <c r="B365" s="1" t="s">
        <v>67</v>
      </c>
      <c r="C365" s="4">
        <v>47</v>
      </c>
      <c r="D365" s="8">
        <v>4.55</v>
      </c>
      <c r="E365" s="4">
        <v>14</v>
      </c>
      <c r="F365" s="8">
        <v>2.69</v>
      </c>
      <c r="G365" s="4">
        <v>33</v>
      </c>
      <c r="H365" s="8">
        <v>6.45</v>
      </c>
      <c r="I365" s="4">
        <v>0</v>
      </c>
    </row>
    <row r="366" spans="1:9" x14ac:dyDescent="0.2">
      <c r="A366" s="2">
        <v>7</v>
      </c>
      <c r="B366" s="1" t="s">
        <v>83</v>
      </c>
      <c r="C366" s="4">
        <v>42</v>
      </c>
      <c r="D366" s="8">
        <v>4.0599999999999996</v>
      </c>
      <c r="E366" s="4">
        <v>26</v>
      </c>
      <c r="F366" s="8">
        <v>4.99</v>
      </c>
      <c r="G366" s="4">
        <v>15</v>
      </c>
      <c r="H366" s="8">
        <v>2.93</v>
      </c>
      <c r="I366" s="4">
        <v>1</v>
      </c>
    </row>
    <row r="367" spans="1:9" x14ac:dyDescent="0.2">
      <c r="A367" s="2">
        <v>7</v>
      </c>
      <c r="B367" s="1" t="s">
        <v>84</v>
      </c>
      <c r="C367" s="4">
        <v>42</v>
      </c>
      <c r="D367" s="8">
        <v>4.0599999999999996</v>
      </c>
      <c r="E367" s="4">
        <v>38</v>
      </c>
      <c r="F367" s="8">
        <v>7.29</v>
      </c>
      <c r="G367" s="4">
        <v>4</v>
      </c>
      <c r="H367" s="8">
        <v>0.78</v>
      </c>
      <c r="I367" s="4">
        <v>0</v>
      </c>
    </row>
    <row r="368" spans="1:9" x14ac:dyDescent="0.2">
      <c r="A368" s="2">
        <v>9</v>
      </c>
      <c r="B368" s="1" t="s">
        <v>76</v>
      </c>
      <c r="C368" s="4">
        <v>33</v>
      </c>
      <c r="D368" s="8">
        <v>3.19</v>
      </c>
      <c r="E368" s="4">
        <v>23</v>
      </c>
      <c r="F368" s="8">
        <v>4.41</v>
      </c>
      <c r="G368" s="4">
        <v>10</v>
      </c>
      <c r="H368" s="8">
        <v>1.95</v>
      </c>
      <c r="I368" s="4">
        <v>0</v>
      </c>
    </row>
    <row r="369" spans="1:9" x14ac:dyDescent="0.2">
      <c r="A369" s="2">
        <v>10</v>
      </c>
      <c r="B369" s="1" t="s">
        <v>69</v>
      </c>
      <c r="C369" s="4">
        <v>28</v>
      </c>
      <c r="D369" s="8">
        <v>2.71</v>
      </c>
      <c r="E369" s="4">
        <v>13</v>
      </c>
      <c r="F369" s="8">
        <v>2.5</v>
      </c>
      <c r="G369" s="4">
        <v>15</v>
      </c>
      <c r="H369" s="8">
        <v>2.93</v>
      </c>
      <c r="I369" s="4">
        <v>0</v>
      </c>
    </row>
    <row r="370" spans="1:9" x14ac:dyDescent="0.2">
      <c r="A370" s="2">
        <v>11</v>
      </c>
      <c r="B370" s="1" t="s">
        <v>79</v>
      </c>
      <c r="C370" s="4">
        <v>27</v>
      </c>
      <c r="D370" s="8">
        <v>2.61</v>
      </c>
      <c r="E370" s="4">
        <v>17</v>
      </c>
      <c r="F370" s="8">
        <v>3.26</v>
      </c>
      <c r="G370" s="4">
        <v>10</v>
      </c>
      <c r="H370" s="8">
        <v>1.95</v>
      </c>
      <c r="I370" s="4">
        <v>0</v>
      </c>
    </row>
    <row r="371" spans="1:9" x14ac:dyDescent="0.2">
      <c r="A371" s="2">
        <v>12</v>
      </c>
      <c r="B371" s="1" t="s">
        <v>68</v>
      </c>
      <c r="C371" s="4">
        <v>26</v>
      </c>
      <c r="D371" s="8">
        <v>2.5099999999999998</v>
      </c>
      <c r="E371" s="4">
        <v>7</v>
      </c>
      <c r="F371" s="8">
        <v>1.34</v>
      </c>
      <c r="G371" s="4">
        <v>19</v>
      </c>
      <c r="H371" s="8">
        <v>3.71</v>
      </c>
      <c r="I371" s="4">
        <v>0</v>
      </c>
    </row>
    <row r="372" spans="1:9" x14ac:dyDescent="0.2">
      <c r="A372" s="2">
        <v>13</v>
      </c>
      <c r="B372" s="1" t="s">
        <v>80</v>
      </c>
      <c r="C372" s="4">
        <v>25</v>
      </c>
      <c r="D372" s="8">
        <v>2.42</v>
      </c>
      <c r="E372" s="4">
        <v>9</v>
      </c>
      <c r="F372" s="8">
        <v>1.73</v>
      </c>
      <c r="G372" s="4">
        <v>16</v>
      </c>
      <c r="H372" s="8">
        <v>3.13</v>
      </c>
      <c r="I372" s="4">
        <v>0</v>
      </c>
    </row>
    <row r="373" spans="1:9" x14ac:dyDescent="0.2">
      <c r="A373" s="2">
        <v>14</v>
      </c>
      <c r="B373" s="1" t="s">
        <v>71</v>
      </c>
      <c r="C373" s="4">
        <v>22</v>
      </c>
      <c r="D373" s="8">
        <v>2.13</v>
      </c>
      <c r="E373" s="4">
        <v>8</v>
      </c>
      <c r="F373" s="8">
        <v>1.54</v>
      </c>
      <c r="G373" s="4">
        <v>14</v>
      </c>
      <c r="H373" s="8">
        <v>2.73</v>
      </c>
      <c r="I373" s="4">
        <v>0</v>
      </c>
    </row>
    <row r="374" spans="1:9" x14ac:dyDescent="0.2">
      <c r="A374" s="2">
        <v>15</v>
      </c>
      <c r="B374" s="1" t="s">
        <v>75</v>
      </c>
      <c r="C374" s="4">
        <v>21</v>
      </c>
      <c r="D374" s="8">
        <v>2.0299999999999998</v>
      </c>
      <c r="E374" s="4">
        <v>14</v>
      </c>
      <c r="F374" s="8">
        <v>2.69</v>
      </c>
      <c r="G374" s="4">
        <v>7</v>
      </c>
      <c r="H374" s="8">
        <v>1.37</v>
      </c>
      <c r="I374" s="4">
        <v>0</v>
      </c>
    </row>
    <row r="375" spans="1:9" x14ac:dyDescent="0.2">
      <c r="A375" s="2">
        <v>16</v>
      </c>
      <c r="B375" s="1" t="s">
        <v>72</v>
      </c>
      <c r="C375" s="4">
        <v>18</v>
      </c>
      <c r="D375" s="8">
        <v>1.74</v>
      </c>
      <c r="E375" s="4">
        <v>3</v>
      </c>
      <c r="F375" s="8">
        <v>0.57999999999999996</v>
      </c>
      <c r="G375" s="4">
        <v>15</v>
      </c>
      <c r="H375" s="8">
        <v>2.93</v>
      </c>
      <c r="I375" s="4">
        <v>0</v>
      </c>
    </row>
    <row r="376" spans="1:9" x14ac:dyDescent="0.2">
      <c r="A376" s="2">
        <v>16</v>
      </c>
      <c r="B376" s="1" t="s">
        <v>85</v>
      </c>
      <c r="C376" s="4">
        <v>18</v>
      </c>
      <c r="D376" s="8">
        <v>1.74</v>
      </c>
      <c r="E376" s="4">
        <v>13</v>
      </c>
      <c r="F376" s="8">
        <v>2.5</v>
      </c>
      <c r="G376" s="4">
        <v>5</v>
      </c>
      <c r="H376" s="8">
        <v>0.98</v>
      </c>
      <c r="I376" s="4">
        <v>0</v>
      </c>
    </row>
    <row r="377" spans="1:9" x14ac:dyDescent="0.2">
      <c r="A377" s="2">
        <v>18</v>
      </c>
      <c r="B377" s="1" t="s">
        <v>102</v>
      </c>
      <c r="C377" s="4">
        <v>16</v>
      </c>
      <c r="D377" s="8">
        <v>1.55</v>
      </c>
      <c r="E377" s="4">
        <v>0</v>
      </c>
      <c r="F377" s="8">
        <v>0</v>
      </c>
      <c r="G377" s="4">
        <v>16</v>
      </c>
      <c r="H377" s="8">
        <v>3.13</v>
      </c>
      <c r="I377" s="4">
        <v>0</v>
      </c>
    </row>
    <row r="378" spans="1:9" x14ac:dyDescent="0.2">
      <c r="A378" s="2">
        <v>19</v>
      </c>
      <c r="B378" s="1" t="s">
        <v>73</v>
      </c>
      <c r="C378" s="4">
        <v>14</v>
      </c>
      <c r="D378" s="8">
        <v>1.35</v>
      </c>
      <c r="E378" s="4">
        <v>3</v>
      </c>
      <c r="F378" s="8">
        <v>0.57999999999999996</v>
      </c>
      <c r="G378" s="4">
        <v>11</v>
      </c>
      <c r="H378" s="8">
        <v>2.15</v>
      </c>
      <c r="I378" s="4">
        <v>0</v>
      </c>
    </row>
    <row r="379" spans="1:9" x14ac:dyDescent="0.2">
      <c r="A379" s="2">
        <v>19</v>
      </c>
      <c r="B379" s="1" t="s">
        <v>88</v>
      </c>
      <c r="C379" s="4">
        <v>14</v>
      </c>
      <c r="D379" s="8">
        <v>1.35</v>
      </c>
      <c r="E379" s="4">
        <v>1</v>
      </c>
      <c r="F379" s="8">
        <v>0.19</v>
      </c>
      <c r="G379" s="4">
        <v>13</v>
      </c>
      <c r="H379" s="8">
        <v>2.54</v>
      </c>
      <c r="I379" s="4">
        <v>0</v>
      </c>
    </row>
    <row r="380" spans="1:9" x14ac:dyDescent="0.2">
      <c r="A380" s="1"/>
      <c r="C380" s="4"/>
      <c r="D380" s="8"/>
      <c r="E380" s="4"/>
      <c r="F380" s="8"/>
      <c r="G380" s="4"/>
      <c r="H380" s="8"/>
      <c r="I380" s="4"/>
    </row>
    <row r="381" spans="1:9" x14ac:dyDescent="0.2">
      <c r="A381" s="1" t="s">
        <v>17</v>
      </c>
      <c r="C381" s="4"/>
      <c r="D381" s="8"/>
      <c r="E381" s="4"/>
      <c r="F381" s="8"/>
      <c r="G381" s="4"/>
      <c r="H381" s="8"/>
      <c r="I381" s="4"/>
    </row>
    <row r="382" spans="1:9" x14ac:dyDescent="0.2">
      <c r="A382" s="2">
        <v>1</v>
      </c>
      <c r="B382" s="1" t="s">
        <v>81</v>
      </c>
      <c r="C382" s="4">
        <v>125</v>
      </c>
      <c r="D382" s="8">
        <v>13.77</v>
      </c>
      <c r="E382" s="4">
        <v>117</v>
      </c>
      <c r="F382" s="8">
        <v>19.53</v>
      </c>
      <c r="G382" s="4">
        <v>8</v>
      </c>
      <c r="H382" s="8">
        <v>2.72</v>
      </c>
      <c r="I382" s="4">
        <v>0</v>
      </c>
    </row>
    <row r="383" spans="1:9" x14ac:dyDescent="0.2">
      <c r="A383" s="2">
        <v>2</v>
      </c>
      <c r="B383" s="1" t="s">
        <v>82</v>
      </c>
      <c r="C383" s="4">
        <v>95</v>
      </c>
      <c r="D383" s="8">
        <v>10.46</v>
      </c>
      <c r="E383" s="4">
        <v>87</v>
      </c>
      <c r="F383" s="8">
        <v>14.52</v>
      </c>
      <c r="G383" s="4">
        <v>8</v>
      </c>
      <c r="H383" s="8">
        <v>2.72</v>
      </c>
      <c r="I383" s="4">
        <v>0</v>
      </c>
    </row>
    <row r="384" spans="1:9" x14ac:dyDescent="0.2">
      <c r="A384" s="2">
        <v>3</v>
      </c>
      <c r="B384" s="1" t="s">
        <v>77</v>
      </c>
      <c r="C384" s="4">
        <v>73</v>
      </c>
      <c r="D384" s="8">
        <v>8.0399999999999991</v>
      </c>
      <c r="E384" s="4">
        <v>48</v>
      </c>
      <c r="F384" s="8">
        <v>8.01</v>
      </c>
      <c r="G384" s="4">
        <v>25</v>
      </c>
      <c r="H384" s="8">
        <v>8.5</v>
      </c>
      <c r="I384" s="4">
        <v>0</v>
      </c>
    </row>
    <row r="385" spans="1:9" x14ac:dyDescent="0.2">
      <c r="A385" s="2">
        <v>4</v>
      </c>
      <c r="B385" s="1" t="s">
        <v>66</v>
      </c>
      <c r="C385" s="4">
        <v>71</v>
      </c>
      <c r="D385" s="8">
        <v>7.82</v>
      </c>
      <c r="E385" s="4">
        <v>33</v>
      </c>
      <c r="F385" s="8">
        <v>5.51</v>
      </c>
      <c r="G385" s="4">
        <v>38</v>
      </c>
      <c r="H385" s="8">
        <v>12.93</v>
      </c>
      <c r="I385" s="4">
        <v>0</v>
      </c>
    </row>
    <row r="386" spans="1:9" x14ac:dyDescent="0.2">
      <c r="A386" s="2">
        <v>5</v>
      </c>
      <c r="B386" s="1" t="s">
        <v>83</v>
      </c>
      <c r="C386" s="4">
        <v>53</v>
      </c>
      <c r="D386" s="8">
        <v>5.84</v>
      </c>
      <c r="E386" s="4">
        <v>44</v>
      </c>
      <c r="F386" s="8">
        <v>7.35</v>
      </c>
      <c r="G386" s="4">
        <v>5</v>
      </c>
      <c r="H386" s="8">
        <v>1.7</v>
      </c>
      <c r="I386" s="4">
        <v>0</v>
      </c>
    </row>
    <row r="387" spans="1:9" x14ac:dyDescent="0.2">
      <c r="A387" s="2">
        <v>6</v>
      </c>
      <c r="B387" s="1" t="s">
        <v>75</v>
      </c>
      <c r="C387" s="4">
        <v>49</v>
      </c>
      <c r="D387" s="8">
        <v>5.4</v>
      </c>
      <c r="E387" s="4">
        <v>40</v>
      </c>
      <c r="F387" s="8">
        <v>6.68</v>
      </c>
      <c r="G387" s="4">
        <v>9</v>
      </c>
      <c r="H387" s="8">
        <v>3.06</v>
      </c>
      <c r="I387" s="4">
        <v>0</v>
      </c>
    </row>
    <row r="388" spans="1:9" x14ac:dyDescent="0.2">
      <c r="A388" s="2">
        <v>7</v>
      </c>
      <c r="B388" s="1" t="s">
        <v>84</v>
      </c>
      <c r="C388" s="4">
        <v>42</v>
      </c>
      <c r="D388" s="8">
        <v>4.63</v>
      </c>
      <c r="E388" s="4">
        <v>41</v>
      </c>
      <c r="F388" s="8">
        <v>6.84</v>
      </c>
      <c r="G388" s="4">
        <v>1</v>
      </c>
      <c r="H388" s="8">
        <v>0.34</v>
      </c>
      <c r="I388" s="4">
        <v>0</v>
      </c>
    </row>
    <row r="389" spans="1:9" x14ac:dyDescent="0.2">
      <c r="A389" s="2">
        <v>8</v>
      </c>
      <c r="B389" s="1" t="s">
        <v>67</v>
      </c>
      <c r="C389" s="4">
        <v>40</v>
      </c>
      <c r="D389" s="8">
        <v>4.41</v>
      </c>
      <c r="E389" s="4">
        <v>25</v>
      </c>
      <c r="F389" s="8">
        <v>4.17</v>
      </c>
      <c r="G389" s="4">
        <v>15</v>
      </c>
      <c r="H389" s="8">
        <v>5.0999999999999996</v>
      </c>
      <c r="I389" s="4">
        <v>0</v>
      </c>
    </row>
    <row r="390" spans="1:9" x14ac:dyDescent="0.2">
      <c r="A390" s="2">
        <v>9</v>
      </c>
      <c r="B390" s="1" t="s">
        <v>95</v>
      </c>
      <c r="C390" s="4">
        <v>32</v>
      </c>
      <c r="D390" s="8">
        <v>3.52</v>
      </c>
      <c r="E390" s="4">
        <v>28</v>
      </c>
      <c r="F390" s="8">
        <v>4.67</v>
      </c>
      <c r="G390" s="4">
        <v>4</v>
      </c>
      <c r="H390" s="8">
        <v>1.36</v>
      </c>
      <c r="I390" s="4">
        <v>0</v>
      </c>
    </row>
    <row r="391" spans="1:9" x14ac:dyDescent="0.2">
      <c r="A391" s="2">
        <v>10</v>
      </c>
      <c r="B391" s="1" t="s">
        <v>76</v>
      </c>
      <c r="C391" s="4">
        <v>29</v>
      </c>
      <c r="D391" s="8">
        <v>3.19</v>
      </c>
      <c r="E391" s="4">
        <v>16</v>
      </c>
      <c r="F391" s="8">
        <v>2.67</v>
      </c>
      <c r="G391" s="4">
        <v>13</v>
      </c>
      <c r="H391" s="8">
        <v>4.42</v>
      </c>
      <c r="I391" s="4">
        <v>0</v>
      </c>
    </row>
    <row r="392" spans="1:9" x14ac:dyDescent="0.2">
      <c r="A392" s="2">
        <v>11</v>
      </c>
      <c r="B392" s="1" t="s">
        <v>80</v>
      </c>
      <c r="C392" s="4">
        <v>26</v>
      </c>
      <c r="D392" s="8">
        <v>2.86</v>
      </c>
      <c r="E392" s="4">
        <v>7</v>
      </c>
      <c r="F392" s="8">
        <v>1.17</v>
      </c>
      <c r="G392" s="4">
        <v>18</v>
      </c>
      <c r="H392" s="8">
        <v>6.12</v>
      </c>
      <c r="I392" s="4">
        <v>0</v>
      </c>
    </row>
    <row r="393" spans="1:9" x14ac:dyDescent="0.2">
      <c r="A393" s="2">
        <v>12</v>
      </c>
      <c r="B393" s="1" t="s">
        <v>74</v>
      </c>
      <c r="C393" s="4">
        <v>24</v>
      </c>
      <c r="D393" s="8">
        <v>2.64</v>
      </c>
      <c r="E393" s="4">
        <v>19</v>
      </c>
      <c r="F393" s="8">
        <v>3.17</v>
      </c>
      <c r="G393" s="4">
        <v>5</v>
      </c>
      <c r="H393" s="8">
        <v>1.7</v>
      </c>
      <c r="I393" s="4">
        <v>0</v>
      </c>
    </row>
    <row r="394" spans="1:9" x14ac:dyDescent="0.2">
      <c r="A394" s="2">
        <v>13</v>
      </c>
      <c r="B394" s="1" t="s">
        <v>68</v>
      </c>
      <c r="C394" s="4">
        <v>22</v>
      </c>
      <c r="D394" s="8">
        <v>2.42</v>
      </c>
      <c r="E394" s="4">
        <v>4</v>
      </c>
      <c r="F394" s="8">
        <v>0.67</v>
      </c>
      <c r="G394" s="4">
        <v>18</v>
      </c>
      <c r="H394" s="8">
        <v>6.12</v>
      </c>
      <c r="I394" s="4">
        <v>0</v>
      </c>
    </row>
    <row r="395" spans="1:9" x14ac:dyDescent="0.2">
      <c r="A395" s="2">
        <v>14</v>
      </c>
      <c r="B395" s="1" t="s">
        <v>78</v>
      </c>
      <c r="C395" s="4">
        <v>15</v>
      </c>
      <c r="D395" s="8">
        <v>1.65</v>
      </c>
      <c r="E395" s="4">
        <v>10</v>
      </c>
      <c r="F395" s="8">
        <v>1.67</v>
      </c>
      <c r="G395" s="4">
        <v>5</v>
      </c>
      <c r="H395" s="8">
        <v>1.7</v>
      </c>
      <c r="I395" s="4">
        <v>0</v>
      </c>
    </row>
    <row r="396" spans="1:9" x14ac:dyDescent="0.2">
      <c r="A396" s="2">
        <v>15</v>
      </c>
      <c r="B396" s="1" t="s">
        <v>91</v>
      </c>
      <c r="C396" s="4">
        <v>14</v>
      </c>
      <c r="D396" s="8">
        <v>1.54</v>
      </c>
      <c r="E396" s="4">
        <v>6</v>
      </c>
      <c r="F396" s="8">
        <v>1</v>
      </c>
      <c r="G396" s="4">
        <v>8</v>
      </c>
      <c r="H396" s="8">
        <v>2.72</v>
      </c>
      <c r="I396" s="4">
        <v>0</v>
      </c>
    </row>
    <row r="397" spans="1:9" x14ac:dyDescent="0.2">
      <c r="A397" s="2">
        <v>15</v>
      </c>
      <c r="B397" s="1" t="s">
        <v>79</v>
      </c>
      <c r="C397" s="4">
        <v>14</v>
      </c>
      <c r="D397" s="8">
        <v>1.54</v>
      </c>
      <c r="E397" s="4">
        <v>12</v>
      </c>
      <c r="F397" s="8">
        <v>2</v>
      </c>
      <c r="G397" s="4">
        <v>2</v>
      </c>
      <c r="H397" s="8">
        <v>0.68</v>
      </c>
      <c r="I397" s="4">
        <v>0</v>
      </c>
    </row>
    <row r="398" spans="1:9" x14ac:dyDescent="0.2">
      <c r="A398" s="2">
        <v>17</v>
      </c>
      <c r="B398" s="1" t="s">
        <v>93</v>
      </c>
      <c r="C398" s="4">
        <v>12</v>
      </c>
      <c r="D398" s="8">
        <v>1.32</v>
      </c>
      <c r="E398" s="4">
        <v>9</v>
      </c>
      <c r="F398" s="8">
        <v>1.5</v>
      </c>
      <c r="G398" s="4">
        <v>3</v>
      </c>
      <c r="H398" s="8">
        <v>1.02</v>
      </c>
      <c r="I398" s="4">
        <v>0</v>
      </c>
    </row>
    <row r="399" spans="1:9" x14ac:dyDescent="0.2">
      <c r="A399" s="2">
        <v>17</v>
      </c>
      <c r="B399" s="1" t="s">
        <v>71</v>
      </c>
      <c r="C399" s="4">
        <v>12</v>
      </c>
      <c r="D399" s="8">
        <v>1.32</v>
      </c>
      <c r="E399" s="4">
        <v>7</v>
      </c>
      <c r="F399" s="8">
        <v>1.17</v>
      </c>
      <c r="G399" s="4">
        <v>5</v>
      </c>
      <c r="H399" s="8">
        <v>1.7</v>
      </c>
      <c r="I399" s="4">
        <v>0</v>
      </c>
    </row>
    <row r="400" spans="1:9" x14ac:dyDescent="0.2">
      <c r="A400" s="2">
        <v>17</v>
      </c>
      <c r="B400" s="1" t="s">
        <v>97</v>
      </c>
      <c r="C400" s="4">
        <v>12</v>
      </c>
      <c r="D400" s="8">
        <v>1.32</v>
      </c>
      <c r="E400" s="4">
        <v>0</v>
      </c>
      <c r="F400" s="8">
        <v>0</v>
      </c>
      <c r="G400" s="4">
        <v>7</v>
      </c>
      <c r="H400" s="8">
        <v>2.38</v>
      </c>
      <c r="I400" s="4">
        <v>0</v>
      </c>
    </row>
    <row r="401" spans="1:9" x14ac:dyDescent="0.2">
      <c r="A401" s="2">
        <v>20</v>
      </c>
      <c r="B401" s="1" t="s">
        <v>73</v>
      </c>
      <c r="C401" s="4">
        <v>9</v>
      </c>
      <c r="D401" s="8">
        <v>0.99</v>
      </c>
      <c r="E401" s="4">
        <v>4</v>
      </c>
      <c r="F401" s="8">
        <v>0.67</v>
      </c>
      <c r="G401" s="4">
        <v>5</v>
      </c>
      <c r="H401" s="8">
        <v>1.7</v>
      </c>
      <c r="I401" s="4">
        <v>0</v>
      </c>
    </row>
    <row r="402" spans="1:9" x14ac:dyDescent="0.2">
      <c r="A402" s="1"/>
      <c r="C402" s="4"/>
      <c r="D402" s="8"/>
      <c r="E402" s="4"/>
      <c r="F402" s="8"/>
      <c r="G402" s="4"/>
      <c r="H402" s="8"/>
      <c r="I402" s="4"/>
    </row>
    <row r="403" spans="1:9" x14ac:dyDescent="0.2">
      <c r="A403" s="1" t="s">
        <v>18</v>
      </c>
      <c r="C403" s="4"/>
      <c r="D403" s="8"/>
      <c r="E403" s="4"/>
      <c r="F403" s="8"/>
      <c r="G403" s="4"/>
      <c r="H403" s="8"/>
      <c r="I403" s="4"/>
    </row>
    <row r="404" spans="1:9" x14ac:dyDescent="0.2">
      <c r="A404" s="2">
        <v>1</v>
      </c>
      <c r="B404" s="1" t="s">
        <v>66</v>
      </c>
      <c r="C404" s="4">
        <v>81</v>
      </c>
      <c r="D404" s="8">
        <v>11.65</v>
      </c>
      <c r="E404" s="4">
        <v>20</v>
      </c>
      <c r="F404" s="8">
        <v>6.01</v>
      </c>
      <c r="G404" s="4">
        <v>61</v>
      </c>
      <c r="H404" s="8">
        <v>17.43</v>
      </c>
      <c r="I404" s="4">
        <v>0</v>
      </c>
    </row>
    <row r="405" spans="1:9" x14ac:dyDescent="0.2">
      <c r="A405" s="2">
        <v>2</v>
      </c>
      <c r="B405" s="1" t="s">
        <v>81</v>
      </c>
      <c r="C405" s="4">
        <v>72</v>
      </c>
      <c r="D405" s="8">
        <v>10.36</v>
      </c>
      <c r="E405" s="4">
        <v>66</v>
      </c>
      <c r="F405" s="8">
        <v>19.82</v>
      </c>
      <c r="G405" s="4">
        <v>6</v>
      </c>
      <c r="H405" s="8">
        <v>1.71</v>
      </c>
      <c r="I405" s="4">
        <v>0</v>
      </c>
    </row>
    <row r="406" spans="1:9" x14ac:dyDescent="0.2">
      <c r="A406" s="2">
        <v>3</v>
      </c>
      <c r="B406" s="1" t="s">
        <v>82</v>
      </c>
      <c r="C406" s="4">
        <v>62</v>
      </c>
      <c r="D406" s="8">
        <v>8.92</v>
      </c>
      <c r="E406" s="4">
        <v>49</v>
      </c>
      <c r="F406" s="8">
        <v>14.71</v>
      </c>
      <c r="G406" s="4">
        <v>13</v>
      </c>
      <c r="H406" s="8">
        <v>3.71</v>
      </c>
      <c r="I406" s="4">
        <v>0</v>
      </c>
    </row>
    <row r="407" spans="1:9" x14ac:dyDescent="0.2">
      <c r="A407" s="2">
        <v>4</v>
      </c>
      <c r="B407" s="1" t="s">
        <v>67</v>
      </c>
      <c r="C407" s="4">
        <v>46</v>
      </c>
      <c r="D407" s="8">
        <v>6.62</v>
      </c>
      <c r="E407" s="4">
        <v>23</v>
      </c>
      <c r="F407" s="8">
        <v>6.91</v>
      </c>
      <c r="G407" s="4">
        <v>23</v>
      </c>
      <c r="H407" s="8">
        <v>6.57</v>
      </c>
      <c r="I407" s="4">
        <v>0</v>
      </c>
    </row>
    <row r="408" spans="1:9" x14ac:dyDescent="0.2">
      <c r="A408" s="2">
        <v>5</v>
      </c>
      <c r="B408" s="1" t="s">
        <v>74</v>
      </c>
      <c r="C408" s="4">
        <v>35</v>
      </c>
      <c r="D408" s="8">
        <v>5.04</v>
      </c>
      <c r="E408" s="4">
        <v>7</v>
      </c>
      <c r="F408" s="8">
        <v>2.1</v>
      </c>
      <c r="G408" s="4">
        <v>28</v>
      </c>
      <c r="H408" s="8">
        <v>8</v>
      </c>
      <c r="I408" s="4">
        <v>0</v>
      </c>
    </row>
    <row r="409" spans="1:9" x14ac:dyDescent="0.2">
      <c r="A409" s="2">
        <v>5</v>
      </c>
      <c r="B409" s="1" t="s">
        <v>77</v>
      </c>
      <c r="C409" s="4">
        <v>35</v>
      </c>
      <c r="D409" s="8">
        <v>5.04</v>
      </c>
      <c r="E409" s="4">
        <v>13</v>
      </c>
      <c r="F409" s="8">
        <v>3.9</v>
      </c>
      <c r="G409" s="4">
        <v>22</v>
      </c>
      <c r="H409" s="8">
        <v>6.29</v>
      </c>
      <c r="I409" s="4">
        <v>0</v>
      </c>
    </row>
    <row r="410" spans="1:9" x14ac:dyDescent="0.2">
      <c r="A410" s="2">
        <v>7</v>
      </c>
      <c r="B410" s="1" t="s">
        <v>76</v>
      </c>
      <c r="C410" s="4">
        <v>30</v>
      </c>
      <c r="D410" s="8">
        <v>4.32</v>
      </c>
      <c r="E410" s="4">
        <v>18</v>
      </c>
      <c r="F410" s="8">
        <v>5.41</v>
      </c>
      <c r="G410" s="4">
        <v>12</v>
      </c>
      <c r="H410" s="8">
        <v>3.43</v>
      </c>
      <c r="I410" s="4">
        <v>0</v>
      </c>
    </row>
    <row r="411" spans="1:9" x14ac:dyDescent="0.2">
      <c r="A411" s="2">
        <v>8</v>
      </c>
      <c r="B411" s="1" t="s">
        <v>68</v>
      </c>
      <c r="C411" s="4">
        <v>29</v>
      </c>
      <c r="D411" s="8">
        <v>4.17</v>
      </c>
      <c r="E411" s="4">
        <v>7</v>
      </c>
      <c r="F411" s="8">
        <v>2.1</v>
      </c>
      <c r="G411" s="4">
        <v>22</v>
      </c>
      <c r="H411" s="8">
        <v>6.29</v>
      </c>
      <c r="I411" s="4">
        <v>0</v>
      </c>
    </row>
    <row r="412" spans="1:9" x14ac:dyDescent="0.2">
      <c r="A412" s="2">
        <v>8</v>
      </c>
      <c r="B412" s="1" t="s">
        <v>84</v>
      </c>
      <c r="C412" s="4">
        <v>29</v>
      </c>
      <c r="D412" s="8">
        <v>4.17</v>
      </c>
      <c r="E412" s="4">
        <v>26</v>
      </c>
      <c r="F412" s="8">
        <v>7.81</v>
      </c>
      <c r="G412" s="4">
        <v>3</v>
      </c>
      <c r="H412" s="8">
        <v>0.86</v>
      </c>
      <c r="I412" s="4">
        <v>0</v>
      </c>
    </row>
    <row r="413" spans="1:9" x14ac:dyDescent="0.2">
      <c r="A413" s="2">
        <v>10</v>
      </c>
      <c r="B413" s="1" t="s">
        <v>83</v>
      </c>
      <c r="C413" s="4">
        <v>21</v>
      </c>
      <c r="D413" s="8">
        <v>3.02</v>
      </c>
      <c r="E413" s="4">
        <v>16</v>
      </c>
      <c r="F413" s="8">
        <v>4.8</v>
      </c>
      <c r="G413" s="4">
        <v>1</v>
      </c>
      <c r="H413" s="8">
        <v>0.28999999999999998</v>
      </c>
      <c r="I413" s="4">
        <v>0</v>
      </c>
    </row>
    <row r="414" spans="1:9" x14ac:dyDescent="0.2">
      <c r="A414" s="2">
        <v>11</v>
      </c>
      <c r="B414" s="1" t="s">
        <v>69</v>
      </c>
      <c r="C414" s="4">
        <v>18</v>
      </c>
      <c r="D414" s="8">
        <v>2.59</v>
      </c>
      <c r="E414" s="4">
        <v>9</v>
      </c>
      <c r="F414" s="8">
        <v>2.7</v>
      </c>
      <c r="G414" s="4">
        <v>9</v>
      </c>
      <c r="H414" s="8">
        <v>2.57</v>
      </c>
      <c r="I414" s="4">
        <v>0</v>
      </c>
    </row>
    <row r="415" spans="1:9" x14ac:dyDescent="0.2">
      <c r="A415" s="2">
        <v>11</v>
      </c>
      <c r="B415" s="1" t="s">
        <v>78</v>
      </c>
      <c r="C415" s="4">
        <v>18</v>
      </c>
      <c r="D415" s="8">
        <v>2.59</v>
      </c>
      <c r="E415" s="4">
        <v>13</v>
      </c>
      <c r="F415" s="8">
        <v>3.9</v>
      </c>
      <c r="G415" s="4">
        <v>5</v>
      </c>
      <c r="H415" s="8">
        <v>1.43</v>
      </c>
      <c r="I415" s="4">
        <v>0</v>
      </c>
    </row>
    <row r="416" spans="1:9" x14ac:dyDescent="0.2">
      <c r="A416" s="2">
        <v>11</v>
      </c>
      <c r="B416" s="1" t="s">
        <v>85</v>
      </c>
      <c r="C416" s="4">
        <v>18</v>
      </c>
      <c r="D416" s="8">
        <v>2.59</v>
      </c>
      <c r="E416" s="4">
        <v>13</v>
      </c>
      <c r="F416" s="8">
        <v>3.9</v>
      </c>
      <c r="G416" s="4">
        <v>5</v>
      </c>
      <c r="H416" s="8">
        <v>1.43</v>
      </c>
      <c r="I416" s="4">
        <v>0</v>
      </c>
    </row>
    <row r="417" spans="1:9" x14ac:dyDescent="0.2">
      <c r="A417" s="2">
        <v>14</v>
      </c>
      <c r="B417" s="1" t="s">
        <v>80</v>
      </c>
      <c r="C417" s="4">
        <v>16</v>
      </c>
      <c r="D417" s="8">
        <v>2.2999999999999998</v>
      </c>
      <c r="E417" s="4">
        <v>3</v>
      </c>
      <c r="F417" s="8">
        <v>0.9</v>
      </c>
      <c r="G417" s="4">
        <v>13</v>
      </c>
      <c r="H417" s="8">
        <v>3.71</v>
      </c>
      <c r="I417" s="4">
        <v>0</v>
      </c>
    </row>
    <row r="418" spans="1:9" x14ac:dyDescent="0.2">
      <c r="A418" s="2">
        <v>15</v>
      </c>
      <c r="B418" s="1" t="s">
        <v>75</v>
      </c>
      <c r="C418" s="4">
        <v>14</v>
      </c>
      <c r="D418" s="8">
        <v>2.0099999999999998</v>
      </c>
      <c r="E418" s="4">
        <v>10</v>
      </c>
      <c r="F418" s="8">
        <v>3</v>
      </c>
      <c r="G418" s="4">
        <v>4</v>
      </c>
      <c r="H418" s="8">
        <v>1.1399999999999999</v>
      </c>
      <c r="I418" s="4">
        <v>0</v>
      </c>
    </row>
    <row r="419" spans="1:9" x14ac:dyDescent="0.2">
      <c r="A419" s="2">
        <v>16</v>
      </c>
      <c r="B419" s="1" t="s">
        <v>94</v>
      </c>
      <c r="C419" s="4">
        <v>12</v>
      </c>
      <c r="D419" s="8">
        <v>1.73</v>
      </c>
      <c r="E419" s="4">
        <v>6</v>
      </c>
      <c r="F419" s="8">
        <v>1.8</v>
      </c>
      <c r="G419" s="4">
        <v>6</v>
      </c>
      <c r="H419" s="8">
        <v>1.71</v>
      </c>
      <c r="I419" s="4">
        <v>0</v>
      </c>
    </row>
    <row r="420" spans="1:9" x14ac:dyDescent="0.2">
      <c r="A420" s="2">
        <v>17</v>
      </c>
      <c r="B420" s="1" t="s">
        <v>97</v>
      </c>
      <c r="C420" s="4">
        <v>10</v>
      </c>
      <c r="D420" s="8">
        <v>1.44</v>
      </c>
      <c r="E420" s="4">
        <v>0</v>
      </c>
      <c r="F420" s="8">
        <v>0</v>
      </c>
      <c r="G420" s="4">
        <v>7</v>
      </c>
      <c r="H420" s="8">
        <v>2</v>
      </c>
      <c r="I420" s="4">
        <v>0</v>
      </c>
    </row>
    <row r="421" spans="1:9" x14ac:dyDescent="0.2">
      <c r="A421" s="2">
        <v>18</v>
      </c>
      <c r="B421" s="1" t="s">
        <v>70</v>
      </c>
      <c r="C421" s="4">
        <v>9</v>
      </c>
      <c r="D421" s="8">
        <v>1.29</v>
      </c>
      <c r="E421" s="4">
        <v>3</v>
      </c>
      <c r="F421" s="8">
        <v>0.9</v>
      </c>
      <c r="G421" s="4">
        <v>6</v>
      </c>
      <c r="H421" s="8">
        <v>1.71</v>
      </c>
      <c r="I421" s="4">
        <v>0</v>
      </c>
    </row>
    <row r="422" spans="1:9" x14ac:dyDescent="0.2">
      <c r="A422" s="2">
        <v>18</v>
      </c>
      <c r="B422" s="1" t="s">
        <v>87</v>
      </c>
      <c r="C422" s="4">
        <v>9</v>
      </c>
      <c r="D422" s="8">
        <v>1.29</v>
      </c>
      <c r="E422" s="4">
        <v>1</v>
      </c>
      <c r="F422" s="8">
        <v>0.3</v>
      </c>
      <c r="G422" s="4">
        <v>8</v>
      </c>
      <c r="H422" s="8">
        <v>2.29</v>
      </c>
      <c r="I422" s="4">
        <v>0</v>
      </c>
    </row>
    <row r="423" spans="1:9" x14ac:dyDescent="0.2">
      <c r="A423" s="2">
        <v>20</v>
      </c>
      <c r="B423" s="1" t="s">
        <v>71</v>
      </c>
      <c r="C423" s="4">
        <v>8</v>
      </c>
      <c r="D423" s="8">
        <v>1.1499999999999999</v>
      </c>
      <c r="E423" s="4">
        <v>4</v>
      </c>
      <c r="F423" s="8">
        <v>1.2</v>
      </c>
      <c r="G423" s="4">
        <v>4</v>
      </c>
      <c r="H423" s="8">
        <v>1.1399999999999999</v>
      </c>
      <c r="I423" s="4">
        <v>0</v>
      </c>
    </row>
    <row r="424" spans="1:9" x14ac:dyDescent="0.2">
      <c r="A424" s="2">
        <v>20</v>
      </c>
      <c r="B424" s="1" t="s">
        <v>72</v>
      </c>
      <c r="C424" s="4">
        <v>8</v>
      </c>
      <c r="D424" s="8">
        <v>1.1499999999999999</v>
      </c>
      <c r="E424" s="4">
        <v>0</v>
      </c>
      <c r="F424" s="8">
        <v>0</v>
      </c>
      <c r="G424" s="4">
        <v>8</v>
      </c>
      <c r="H424" s="8">
        <v>2.29</v>
      </c>
      <c r="I424" s="4">
        <v>0</v>
      </c>
    </row>
    <row r="425" spans="1:9" x14ac:dyDescent="0.2">
      <c r="A425" s="2">
        <v>20</v>
      </c>
      <c r="B425" s="1" t="s">
        <v>102</v>
      </c>
      <c r="C425" s="4">
        <v>8</v>
      </c>
      <c r="D425" s="8">
        <v>1.1499999999999999</v>
      </c>
      <c r="E425" s="4">
        <v>1</v>
      </c>
      <c r="F425" s="8">
        <v>0.3</v>
      </c>
      <c r="G425" s="4">
        <v>7</v>
      </c>
      <c r="H425" s="8">
        <v>2</v>
      </c>
      <c r="I425" s="4">
        <v>0</v>
      </c>
    </row>
    <row r="426" spans="1:9" x14ac:dyDescent="0.2">
      <c r="A426" s="1"/>
      <c r="C426" s="4"/>
      <c r="D426" s="8"/>
      <c r="E426" s="4"/>
      <c r="F426" s="8"/>
      <c r="G426" s="4"/>
      <c r="H426" s="8"/>
      <c r="I426" s="4"/>
    </row>
    <row r="427" spans="1:9" x14ac:dyDescent="0.2">
      <c r="A427" s="1" t="s">
        <v>19</v>
      </c>
      <c r="C427" s="4"/>
      <c r="D427" s="8"/>
      <c r="E427" s="4"/>
      <c r="F427" s="8"/>
      <c r="G427" s="4"/>
      <c r="H427" s="8"/>
      <c r="I427" s="4"/>
    </row>
    <row r="428" spans="1:9" x14ac:dyDescent="0.2">
      <c r="A428" s="2">
        <v>1</v>
      </c>
      <c r="B428" s="1" t="s">
        <v>81</v>
      </c>
      <c r="C428" s="4">
        <v>255</v>
      </c>
      <c r="D428" s="8">
        <v>14.17</v>
      </c>
      <c r="E428" s="4">
        <v>237</v>
      </c>
      <c r="F428" s="8">
        <v>19.190000000000001</v>
      </c>
      <c r="G428" s="4">
        <v>17</v>
      </c>
      <c r="H428" s="8">
        <v>3.23</v>
      </c>
      <c r="I428" s="4">
        <v>1</v>
      </c>
    </row>
    <row r="429" spans="1:9" x14ac:dyDescent="0.2">
      <c r="A429" s="2">
        <v>2</v>
      </c>
      <c r="B429" s="1" t="s">
        <v>66</v>
      </c>
      <c r="C429" s="4">
        <v>161</v>
      </c>
      <c r="D429" s="8">
        <v>8.94</v>
      </c>
      <c r="E429" s="4">
        <v>79</v>
      </c>
      <c r="F429" s="8">
        <v>6.4</v>
      </c>
      <c r="G429" s="4">
        <v>82</v>
      </c>
      <c r="H429" s="8">
        <v>15.56</v>
      </c>
      <c r="I429" s="4">
        <v>0</v>
      </c>
    </row>
    <row r="430" spans="1:9" x14ac:dyDescent="0.2">
      <c r="A430" s="2">
        <v>2</v>
      </c>
      <c r="B430" s="1" t="s">
        <v>82</v>
      </c>
      <c r="C430" s="4">
        <v>161</v>
      </c>
      <c r="D430" s="8">
        <v>8.94</v>
      </c>
      <c r="E430" s="4">
        <v>154</v>
      </c>
      <c r="F430" s="8">
        <v>12.47</v>
      </c>
      <c r="G430" s="4">
        <v>7</v>
      </c>
      <c r="H430" s="8">
        <v>1.33</v>
      </c>
      <c r="I430" s="4">
        <v>0</v>
      </c>
    </row>
    <row r="431" spans="1:9" x14ac:dyDescent="0.2">
      <c r="A431" s="2">
        <v>4</v>
      </c>
      <c r="B431" s="1" t="s">
        <v>77</v>
      </c>
      <c r="C431" s="4">
        <v>143</v>
      </c>
      <c r="D431" s="8">
        <v>7.94</v>
      </c>
      <c r="E431" s="4">
        <v>87</v>
      </c>
      <c r="F431" s="8">
        <v>7.04</v>
      </c>
      <c r="G431" s="4">
        <v>56</v>
      </c>
      <c r="H431" s="8">
        <v>10.63</v>
      </c>
      <c r="I431" s="4">
        <v>0</v>
      </c>
    </row>
    <row r="432" spans="1:9" x14ac:dyDescent="0.2">
      <c r="A432" s="2">
        <v>5</v>
      </c>
      <c r="B432" s="1" t="s">
        <v>67</v>
      </c>
      <c r="C432" s="4">
        <v>101</v>
      </c>
      <c r="D432" s="8">
        <v>5.61</v>
      </c>
      <c r="E432" s="4">
        <v>78</v>
      </c>
      <c r="F432" s="8">
        <v>6.32</v>
      </c>
      <c r="G432" s="4">
        <v>23</v>
      </c>
      <c r="H432" s="8">
        <v>4.3600000000000003</v>
      </c>
      <c r="I432" s="4">
        <v>0</v>
      </c>
    </row>
    <row r="433" spans="1:9" x14ac:dyDescent="0.2">
      <c r="A433" s="2">
        <v>6</v>
      </c>
      <c r="B433" s="1" t="s">
        <v>75</v>
      </c>
      <c r="C433" s="4">
        <v>89</v>
      </c>
      <c r="D433" s="8">
        <v>4.9400000000000004</v>
      </c>
      <c r="E433" s="4">
        <v>73</v>
      </c>
      <c r="F433" s="8">
        <v>5.91</v>
      </c>
      <c r="G433" s="4">
        <v>16</v>
      </c>
      <c r="H433" s="8">
        <v>3.04</v>
      </c>
      <c r="I433" s="4">
        <v>0</v>
      </c>
    </row>
    <row r="434" spans="1:9" x14ac:dyDescent="0.2">
      <c r="A434" s="2">
        <v>7</v>
      </c>
      <c r="B434" s="1" t="s">
        <v>95</v>
      </c>
      <c r="C434" s="4">
        <v>88</v>
      </c>
      <c r="D434" s="8">
        <v>4.8899999999999997</v>
      </c>
      <c r="E434" s="4">
        <v>69</v>
      </c>
      <c r="F434" s="8">
        <v>5.59</v>
      </c>
      <c r="G434" s="4">
        <v>17</v>
      </c>
      <c r="H434" s="8">
        <v>3.23</v>
      </c>
      <c r="I434" s="4">
        <v>2</v>
      </c>
    </row>
    <row r="435" spans="1:9" x14ac:dyDescent="0.2">
      <c r="A435" s="2">
        <v>8</v>
      </c>
      <c r="B435" s="1" t="s">
        <v>83</v>
      </c>
      <c r="C435" s="4">
        <v>80</v>
      </c>
      <c r="D435" s="8">
        <v>4.4400000000000004</v>
      </c>
      <c r="E435" s="4">
        <v>57</v>
      </c>
      <c r="F435" s="8">
        <v>4.62</v>
      </c>
      <c r="G435" s="4">
        <v>5</v>
      </c>
      <c r="H435" s="8">
        <v>0.95</v>
      </c>
      <c r="I435" s="4">
        <v>0</v>
      </c>
    </row>
    <row r="436" spans="1:9" x14ac:dyDescent="0.2">
      <c r="A436" s="2">
        <v>9</v>
      </c>
      <c r="B436" s="1" t="s">
        <v>68</v>
      </c>
      <c r="C436" s="4">
        <v>55</v>
      </c>
      <c r="D436" s="8">
        <v>3.06</v>
      </c>
      <c r="E436" s="4">
        <v>26</v>
      </c>
      <c r="F436" s="8">
        <v>2.11</v>
      </c>
      <c r="G436" s="4">
        <v>29</v>
      </c>
      <c r="H436" s="8">
        <v>5.5</v>
      </c>
      <c r="I436" s="4">
        <v>0</v>
      </c>
    </row>
    <row r="437" spans="1:9" x14ac:dyDescent="0.2">
      <c r="A437" s="2">
        <v>10</v>
      </c>
      <c r="B437" s="1" t="s">
        <v>84</v>
      </c>
      <c r="C437" s="4">
        <v>50</v>
      </c>
      <c r="D437" s="8">
        <v>2.78</v>
      </c>
      <c r="E437" s="4">
        <v>49</v>
      </c>
      <c r="F437" s="8">
        <v>3.97</v>
      </c>
      <c r="G437" s="4">
        <v>1</v>
      </c>
      <c r="H437" s="8">
        <v>0.19</v>
      </c>
      <c r="I437" s="4">
        <v>0</v>
      </c>
    </row>
    <row r="438" spans="1:9" x14ac:dyDescent="0.2">
      <c r="A438" s="2">
        <v>11</v>
      </c>
      <c r="B438" s="1" t="s">
        <v>74</v>
      </c>
      <c r="C438" s="4">
        <v>45</v>
      </c>
      <c r="D438" s="8">
        <v>2.5</v>
      </c>
      <c r="E438" s="4">
        <v>32</v>
      </c>
      <c r="F438" s="8">
        <v>2.59</v>
      </c>
      <c r="G438" s="4">
        <v>13</v>
      </c>
      <c r="H438" s="8">
        <v>2.4700000000000002</v>
      </c>
      <c r="I438" s="4">
        <v>0</v>
      </c>
    </row>
    <row r="439" spans="1:9" x14ac:dyDescent="0.2">
      <c r="A439" s="2">
        <v>12</v>
      </c>
      <c r="B439" s="1" t="s">
        <v>76</v>
      </c>
      <c r="C439" s="4">
        <v>41</v>
      </c>
      <c r="D439" s="8">
        <v>2.2799999999999998</v>
      </c>
      <c r="E439" s="4">
        <v>25</v>
      </c>
      <c r="F439" s="8">
        <v>2.02</v>
      </c>
      <c r="G439" s="4">
        <v>16</v>
      </c>
      <c r="H439" s="8">
        <v>3.04</v>
      </c>
      <c r="I439" s="4">
        <v>0</v>
      </c>
    </row>
    <row r="440" spans="1:9" x14ac:dyDescent="0.2">
      <c r="A440" s="2">
        <v>13</v>
      </c>
      <c r="B440" s="1" t="s">
        <v>78</v>
      </c>
      <c r="C440" s="4">
        <v>35</v>
      </c>
      <c r="D440" s="8">
        <v>1.94</v>
      </c>
      <c r="E440" s="4">
        <v>19</v>
      </c>
      <c r="F440" s="8">
        <v>1.54</v>
      </c>
      <c r="G440" s="4">
        <v>16</v>
      </c>
      <c r="H440" s="8">
        <v>3.04</v>
      </c>
      <c r="I440" s="4">
        <v>0</v>
      </c>
    </row>
    <row r="441" spans="1:9" x14ac:dyDescent="0.2">
      <c r="A441" s="2">
        <v>14</v>
      </c>
      <c r="B441" s="1" t="s">
        <v>91</v>
      </c>
      <c r="C441" s="4">
        <v>34</v>
      </c>
      <c r="D441" s="8">
        <v>1.89</v>
      </c>
      <c r="E441" s="4">
        <v>20</v>
      </c>
      <c r="F441" s="8">
        <v>1.62</v>
      </c>
      <c r="G441" s="4">
        <v>14</v>
      </c>
      <c r="H441" s="8">
        <v>2.66</v>
      </c>
      <c r="I441" s="4">
        <v>0</v>
      </c>
    </row>
    <row r="442" spans="1:9" x14ac:dyDescent="0.2">
      <c r="A442" s="2">
        <v>15</v>
      </c>
      <c r="B442" s="1" t="s">
        <v>79</v>
      </c>
      <c r="C442" s="4">
        <v>30</v>
      </c>
      <c r="D442" s="8">
        <v>1.67</v>
      </c>
      <c r="E442" s="4">
        <v>27</v>
      </c>
      <c r="F442" s="8">
        <v>2.19</v>
      </c>
      <c r="G442" s="4">
        <v>3</v>
      </c>
      <c r="H442" s="8">
        <v>0.56999999999999995</v>
      </c>
      <c r="I442" s="4">
        <v>0</v>
      </c>
    </row>
    <row r="443" spans="1:9" x14ac:dyDescent="0.2">
      <c r="A443" s="2">
        <v>15</v>
      </c>
      <c r="B443" s="1" t="s">
        <v>80</v>
      </c>
      <c r="C443" s="4">
        <v>30</v>
      </c>
      <c r="D443" s="8">
        <v>1.67</v>
      </c>
      <c r="E443" s="4">
        <v>17</v>
      </c>
      <c r="F443" s="8">
        <v>1.38</v>
      </c>
      <c r="G443" s="4">
        <v>12</v>
      </c>
      <c r="H443" s="8">
        <v>2.2799999999999998</v>
      </c>
      <c r="I443" s="4">
        <v>0</v>
      </c>
    </row>
    <row r="444" spans="1:9" x14ac:dyDescent="0.2">
      <c r="A444" s="2">
        <v>17</v>
      </c>
      <c r="B444" s="1" t="s">
        <v>71</v>
      </c>
      <c r="C444" s="4">
        <v>27</v>
      </c>
      <c r="D444" s="8">
        <v>1.5</v>
      </c>
      <c r="E444" s="4">
        <v>14</v>
      </c>
      <c r="F444" s="8">
        <v>1.1299999999999999</v>
      </c>
      <c r="G444" s="4">
        <v>13</v>
      </c>
      <c r="H444" s="8">
        <v>2.4700000000000002</v>
      </c>
      <c r="I444" s="4">
        <v>0</v>
      </c>
    </row>
    <row r="445" spans="1:9" x14ac:dyDescent="0.2">
      <c r="A445" s="2">
        <v>18</v>
      </c>
      <c r="B445" s="1" t="s">
        <v>94</v>
      </c>
      <c r="C445" s="4">
        <v>26</v>
      </c>
      <c r="D445" s="8">
        <v>1.44</v>
      </c>
      <c r="E445" s="4">
        <v>12</v>
      </c>
      <c r="F445" s="8">
        <v>0.97</v>
      </c>
      <c r="G445" s="4">
        <v>14</v>
      </c>
      <c r="H445" s="8">
        <v>2.66</v>
      </c>
      <c r="I445" s="4">
        <v>0</v>
      </c>
    </row>
    <row r="446" spans="1:9" x14ac:dyDescent="0.2">
      <c r="A446" s="2">
        <v>19</v>
      </c>
      <c r="B446" s="1" t="s">
        <v>85</v>
      </c>
      <c r="C446" s="4">
        <v>25</v>
      </c>
      <c r="D446" s="8">
        <v>1.39</v>
      </c>
      <c r="E446" s="4">
        <v>17</v>
      </c>
      <c r="F446" s="8">
        <v>1.38</v>
      </c>
      <c r="G446" s="4">
        <v>8</v>
      </c>
      <c r="H446" s="8">
        <v>1.52</v>
      </c>
      <c r="I446" s="4">
        <v>0</v>
      </c>
    </row>
    <row r="447" spans="1:9" x14ac:dyDescent="0.2">
      <c r="A447" s="2">
        <v>20</v>
      </c>
      <c r="B447" s="1" t="s">
        <v>104</v>
      </c>
      <c r="C447" s="4">
        <v>24</v>
      </c>
      <c r="D447" s="8">
        <v>1.33</v>
      </c>
      <c r="E447" s="4">
        <v>17</v>
      </c>
      <c r="F447" s="8">
        <v>1.38</v>
      </c>
      <c r="G447" s="4">
        <v>7</v>
      </c>
      <c r="H447" s="8">
        <v>1.33</v>
      </c>
      <c r="I447" s="4">
        <v>0</v>
      </c>
    </row>
    <row r="448" spans="1:9" x14ac:dyDescent="0.2">
      <c r="A448" s="1"/>
      <c r="C448" s="4"/>
      <c r="D448" s="8"/>
      <c r="E448" s="4"/>
      <c r="F448" s="8"/>
      <c r="G448" s="4"/>
      <c r="H448" s="8"/>
      <c r="I448" s="4"/>
    </row>
    <row r="449" spans="1:9" x14ac:dyDescent="0.2">
      <c r="A449" s="1" t="s">
        <v>20</v>
      </c>
      <c r="C449" s="4"/>
      <c r="D449" s="8"/>
      <c r="E449" s="4"/>
      <c r="F449" s="8"/>
      <c r="G449" s="4"/>
      <c r="H449" s="8"/>
      <c r="I449" s="4"/>
    </row>
    <row r="450" spans="1:9" x14ac:dyDescent="0.2">
      <c r="A450" s="2">
        <v>1</v>
      </c>
      <c r="B450" s="1" t="s">
        <v>81</v>
      </c>
      <c r="C450" s="4">
        <v>172</v>
      </c>
      <c r="D450" s="8">
        <v>12.66</v>
      </c>
      <c r="E450" s="4">
        <v>159</v>
      </c>
      <c r="F450" s="8">
        <v>18.32</v>
      </c>
      <c r="G450" s="4">
        <v>13</v>
      </c>
      <c r="H450" s="8">
        <v>2.71</v>
      </c>
      <c r="I450" s="4">
        <v>0</v>
      </c>
    </row>
    <row r="451" spans="1:9" x14ac:dyDescent="0.2">
      <c r="A451" s="2">
        <v>2</v>
      </c>
      <c r="B451" s="1" t="s">
        <v>82</v>
      </c>
      <c r="C451" s="4">
        <v>161</v>
      </c>
      <c r="D451" s="8">
        <v>11.85</v>
      </c>
      <c r="E451" s="4">
        <v>148</v>
      </c>
      <c r="F451" s="8">
        <v>17.05</v>
      </c>
      <c r="G451" s="4">
        <v>13</v>
      </c>
      <c r="H451" s="8">
        <v>2.71</v>
      </c>
      <c r="I451" s="4">
        <v>0</v>
      </c>
    </row>
    <row r="452" spans="1:9" x14ac:dyDescent="0.2">
      <c r="A452" s="2">
        <v>3</v>
      </c>
      <c r="B452" s="1" t="s">
        <v>66</v>
      </c>
      <c r="C452" s="4">
        <v>97</v>
      </c>
      <c r="D452" s="8">
        <v>7.14</v>
      </c>
      <c r="E452" s="4">
        <v>38</v>
      </c>
      <c r="F452" s="8">
        <v>4.38</v>
      </c>
      <c r="G452" s="4">
        <v>59</v>
      </c>
      <c r="H452" s="8">
        <v>12.32</v>
      </c>
      <c r="I452" s="4">
        <v>0</v>
      </c>
    </row>
    <row r="453" spans="1:9" x14ac:dyDescent="0.2">
      <c r="A453" s="2">
        <v>4</v>
      </c>
      <c r="B453" s="1" t="s">
        <v>67</v>
      </c>
      <c r="C453" s="4">
        <v>95</v>
      </c>
      <c r="D453" s="8">
        <v>6.99</v>
      </c>
      <c r="E453" s="4">
        <v>64</v>
      </c>
      <c r="F453" s="8">
        <v>7.37</v>
      </c>
      <c r="G453" s="4">
        <v>31</v>
      </c>
      <c r="H453" s="8">
        <v>6.47</v>
      </c>
      <c r="I453" s="4">
        <v>0</v>
      </c>
    </row>
    <row r="454" spans="1:9" x14ac:dyDescent="0.2">
      <c r="A454" s="2">
        <v>5</v>
      </c>
      <c r="B454" s="1" t="s">
        <v>77</v>
      </c>
      <c r="C454" s="4">
        <v>72</v>
      </c>
      <c r="D454" s="8">
        <v>5.3</v>
      </c>
      <c r="E454" s="4">
        <v>30</v>
      </c>
      <c r="F454" s="8">
        <v>3.46</v>
      </c>
      <c r="G454" s="4">
        <v>42</v>
      </c>
      <c r="H454" s="8">
        <v>8.77</v>
      </c>
      <c r="I454" s="4">
        <v>0</v>
      </c>
    </row>
    <row r="455" spans="1:9" x14ac:dyDescent="0.2">
      <c r="A455" s="2">
        <v>6</v>
      </c>
      <c r="B455" s="1" t="s">
        <v>75</v>
      </c>
      <c r="C455" s="4">
        <v>69</v>
      </c>
      <c r="D455" s="8">
        <v>5.08</v>
      </c>
      <c r="E455" s="4">
        <v>44</v>
      </c>
      <c r="F455" s="8">
        <v>5.07</v>
      </c>
      <c r="G455" s="4">
        <v>25</v>
      </c>
      <c r="H455" s="8">
        <v>5.22</v>
      </c>
      <c r="I455" s="4">
        <v>0</v>
      </c>
    </row>
    <row r="456" spans="1:9" x14ac:dyDescent="0.2">
      <c r="A456" s="2">
        <v>7</v>
      </c>
      <c r="B456" s="1" t="s">
        <v>78</v>
      </c>
      <c r="C456" s="4">
        <v>60</v>
      </c>
      <c r="D456" s="8">
        <v>4.42</v>
      </c>
      <c r="E456" s="4">
        <v>48</v>
      </c>
      <c r="F456" s="8">
        <v>5.53</v>
      </c>
      <c r="G456" s="4">
        <v>12</v>
      </c>
      <c r="H456" s="8">
        <v>2.5099999999999998</v>
      </c>
      <c r="I456" s="4">
        <v>0</v>
      </c>
    </row>
    <row r="457" spans="1:9" x14ac:dyDescent="0.2">
      <c r="A457" s="2">
        <v>8</v>
      </c>
      <c r="B457" s="1" t="s">
        <v>76</v>
      </c>
      <c r="C457" s="4">
        <v>56</v>
      </c>
      <c r="D457" s="8">
        <v>4.12</v>
      </c>
      <c r="E457" s="4">
        <v>32</v>
      </c>
      <c r="F457" s="8">
        <v>3.69</v>
      </c>
      <c r="G457" s="4">
        <v>24</v>
      </c>
      <c r="H457" s="8">
        <v>5.01</v>
      </c>
      <c r="I457" s="4">
        <v>0</v>
      </c>
    </row>
    <row r="458" spans="1:9" x14ac:dyDescent="0.2">
      <c r="A458" s="2">
        <v>9</v>
      </c>
      <c r="B458" s="1" t="s">
        <v>83</v>
      </c>
      <c r="C458" s="4">
        <v>50</v>
      </c>
      <c r="D458" s="8">
        <v>3.68</v>
      </c>
      <c r="E458" s="4">
        <v>41</v>
      </c>
      <c r="F458" s="8">
        <v>4.72</v>
      </c>
      <c r="G458" s="4">
        <v>5</v>
      </c>
      <c r="H458" s="8">
        <v>1.04</v>
      </c>
      <c r="I458" s="4">
        <v>0</v>
      </c>
    </row>
    <row r="459" spans="1:9" x14ac:dyDescent="0.2">
      <c r="A459" s="2">
        <v>10</v>
      </c>
      <c r="B459" s="1" t="s">
        <v>84</v>
      </c>
      <c r="C459" s="4">
        <v>45</v>
      </c>
      <c r="D459" s="8">
        <v>3.31</v>
      </c>
      <c r="E459" s="4">
        <v>40</v>
      </c>
      <c r="F459" s="8">
        <v>4.6100000000000003</v>
      </c>
      <c r="G459" s="4">
        <v>5</v>
      </c>
      <c r="H459" s="8">
        <v>1.04</v>
      </c>
      <c r="I459" s="4">
        <v>0</v>
      </c>
    </row>
    <row r="460" spans="1:9" x14ac:dyDescent="0.2">
      <c r="A460" s="2">
        <v>11</v>
      </c>
      <c r="B460" s="1" t="s">
        <v>74</v>
      </c>
      <c r="C460" s="4">
        <v>44</v>
      </c>
      <c r="D460" s="8">
        <v>3.24</v>
      </c>
      <c r="E460" s="4">
        <v>32</v>
      </c>
      <c r="F460" s="8">
        <v>3.69</v>
      </c>
      <c r="G460" s="4">
        <v>12</v>
      </c>
      <c r="H460" s="8">
        <v>2.5099999999999998</v>
      </c>
      <c r="I460" s="4">
        <v>0</v>
      </c>
    </row>
    <row r="461" spans="1:9" x14ac:dyDescent="0.2">
      <c r="A461" s="2">
        <v>12</v>
      </c>
      <c r="B461" s="1" t="s">
        <v>68</v>
      </c>
      <c r="C461" s="4">
        <v>38</v>
      </c>
      <c r="D461" s="8">
        <v>2.8</v>
      </c>
      <c r="E461" s="4">
        <v>14</v>
      </c>
      <c r="F461" s="8">
        <v>1.61</v>
      </c>
      <c r="G461" s="4">
        <v>24</v>
      </c>
      <c r="H461" s="8">
        <v>5.01</v>
      </c>
      <c r="I461" s="4">
        <v>0</v>
      </c>
    </row>
    <row r="462" spans="1:9" x14ac:dyDescent="0.2">
      <c r="A462" s="2">
        <v>13</v>
      </c>
      <c r="B462" s="1" t="s">
        <v>95</v>
      </c>
      <c r="C462" s="4">
        <v>35</v>
      </c>
      <c r="D462" s="8">
        <v>2.58</v>
      </c>
      <c r="E462" s="4">
        <v>24</v>
      </c>
      <c r="F462" s="8">
        <v>2.76</v>
      </c>
      <c r="G462" s="4">
        <v>11</v>
      </c>
      <c r="H462" s="8">
        <v>2.2999999999999998</v>
      </c>
      <c r="I462" s="4">
        <v>0</v>
      </c>
    </row>
    <row r="463" spans="1:9" x14ac:dyDescent="0.2">
      <c r="A463" s="2">
        <v>14</v>
      </c>
      <c r="B463" s="1" t="s">
        <v>91</v>
      </c>
      <c r="C463" s="4">
        <v>32</v>
      </c>
      <c r="D463" s="8">
        <v>2.35</v>
      </c>
      <c r="E463" s="4">
        <v>15</v>
      </c>
      <c r="F463" s="8">
        <v>1.73</v>
      </c>
      <c r="G463" s="4">
        <v>16</v>
      </c>
      <c r="H463" s="8">
        <v>3.34</v>
      </c>
      <c r="I463" s="4">
        <v>1</v>
      </c>
    </row>
    <row r="464" spans="1:9" x14ac:dyDescent="0.2">
      <c r="A464" s="2">
        <v>15</v>
      </c>
      <c r="B464" s="1" t="s">
        <v>80</v>
      </c>
      <c r="C464" s="4">
        <v>29</v>
      </c>
      <c r="D464" s="8">
        <v>2.13</v>
      </c>
      <c r="E464" s="4">
        <v>9</v>
      </c>
      <c r="F464" s="8">
        <v>1.04</v>
      </c>
      <c r="G464" s="4">
        <v>19</v>
      </c>
      <c r="H464" s="8">
        <v>3.97</v>
      </c>
      <c r="I464" s="4">
        <v>0</v>
      </c>
    </row>
    <row r="465" spans="1:9" x14ac:dyDescent="0.2">
      <c r="A465" s="2">
        <v>16</v>
      </c>
      <c r="B465" s="1" t="s">
        <v>93</v>
      </c>
      <c r="C465" s="4">
        <v>24</v>
      </c>
      <c r="D465" s="8">
        <v>1.77</v>
      </c>
      <c r="E465" s="4">
        <v>18</v>
      </c>
      <c r="F465" s="8">
        <v>2.0699999999999998</v>
      </c>
      <c r="G465" s="4">
        <v>6</v>
      </c>
      <c r="H465" s="8">
        <v>1.25</v>
      </c>
      <c r="I465" s="4">
        <v>0</v>
      </c>
    </row>
    <row r="466" spans="1:9" x14ac:dyDescent="0.2">
      <c r="A466" s="2">
        <v>16</v>
      </c>
      <c r="B466" s="1" t="s">
        <v>79</v>
      </c>
      <c r="C466" s="4">
        <v>24</v>
      </c>
      <c r="D466" s="8">
        <v>1.77</v>
      </c>
      <c r="E466" s="4">
        <v>18</v>
      </c>
      <c r="F466" s="8">
        <v>2.0699999999999998</v>
      </c>
      <c r="G466" s="4">
        <v>6</v>
      </c>
      <c r="H466" s="8">
        <v>1.25</v>
      </c>
      <c r="I466" s="4">
        <v>0</v>
      </c>
    </row>
    <row r="467" spans="1:9" x14ac:dyDescent="0.2">
      <c r="A467" s="2">
        <v>16</v>
      </c>
      <c r="B467" s="1" t="s">
        <v>97</v>
      </c>
      <c r="C467" s="4">
        <v>24</v>
      </c>
      <c r="D467" s="8">
        <v>1.77</v>
      </c>
      <c r="E467" s="4">
        <v>1</v>
      </c>
      <c r="F467" s="8">
        <v>0.12</v>
      </c>
      <c r="G467" s="4">
        <v>21</v>
      </c>
      <c r="H467" s="8">
        <v>4.38</v>
      </c>
      <c r="I467" s="4">
        <v>0</v>
      </c>
    </row>
    <row r="468" spans="1:9" x14ac:dyDescent="0.2">
      <c r="A468" s="2">
        <v>19</v>
      </c>
      <c r="B468" s="1" t="s">
        <v>105</v>
      </c>
      <c r="C468" s="4">
        <v>16</v>
      </c>
      <c r="D468" s="8">
        <v>1.18</v>
      </c>
      <c r="E468" s="4">
        <v>4</v>
      </c>
      <c r="F468" s="8">
        <v>0.46</v>
      </c>
      <c r="G468" s="4">
        <v>12</v>
      </c>
      <c r="H468" s="8">
        <v>2.5099999999999998</v>
      </c>
      <c r="I468" s="4">
        <v>0</v>
      </c>
    </row>
    <row r="469" spans="1:9" x14ac:dyDescent="0.2">
      <c r="A469" s="2">
        <v>20</v>
      </c>
      <c r="B469" s="1" t="s">
        <v>73</v>
      </c>
      <c r="C469" s="4">
        <v>15</v>
      </c>
      <c r="D469" s="8">
        <v>1.1000000000000001</v>
      </c>
      <c r="E469" s="4">
        <v>6</v>
      </c>
      <c r="F469" s="8">
        <v>0.69</v>
      </c>
      <c r="G469" s="4">
        <v>9</v>
      </c>
      <c r="H469" s="8">
        <v>1.88</v>
      </c>
      <c r="I469" s="4">
        <v>0</v>
      </c>
    </row>
    <row r="470" spans="1:9" x14ac:dyDescent="0.2">
      <c r="A470" s="1"/>
      <c r="C470" s="4"/>
      <c r="D470" s="8"/>
      <c r="E470" s="4"/>
      <c r="F470" s="8"/>
      <c r="G470" s="4"/>
      <c r="H470" s="8"/>
      <c r="I470" s="4"/>
    </row>
    <row r="471" spans="1:9" x14ac:dyDescent="0.2">
      <c r="A471" s="1" t="s">
        <v>21</v>
      </c>
      <c r="C471" s="4"/>
      <c r="D471" s="8"/>
      <c r="E471" s="4"/>
      <c r="F471" s="8"/>
      <c r="G471" s="4"/>
      <c r="H471" s="8"/>
      <c r="I471" s="4"/>
    </row>
    <row r="472" spans="1:9" x14ac:dyDescent="0.2">
      <c r="A472" s="2">
        <v>1</v>
      </c>
      <c r="B472" s="1" t="s">
        <v>82</v>
      </c>
      <c r="C472" s="4">
        <v>84</v>
      </c>
      <c r="D472" s="8">
        <v>9.59</v>
      </c>
      <c r="E472" s="4">
        <v>77</v>
      </c>
      <c r="F472" s="8">
        <v>14.84</v>
      </c>
      <c r="G472" s="4">
        <v>7</v>
      </c>
      <c r="H472" s="8">
        <v>2.08</v>
      </c>
      <c r="I472" s="4">
        <v>0</v>
      </c>
    </row>
    <row r="473" spans="1:9" x14ac:dyDescent="0.2">
      <c r="A473" s="2">
        <v>2</v>
      </c>
      <c r="B473" s="1" t="s">
        <v>75</v>
      </c>
      <c r="C473" s="4">
        <v>78</v>
      </c>
      <c r="D473" s="8">
        <v>8.9</v>
      </c>
      <c r="E473" s="4">
        <v>57</v>
      </c>
      <c r="F473" s="8">
        <v>10.98</v>
      </c>
      <c r="G473" s="4">
        <v>21</v>
      </c>
      <c r="H473" s="8">
        <v>6.25</v>
      </c>
      <c r="I473" s="4">
        <v>0</v>
      </c>
    </row>
    <row r="474" spans="1:9" x14ac:dyDescent="0.2">
      <c r="A474" s="2">
        <v>3</v>
      </c>
      <c r="B474" s="1" t="s">
        <v>77</v>
      </c>
      <c r="C474" s="4">
        <v>72</v>
      </c>
      <c r="D474" s="8">
        <v>8.2200000000000006</v>
      </c>
      <c r="E474" s="4">
        <v>45</v>
      </c>
      <c r="F474" s="8">
        <v>8.67</v>
      </c>
      <c r="G474" s="4">
        <v>27</v>
      </c>
      <c r="H474" s="8">
        <v>8.0399999999999991</v>
      </c>
      <c r="I474" s="4">
        <v>0</v>
      </c>
    </row>
    <row r="475" spans="1:9" x14ac:dyDescent="0.2">
      <c r="A475" s="2">
        <v>4</v>
      </c>
      <c r="B475" s="1" t="s">
        <v>81</v>
      </c>
      <c r="C475" s="4">
        <v>68</v>
      </c>
      <c r="D475" s="8">
        <v>7.76</v>
      </c>
      <c r="E475" s="4">
        <v>61</v>
      </c>
      <c r="F475" s="8">
        <v>11.75</v>
      </c>
      <c r="G475" s="4">
        <v>7</v>
      </c>
      <c r="H475" s="8">
        <v>2.08</v>
      </c>
      <c r="I475" s="4">
        <v>0</v>
      </c>
    </row>
    <row r="476" spans="1:9" x14ac:dyDescent="0.2">
      <c r="A476" s="2">
        <v>5</v>
      </c>
      <c r="B476" s="1" t="s">
        <v>66</v>
      </c>
      <c r="C476" s="4">
        <v>56</v>
      </c>
      <c r="D476" s="8">
        <v>6.39</v>
      </c>
      <c r="E476" s="4">
        <v>20</v>
      </c>
      <c r="F476" s="8">
        <v>3.85</v>
      </c>
      <c r="G476" s="4">
        <v>36</v>
      </c>
      <c r="H476" s="8">
        <v>10.71</v>
      </c>
      <c r="I476" s="4">
        <v>0</v>
      </c>
    </row>
    <row r="477" spans="1:9" x14ac:dyDescent="0.2">
      <c r="A477" s="2">
        <v>6</v>
      </c>
      <c r="B477" s="1" t="s">
        <v>76</v>
      </c>
      <c r="C477" s="4">
        <v>52</v>
      </c>
      <c r="D477" s="8">
        <v>5.94</v>
      </c>
      <c r="E477" s="4">
        <v>43</v>
      </c>
      <c r="F477" s="8">
        <v>8.2899999999999991</v>
      </c>
      <c r="G477" s="4">
        <v>9</v>
      </c>
      <c r="H477" s="8">
        <v>2.68</v>
      </c>
      <c r="I477" s="4">
        <v>0</v>
      </c>
    </row>
    <row r="478" spans="1:9" x14ac:dyDescent="0.2">
      <c r="A478" s="2">
        <v>7</v>
      </c>
      <c r="B478" s="1" t="s">
        <v>67</v>
      </c>
      <c r="C478" s="4">
        <v>45</v>
      </c>
      <c r="D478" s="8">
        <v>5.14</v>
      </c>
      <c r="E478" s="4">
        <v>23</v>
      </c>
      <c r="F478" s="8">
        <v>4.43</v>
      </c>
      <c r="G478" s="4">
        <v>22</v>
      </c>
      <c r="H478" s="8">
        <v>6.55</v>
      </c>
      <c r="I478" s="4">
        <v>0</v>
      </c>
    </row>
    <row r="479" spans="1:9" x14ac:dyDescent="0.2">
      <c r="A479" s="2">
        <v>8</v>
      </c>
      <c r="B479" s="1" t="s">
        <v>71</v>
      </c>
      <c r="C479" s="4">
        <v>27</v>
      </c>
      <c r="D479" s="8">
        <v>3.08</v>
      </c>
      <c r="E479" s="4">
        <v>10</v>
      </c>
      <c r="F479" s="8">
        <v>1.93</v>
      </c>
      <c r="G479" s="4">
        <v>17</v>
      </c>
      <c r="H479" s="8">
        <v>5.0599999999999996</v>
      </c>
      <c r="I479" s="4">
        <v>0</v>
      </c>
    </row>
    <row r="480" spans="1:9" x14ac:dyDescent="0.2">
      <c r="A480" s="2">
        <v>8</v>
      </c>
      <c r="B480" s="1" t="s">
        <v>84</v>
      </c>
      <c r="C480" s="4">
        <v>27</v>
      </c>
      <c r="D480" s="8">
        <v>3.08</v>
      </c>
      <c r="E480" s="4">
        <v>26</v>
      </c>
      <c r="F480" s="8">
        <v>5.01</v>
      </c>
      <c r="G480" s="4">
        <v>1</v>
      </c>
      <c r="H480" s="8">
        <v>0.3</v>
      </c>
      <c r="I480" s="4">
        <v>0</v>
      </c>
    </row>
    <row r="481" spans="1:9" x14ac:dyDescent="0.2">
      <c r="A481" s="2">
        <v>10</v>
      </c>
      <c r="B481" s="1" t="s">
        <v>69</v>
      </c>
      <c r="C481" s="4">
        <v>23</v>
      </c>
      <c r="D481" s="8">
        <v>2.63</v>
      </c>
      <c r="E481" s="4">
        <v>16</v>
      </c>
      <c r="F481" s="8">
        <v>3.08</v>
      </c>
      <c r="G481" s="4">
        <v>7</v>
      </c>
      <c r="H481" s="8">
        <v>2.08</v>
      </c>
      <c r="I481" s="4">
        <v>0</v>
      </c>
    </row>
    <row r="482" spans="1:9" x14ac:dyDescent="0.2">
      <c r="A482" s="2">
        <v>10</v>
      </c>
      <c r="B482" s="1" t="s">
        <v>74</v>
      </c>
      <c r="C482" s="4">
        <v>23</v>
      </c>
      <c r="D482" s="8">
        <v>2.63</v>
      </c>
      <c r="E482" s="4">
        <v>15</v>
      </c>
      <c r="F482" s="8">
        <v>2.89</v>
      </c>
      <c r="G482" s="4">
        <v>8</v>
      </c>
      <c r="H482" s="8">
        <v>2.38</v>
      </c>
      <c r="I482" s="4">
        <v>0</v>
      </c>
    </row>
    <row r="483" spans="1:9" x14ac:dyDescent="0.2">
      <c r="A483" s="2">
        <v>10</v>
      </c>
      <c r="B483" s="1" t="s">
        <v>83</v>
      </c>
      <c r="C483" s="4">
        <v>23</v>
      </c>
      <c r="D483" s="8">
        <v>2.63</v>
      </c>
      <c r="E483" s="4">
        <v>14</v>
      </c>
      <c r="F483" s="8">
        <v>2.7</v>
      </c>
      <c r="G483" s="4">
        <v>6</v>
      </c>
      <c r="H483" s="8">
        <v>1.79</v>
      </c>
      <c r="I483" s="4">
        <v>0</v>
      </c>
    </row>
    <row r="484" spans="1:9" x14ac:dyDescent="0.2">
      <c r="A484" s="2">
        <v>13</v>
      </c>
      <c r="B484" s="1" t="s">
        <v>68</v>
      </c>
      <c r="C484" s="4">
        <v>20</v>
      </c>
      <c r="D484" s="8">
        <v>2.2799999999999998</v>
      </c>
      <c r="E484" s="4">
        <v>11</v>
      </c>
      <c r="F484" s="8">
        <v>2.12</v>
      </c>
      <c r="G484" s="4">
        <v>9</v>
      </c>
      <c r="H484" s="8">
        <v>2.68</v>
      </c>
      <c r="I484" s="4">
        <v>0</v>
      </c>
    </row>
    <row r="485" spans="1:9" x14ac:dyDescent="0.2">
      <c r="A485" s="2">
        <v>14</v>
      </c>
      <c r="B485" s="1" t="s">
        <v>78</v>
      </c>
      <c r="C485" s="4">
        <v>18</v>
      </c>
      <c r="D485" s="8">
        <v>2.0499999999999998</v>
      </c>
      <c r="E485" s="4">
        <v>11</v>
      </c>
      <c r="F485" s="8">
        <v>2.12</v>
      </c>
      <c r="G485" s="4">
        <v>7</v>
      </c>
      <c r="H485" s="8">
        <v>2.08</v>
      </c>
      <c r="I485" s="4">
        <v>0</v>
      </c>
    </row>
    <row r="486" spans="1:9" x14ac:dyDescent="0.2">
      <c r="A486" s="2">
        <v>14</v>
      </c>
      <c r="B486" s="1" t="s">
        <v>80</v>
      </c>
      <c r="C486" s="4">
        <v>18</v>
      </c>
      <c r="D486" s="8">
        <v>2.0499999999999998</v>
      </c>
      <c r="E486" s="4">
        <v>8</v>
      </c>
      <c r="F486" s="8">
        <v>1.54</v>
      </c>
      <c r="G486" s="4">
        <v>7</v>
      </c>
      <c r="H486" s="8">
        <v>2.08</v>
      </c>
      <c r="I486" s="4">
        <v>0</v>
      </c>
    </row>
    <row r="487" spans="1:9" x14ac:dyDescent="0.2">
      <c r="A487" s="2">
        <v>16</v>
      </c>
      <c r="B487" s="1" t="s">
        <v>98</v>
      </c>
      <c r="C487" s="4">
        <v>17</v>
      </c>
      <c r="D487" s="8">
        <v>1.94</v>
      </c>
      <c r="E487" s="4">
        <v>8</v>
      </c>
      <c r="F487" s="8">
        <v>1.54</v>
      </c>
      <c r="G487" s="4">
        <v>9</v>
      </c>
      <c r="H487" s="8">
        <v>2.68</v>
      </c>
      <c r="I487" s="4">
        <v>0</v>
      </c>
    </row>
    <row r="488" spans="1:9" x14ac:dyDescent="0.2">
      <c r="A488" s="2">
        <v>16</v>
      </c>
      <c r="B488" s="1" t="s">
        <v>97</v>
      </c>
      <c r="C488" s="4">
        <v>17</v>
      </c>
      <c r="D488" s="8">
        <v>1.94</v>
      </c>
      <c r="E488" s="4">
        <v>1</v>
      </c>
      <c r="F488" s="8">
        <v>0.19</v>
      </c>
      <c r="G488" s="4">
        <v>7</v>
      </c>
      <c r="H488" s="8">
        <v>2.08</v>
      </c>
      <c r="I488" s="4">
        <v>0</v>
      </c>
    </row>
    <row r="489" spans="1:9" x14ac:dyDescent="0.2">
      <c r="A489" s="2">
        <v>18</v>
      </c>
      <c r="B489" s="1" t="s">
        <v>93</v>
      </c>
      <c r="C489" s="4">
        <v>13</v>
      </c>
      <c r="D489" s="8">
        <v>1.48</v>
      </c>
      <c r="E489" s="4">
        <v>8</v>
      </c>
      <c r="F489" s="8">
        <v>1.54</v>
      </c>
      <c r="G489" s="4">
        <v>5</v>
      </c>
      <c r="H489" s="8">
        <v>1.49</v>
      </c>
      <c r="I489" s="4">
        <v>0</v>
      </c>
    </row>
    <row r="490" spans="1:9" x14ac:dyDescent="0.2">
      <c r="A490" s="2">
        <v>18</v>
      </c>
      <c r="B490" s="1" t="s">
        <v>79</v>
      </c>
      <c r="C490" s="4">
        <v>13</v>
      </c>
      <c r="D490" s="8">
        <v>1.48</v>
      </c>
      <c r="E490" s="4">
        <v>9</v>
      </c>
      <c r="F490" s="8">
        <v>1.73</v>
      </c>
      <c r="G490" s="4">
        <v>4</v>
      </c>
      <c r="H490" s="8">
        <v>1.19</v>
      </c>
      <c r="I490" s="4">
        <v>0</v>
      </c>
    </row>
    <row r="491" spans="1:9" x14ac:dyDescent="0.2">
      <c r="A491" s="2">
        <v>20</v>
      </c>
      <c r="B491" s="1" t="s">
        <v>101</v>
      </c>
      <c r="C491" s="4">
        <v>12</v>
      </c>
      <c r="D491" s="8">
        <v>1.37</v>
      </c>
      <c r="E491" s="4">
        <v>5</v>
      </c>
      <c r="F491" s="8">
        <v>0.96</v>
      </c>
      <c r="G491" s="4">
        <v>7</v>
      </c>
      <c r="H491" s="8">
        <v>2.08</v>
      </c>
      <c r="I491" s="4">
        <v>0</v>
      </c>
    </row>
    <row r="492" spans="1:9" x14ac:dyDescent="0.2">
      <c r="A492" s="1"/>
      <c r="C492" s="4"/>
      <c r="D492" s="8"/>
      <c r="E492" s="4"/>
      <c r="F492" s="8"/>
      <c r="G492" s="4"/>
      <c r="H492" s="8"/>
      <c r="I492" s="4"/>
    </row>
    <row r="493" spans="1:9" x14ac:dyDescent="0.2">
      <c r="A493" s="1" t="s">
        <v>22</v>
      </c>
      <c r="C493" s="4"/>
      <c r="D493" s="8"/>
      <c r="E493" s="4"/>
      <c r="F493" s="8"/>
      <c r="G493" s="4"/>
      <c r="H493" s="8"/>
      <c r="I493" s="4"/>
    </row>
    <row r="494" spans="1:9" x14ac:dyDescent="0.2">
      <c r="A494" s="2">
        <v>1</v>
      </c>
      <c r="B494" s="1" t="s">
        <v>78</v>
      </c>
      <c r="C494" s="4">
        <v>119</v>
      </c>
      <c r="D494" s="8">
        <v>13.95</v>
      </c>
      <c r="E494" s="4">
        <v>88</v>
      </c>
      <c r="F494" s="8">
        <v>20.420000000000002</v>
      </c>
      <c r="G494" s="4">
        <v>31</v>
      </c>
      <c r="H494" s="8">
        <v>7.52</v>
      </c>
      <c r="I494" s="4">
        <v>0</v>
      </c>
    </row>
    <row r="495" spans="1:9" x14ac:dyDescent="0.2">
      <c r="A495" s="2">
        <v>2</v>
      </c>
      <c r="B495" s="1" t="s">
        <v>82</v>
      </c>
      <c r="C495" s="4">
        <v>58</v>
      </c>
      <c r="D495" s="8">
        <v>6.8</v>
      </c>
      <c r="E495" s="4">
        <v>44</v>
      </c>
      <c r="F495" s="8">
        <v>10.210000000000001</v>
      </c>
      <c r="G495" s="4">
        <v>14</v>
      </c>
      <c r="H495" s="8">
        <v>3.4</v>
      </c>
      <c r="I495" s="4">
        <v>0</v>
      </c>
    </row>
    <row r="496" spans="1:9" x14ac:dyDescent="0.2">
      <c r="A496" s="2">
        <v>3</v>
      </c>
      <c r="B496" s="1" t="s">
        <v>69</v>
      </c>
      <c r="C496" s="4">
        <v>53</v>
      </c>
      <c r="D496" s="8">
        <v>6.21</v>
      </c>
      <c r="E496" s="4">
        <v>27</v>
      </c>
      <c r="F496" s="8">
        <v>6.26</v>
      </c>
      <c r="G496" s="4">
        <v>26</v>
      </c>
      <c r="H496" s="8">
        <v>6.31</v>
      </c>
      <c r="I496" s="4">
        <v>0</v>
      </c>
    </row>
    <row r="497" spans="1:9" x14ac:dyDescent="0.2">
      <c r="A497" s="2">
        <v>4</v>
      </c>
      <c r="B497" s="1" t="s">
        <v>81</v>
      </c>
      <c r="C497" s="4">
        <v>51</v>
      </c>
      <c r="D497" s="8">
        <v>5.98</v>
      </c>
      <c r="E497" s="4">
        <v>45</v>
      </c>
      <c r="F497" s="8">
        <v>10.44</v>
      </c>
      <c r="G497" s="4">
        <v>6</v>
      </c>
      <c r="H497" s="8">
        <v>1.46</v>
      </c>
      <c r="I497" s="4">
        <v>0</v>
      </c>
    </row>
    <row r="498" spans="1:9" x14ac:dyDescent="0.2">
      <c r="A498" s="2">
        <v>5</v>
      </c>
      <c r="B498" s="1" t="s">
        <v>67</v>
      </c>
      <c r="C498" s="4">
        <v>50</v>
      </c>
      <c r="D498" s="8">
        <v>5.86</v>
      </c>
      <c r="E498" s="4">
        <v>18</v>
      </c>
      <c r="F498" s="8">
        <v>4.18</v>
      </c>
      <c r="G498" s="4">
        <v>32</v>
      </c>
      <c r="H498" s="8">
        <v>7.77</v>
      </c>
      <c r="I498" s="4">
        <v>0</v>
      </c>
    </row>
    <row r="499" spans="1:9" x14ac:dyDescent="0.2">
      <c r="A499" s="2">
        <v>6</v>
      </c>
      <c r="B499" s="1" t="s">
        <v>76</v>
      </c>
      <c r="C499" s="4">
        <v>49</v>
      </c>
      <c r="D499" s="8">
        <v>5.74</v>
      </c>
      <c r="E499" s="4">
        <v>27</v>
      </c>
      <c r="F499" s="8">
        <v>6.26</v>
      </c>
      <c r="G499" s="4">
        <v>22</v>
      </c>
      <c r="H499" s="8">
        <v>5.34</v>
      </c>
      <c r="I499" s="4">
        <v>0</v>
      </c>
    </row>
    <row r="500" spans="1:9" x14ac:dyDescent="0.2">
      <c r="A500" s="2">
        <v>7</v>
      </c>
      <c r="B500" s="1" t="s">
        <v>66</v>
      </c>
      <c r="C500" s="4">
        <v>36</v>
      </c>
      <c r="D500" s="8">
        <v>4.22</v>
      </c>
      <c r="E500" s="4">
        <v>9</v>
      </c>
      <c r="F500" s="8">
        <v>2.09</v>
      </c>
      <c r="G500" s="4">
        <v>27</v>
      </c>
      <c r="H500" s="8">
        <v>6.55</v>
      </c>
      <c r="I500" s="4">
        <v>0</v>
      </c>
    </row>
    <row r="501" spans="1:9" x14ac:dyDescent="0.2">
      <c r="A501" s="2">
        <v>8</v>
      </c>
      <c r="B501" s="1" t="s">
        <v>84</v>
      </c>
      <c r="C501" s="4">
        <v>27</v>
      </c>
      <c r="D501" s="8">
        <v>3.17</v>
      </c>
      <c r="E501" s="4">
        <v>26</v>
      </c>
      <c r="F501" s="8">
        <v>6.03</v>
      </c>
      <c r="G501" s="4">
        <v>1</v>
      </c>
      <c r="H501" s="8">
        <v>0.24</v>
      </c>
      <c r="I501" s="4">
        <v>0</v>
      </c>
    </row>
    <row r="502" spans="1:9" x14ac:dyDescent="0.2">
      <c r="A502" s="2">
        <v>9</v>
      </c>
      <c r="B502" s="1" t="s">
        <v>68</v>
      </c>
      <c r="C502" s="4">
        <v>26</v>
      </c>
      <c r="D502" s="8">
        <v>3.05</v>
      </c>
      <c r="E502" s="4">
        <v>4</v>
      </c>
      <c r="F502" s="8">
        <v>0.93</v>
      </c>
      <c r="G502" s="4">
        <v>22</v>
      </c>
      <c r="H502" s="8">
        <v>5.34</v>
      </c>
      <c r="I502" s="4">
        <v>0</v>
      </c>
    </row>
    <row r="503" spans="1:9" x14ac:dyDescent="0.2">
      <c r="A503" s="2">
        <v>10</v>
      </c>
      <c r="B503" s="1" t="s">
        <v>71</v>
      </c>
      <c r="C503" s="4">
        <v>25</v>
      </c>
      <c r="D503" s="8">
        <v>2.93</v>
      </c>
      <c r="E503" s="4">
        <v>10</v>
      </c>
      <c r="F503" s="8">
        <v>2.3199999999999998</v>
      </c>
      <c r="G503" s="4">
        <v>15</v>
      </c>
      <c r="H503" s="8">
        <v>3.64</v>
      </c>
      <c r="I503" s="4">
        <v>0</v>
      </c>
    </row>
    <row r="504" spans="1:9" x14ac:dyDescent="0.2">
      <c r="A504" s="2">
        <v>10</v>
      </c>
      <c r="B504" s="1" t="s">
        <v>72</v>
      </c>
      <c r="C504" s="4">
        <v>25</v>
      </c>
      <c r="D504" s="8">
        <v>2.93</v>
      </c>
      <c r="E504" s="4">
        <v>5</v>
      </c>
      <c r="F504" s="8">
        <v>1.1599999999999999</v>
      </c>
      <c r="G504" s="4">
        <v>20</v>
      </c>
      <c r="H504" s="8">
        <v>4.8499999999999996</v>
      </c>
      <c r="I504" s="4">
        <v>0</v>
      </c>
    </row>
    <row r="505" spans="1:9" x14ac:dyDescent="0.2">
      <c r="A505" s="2">
        <v>12</v>
      </c>
      <c r="B505" s="1" t="s">
        <v>77</v>
      </c>
      <c r="C505" s="4">
        <v>24</v>
      </c>
      <c r="D505" s="8">
        <v>2.81</v>
      </c>
      <c r="E505" s="4">
        <v>11</v>
      </c>
      <c r="F505" s="8">
        <v>2.5499999999999998</v>
      </c>
      <c r="G505" s="4">
        <v>13</v>
      </c>
      <c r="H505" s="8">
        <v>3.16</v>
      </c>
      <c r="I505" s="4">
        <v>0</v>
      </c>
    </row>
    <row r="506" spans="1:9" x14ac:dyDescent="0.2">
      <c r="A506" s="2">
        <v>13</v>
      </c>
      <c r="B506" s="1" t="s">
        <v>79</v>
      </c>
      <c r="C506" s="4">
        <v>21</v>
      </c>
      <c r="D506" s="8">
        <v>2.46</v>
      </c>
      <c r="E506" s="4">
        <v>14</v>
      </c>
      <c r="F506" s="8">
        <v>3.25</v>
      </c>
      <c r="G506" s="4">
        <v>7</v>
      </c>
      <c r="H506" s="8">
        <v>1.7</v>
      </c>
      <c r="I506" s="4">
        <v>0</v>
      </c>
    </row>
    <row r="507" spans="1:9" x14ac:dyDescent="0.2">
      <c r="A507" s="2">
        <v>14</v>
      </c>
      <c r="B507" s="1" t="s">
        <v>83</v>
      </c>
      <c r="C507" s="4">
        <v>19</v>
      </c>
      <c r="D507" s="8">
        <v>2.23</v>
      </c>
      <c r="E507" s="4">
        <v>15</v>
      </c>
      <c r="F507" s="8">
        <v>3.48</v>
      </c>
      <c r="G507" s="4">
        <v>4</v>
      </c>
      <c r="H507" s="8">
        <v>0.97</v>
      </c>
      <c r="I507" s="4">
        <v>0</v>
      </c>
    </row>
    <row r="508" spans="1:9" x14ac:dyDescent="0.2">
      <c r="A508" s="2">
        <v>15</v>
      </c>
      <c r="B508" s="1" t="s">
        <v>87</v>
      </c>
      <c r="C508" s="4">
        <v>18</v>
      </c>
      <c r="D508" s="8">
        <v>2.11</v>
      </c>
      <c r="E508" s="4">
        <v>4</v>
      </c>
      <c r="F508" s="8">
        <v>0.93</v>
      </c>
      <c r="G508" s="4">
        <v>14</v>
      </c>
      <c r="H508" s="8">
        <v>3.4</v>
      </c>
      <c r="I508" s="4">
        <v>0</v>
      </c>
    </row>
    <row r="509" spans="1:9" x14ac:dyDescent="0.2">
      <c r="A509" s="2">
        <v>16</v>
      </c>
      <c r="B509" s="1" t="s">
        <v>85</v>
      </c>
      <c r="C509" s="4">
        <v>17</v>
      </c>
      <c r="D509" s="8">
        <v>1.99</v>
      </c>
      <c r="E509" s="4">
        <v>12</v>
      </c>
      <c r="F509" s="8">
        <v>2.78</v>
      </c>
      <c r="G509" s="4">
        <v>5</v>
      </c>
      <c r="H509" s="8">
        <v>1.21</v>
      </c>
      <c r="I509" s="4">
        <v>0</v>
      </c>
    </row>
    <row r="510" spans="1:9" x14ac:dyDescent="0.2">
      <c r="A510" s="2">
        <v>17</v>
      </c>
      <c r="B510" s="1" t="s">
        <v>75</v>
      </c>
      <c r="C510" s="4">
        <v>14</v>
      </c>
      <c r="D510" s="8">
        <v>1.64</v>
      </c>
      <c r="E510" s="4">
        <v>7</v>
      </c>
      <c r="F510" s="8">
        <v>1.62</v>
      </c>
      <c r="G510" s="4">
        <v>7</v>
      </c>
      <c r="H510" s="8">
        <v>1.7</v>
      </c>
      <c r="I510" s="4">
        <v>0</v>
      </c>
    </row>
    <row r="511" spans="1:9" x14ac:dyDescent="0.2">
      <c r="A511" s="2">
        <v>18</v>
      </c>
      <c r="B511" s="1" t="s">
        <v>94</v>
      </c>
      <c r="C511" s="4">
        <v>12</v>
      </c>
      <c r="D511" s="8">
        <v>1.41</v>
      </c>
      <c r="E511" s="4">
        <v>7</v>
      </c>
      <c r="F511" s="8">
        <v>1.62</v>
      </c>
      <c r="G511" s="4">
        <v>5</v>
      </c>
      <c r="H511" s="8">
        <v>1.21</v>
      </c>
      <c r="I511" s="4">
        <v>0</v>
      </c>
    </row>
    <row r="512" spans="1:9" x14ac:dyDescent="0.2">
      <c r="A512" s="2">
        <v>18</v>
      </c>
      <c r="B512" s="1" t="s">
        <v>73</v>
      </c>
      <c r="C512" s="4">
        <v>12</v>
      </c>
      <c r="D512" s="8">
        <v>1.41</v>
      </c>
      <c r="E512" s="4">
        <v>3</v>
      </c>
      <c r="F512" s="8">
        <v>0.7</v>
      </c>
      <c r="G512" s="4">
        <v>9</v>
      </c>
      <c r="H512" s="8">
        <v>2.1800000000000002</v>
      </c>
      <c r="I512" s="4">
        <v>0</v>
      </c>
    </row>
    <row r="513" spans="1:9" x14ac:dyDescent="0.2">
      <c r="A513" s="2">
        <v>20</v>
      </c>
      <c r="B513" s="1" t="s">
        <v>102</v>
      </c>
      <c r="C513" s="4">
        <v>11</v>
      </c>
      <c r="D513" s="8">
        <v>1.29</v>
      </c>
      <c r="E513" s="4">
        <v>2</v>
      </c>
      <c r="F513" s="8">
        <v>0.46</v>
      </c>
      <c r="G513" s="4">
        <v>9</v>
      </c>
      <c r="H513" s="8">
        <v>2.1800000000000002</v>
      </c>
      <c r="I513" s="4">
        <v>0</v>
      </c>
    </row>
    <row r="514" spans="1:9" x14ac:dyDescent="0.2">
      <c r="A514" s="2">
        <v>20</v>
      </c>
      <c r="B514" s="1" t="s">
        <v>80</v>
      </c>
      <c r="C514" s="4">
        <v>11</v>
      </c>
      <c r="D514" s="8">
        <v>1.29</v>
      </c>
      <c r="E514" s="4">
        <v>6</v>
      </c>
      <c r="F514" s="8">
        <v>1.39</v>
      </c>
      <c r="G514" s="4">
        <v>5</v>
      </c>
      <c r="H514" s="8">
        <v>1.21</v>
      </c>
      <c r="I514" s="4">
        <v>0</v>
      </c>
    </row>
    <row r="515" spans="1:9" x14ac:dyDescent="0.2">
      <c r="A515" s="1"/>
      <c r="C515" s="4"/>
      <c r="D515" s="8"/>
      <c r="E515" s="4"/>
      <c r="F515" s="8"/>
      <c r="G515" s="4"/>
      <c r="H515" s="8"/>
      <c r="I515" s="4"/>
    </row>
    <row r="516" spans="1:9" x14ac:dyDescent="0.2">
      <c r="A516" s="1" t="s">
        <v>23</v>
      </c>
      <c r="C516" s="4"/>
      <c r="D516" s="8"/>
      <c r="E516" s="4"/>
      <c r="F516" s="8"/>
      <c r="G516" s="4"/>
      <c r="H516" s="8"/>
      <c r="I516" s="4"/>
    </row>
    <row r="517" spans="1:9" x14ac:dyDescent="0.2">
      <c r="A517" s="2">
        <v>1</v>
      </c>
      <c r="B517" s="1" t="s">
        <v>82</v>
      </c>
      <c r="C517" s="4">
        <v>52</v>
      </c>
      <c r="D517" s="8">
        <v>9.76</v>
      </c>
      <c r="E517" s="4">
        <v>46</v>
      </c>
      <c r="F517" s="8">
        <v>16.43</v>
      </c>
      <c r="G517" s="4">
        <v>6</v>
      </c>
      <c r="H517" s="8">
        <v>2.42</v>
      </c>
      <c r="I517" s="4">
        <v>0</v>
      </c>
    </row>
    <row r="518" spans="1:9" x14ac:dyDescent="0.2">
      <c r="A518" s="2">
        <v>2</v>
      </c>
      <c r="B518" s="1" t="s">
        <v>77</v>
      </c>
      <c r="C518" s="4">
        <v>42</v>
      </c>
      <c r="D518" s="8">
        <v>7.88</v>
      </c>
      <c r="E518" s="4">
        <v>23</v>
      </c>
      <c r="F518" s="8">
        <v>8.2100000000000009</v>
      </c>
      <c r="G518" s="4">
        <v>19</v>
      </c>
      <c r="H518" s="8">
        <v>7.66</v>
      </c>
      <c r="I518" s="4">
        <v>0</v>
      </c>
    </row>
    <row r="519" spans="1:9" x14ac:dyDescent="0.2">
      <c r="A519" s="2">
        <v>3</v>
      </c>
      <c r="B519" s="1" t="s">
        <v>69</v>
      </c>
      <c r="C519" s="4">
        <v>37</v>
      </c>
      <c r="D519" s="8">
        <v>6.94</v>
      </c>
      <c r="E519" s="4">
        <v>20</v>
      </c>
      <c r="F519" s="8">
        <v>7.14</v>
      </c>
      <c r="G519" s="4">
        <v>17</v>
      </c>
      <c r="H519" s="8">
        <v>6.85</v>
      </c>
      <c r="I519" s="4">
        <v>0</v>
      </c>
    </row>
    <row r="520" spans="1:9" x14ac:dyDescent="0.2">
      <c r="A520" s="2">
        <v>4</v>
      </c>
      <c r="B520" s="1" t="s">
        <v>75</v>
      </c>
      <c r="C520" s="4">
        <v>33</v>
      </c>
      <c r="D520" s="8">
        <v>6.19</v>
      </c>
      <c r="E520" s="4">
        <v>27</v>
      </c>
      <c r="F520" s="8">
        <v>9.64</v>
      </c>
      <c r="G520" s="4">
        <v>6</v>
      </c>
      <c r="H520" s="8">
        <v>2.42</v>
      </c>
      <c r="I520" s="4">
        <v>0</v>
      </c>
    </row>
    <row r="521" spans="1:9" x14ac:dyDescent="0.2">
      <c r="A521" s="2">
        <v>5</v>
      </c>
      <c r="B521" s="1" t="s">
        <v>81</v>
      </c>
      <c r="C521" s="4">
        <v>31</v>
      </c>
      <c r="D521" s="8">
        <v>5.82</v>
      </c>
      <c r="E521" s="4">
        <v>27</v>
      </c>
      <c r="F521" s="8">
        <v>9.64</v>
      </c>
      <c r="G521" s="4">
        <v>4</v>
      </c>
      <c r="H521" s="8">
        <v>1.61</v>
      </c>
      <c r="I521" s="4">
        <v>0</v>
      </c>
    </row>
    <row r="522" spans="1:9" x14ac:dyDescent="0.2">
      <c r="A522" s="2">
        <v>6</v>
      </c>
      <c r="B522" s="1" t="s">
        <v>78</v>
      </c>
      <c r="C522" s="4">
        <v>27</v>
      </c>
      <c r="D522" s="8">
        <v>5.07</v>
      </c>
      <c r="E522" s="4">
        <v>3</v>
      </c>
      <c r="F522" s="8">
        <v>1.07</v>
      </c>
      <c r="G522" s="4">
        <v>24</v>
      </c>
      <c r="H522" s="8">
        <v>9.68</v>
      </c>
      <c r="I522" s="4">
        <v>0</v>
      </c>
    </row>
    <row r="523" spans="1:9" x14ac:dyDescent="0.2">
      <c r="A523" s="2">
        <v>7</v>
      </c>
      <c r="B523" s="1" t="s">
        <v>76</v>
      </c>
      <c r="C523" s="4">
        <v>24</v>
      </c>
      <c r="D523" s="8">
        <v>4.5</v>
      </c>
      <c r="E523" s="4">
        <v>14</v>
      </c>
      <c r="F523" s="8">
        <v>5</v>
      </c>
      <c r="G523" s="4">
        <v>10</v>
      </c>
      <c r="H523" s="8">
        <v>4.03</v>
      </c>
      <c r="I523" s="4">
        <v>0</v>
      </c>
    </row>
    <row r="524" spans="1:9" x14ac:dyDescent="0.2">
      <c r="A524" s="2">
        <v>8</v>
      </c>
      <c r="B524" s="1" t="s">
        <v>66</v>
      </c>
      <c r="C524" s="4">
        <v>20</v>
      </c>
      <c r="D524" s="8">
        <v>3.75</v>
      </c>
      <c r="E524" s="4">
        <v>6</v>
      </c>
      <c r="F524" s="8">
        <v>2.14</v>
      </c>
      <c r="G524" s="4">
        <v>14</v>
      </c>
      <c r="H524" s="8">
        <v>5.65</v>
      </c>
      <c r="I524" s="4">
        <v>0</v>
      </c>
    </row>
    <row r="525" spans="1:9" x14ac:dyDescent="0.2">
      <c r="A525" s="2">
        <v>8</v>
      </c>
      <c r="B525" s="1" t="s">
        <v>83</v>
      </c>
      <c r="C525" s="4">
        <v>20</v>
      </c>
      <c r="D525" s="8">
        <v>3.75</v>
      </c>
      <c r="E525" s="4">
        <v>13</v>
      </c>
      <c r="F525" s="8">
        <v>4.6399999999999997</v>
      </c>
      <c r="G525" s="4">
        <v>5</v>
      </c>
      <c r="H525" s="8">
        <v>2.02</v>
      </c>
      <c r="I525" s="4">
        <v>0</v>
      </c>
    </row>
    <row r="526" spans="1:9" x14ac:dyDescent="0.2">
      <c r="A526" s="2">
        <v>10</v>
      </c>
      <c r="B526" s="1" t="s">
        <v>84</v>
      </c>
      <c r="C526" s="4">
        <v>19</v>
      </c>
      <c r="D526" s="8">
        <v>3.56</v>
      </c>
      <c r="E526" s="4">
        <v>18</v>
      </c>
      <c r="F526" s="8">
        <v>6.43</v>
      </c>
      <c r="G526" s="4">
        <v>1</v>
      </c>
      <c r="H526" s="8">
        <v>0.4</v>
      </c>
      <c r="I526" s="4">
        <v>0</v>
      </c>
    </row>
    <row r="527" spans="1:9" x14ac:dyDescent="0.2">
      <c r="A527" s="2">
        <v>11</v>
      </c>
      <c r="B527" s="1" t="s">
        <v>67</v>
      </c>
      <c r="C527" s="4">
        <v>16</v>
      </c>
      <c r="D527" s="8">
        <v>3</v>
      </c>
      <c r="E527" s="4">
        <v>7</v>
      </c>
      <c r="F527" s="8">
        <v>2.5</v>
      </c>
      <c r="G527" s="4">
        <v>9</v>
      </c>
      <c r="H527" s="8">
        <v>3.63</v>
      </c>
      <c r="I527" s="4">
        <v>0</v>
      </c>
    </row>
    <row r="528" spans="1:9" x14ac:dyDescent="0.2">
      <c r="A528" s="2">
        <v>11</v>
      </c>
      <c r="B528" s="1" t="s">
        <v>85</v>
      </c>
      <c r="C528" s="4">
        <v>16</v>
      </c>
      <c r="D528" s="8">
        <v>3</v>
      </c>
      <c r="E528" s="4">
        <v>12</v>
      </c>
      <c r="F528" s="8">
        <v>4.29</v>
      </c>
      <c r="G528" s="4">
        <v>4</v>
      </c>
      <c r="H528" s="8">
        <v>1.61</v>
      </c>
      <c r="I528" s="4">
        <v>0</v>
      </c>
    </row>
    <row r="529" spans="1:9" x14ac:dyDescent="0.2">
      <c r="A529" s="2">
        <v>13</v>
      </c>
      <c r="B529" s="1" t="s">
        <v>74</v>
      </c>
      <c r="C529" s="4">
        <v>13</v>
      </c>
      <c r="D529" s="8">
        <v>2.44</v>
      </c>
      <c r="E529" s="4">
        <v>10</v>
      </c>
      <c r="F529" s="8">
        <v>3.57</v>
      </c>
      <c r="G529" s="4">
        <v>3</v>
      </c>
      <c r="H529" s="8">
        <v>1.21</v>
      </c>
      <c r="I529" s="4">
        <v>0</v>
      </c>
    </row>
    <row r="530" spans="1:9" x14ac:dyDescent="0.2">
      <c r="A530" s="2">
        <v>14</v>
      </c>
      <c r="B530" s="1" t="s">
        <v>68</v>
      </c>
      <c r="C530" s="4">
        <v>12</v>
      </c>
      <c r="D530" s="8">
        <v>2.25</v>
      </c>
      <c r="E530" s="4">
        <v>2</v>
      </c>
      <c r="F530" s="8">
        <v>0.71</v>
      </c>
      <c r="G530" s="4">
        <v>10</v>
      </c>
      <c r="H530" s="8">
        <v>4.03</v>
      </c>
      <c r="I530" s="4">
        <v>0</v>
      </c>
    </row>
    <row r="531" spans="1:9" x14ac:dyDescent="0.2">
      <c r="A531" s="2">
        <v>14</v>
      </c>
      <c r="B531" s="1" t="s">
        <v>71</v>
      </c>
      <c r="C531" s="4">
        <v>12</v>
      </c>
      <c r="D531" s="8">
        <v>2.25</v>
      </c>
      <c r="E531" s="4">
        <v>5</v>
      </c>
      <c r="F531" s="8">
        <v>1.79</v>
      </c>
      <c r="G531" s="4">
        <v>7</v>
      </c>
      <c r="H531" s="8">
        <v>2.82</v>
      </c>
      <c r="I531" s="4">
        <v>0</v>
      </c>
    </row>
    <row r="532" spans="1:9" x14ac:dyDescent="0.2">
      <c r="A532" s="2">
        <v>16</v>
      </c>
      <c r="B532" s="1" t="s">
        <v>79</v>
      </c>
      <c r="C532" s="4">
        <v>11</v>
      </c>
      <c r="D532" s="8">
        <v>2.06</v>
      </c>
      <c r="E532" s="4">
        <v>6</v>
      </c>
      <c r="F532" s="8">
        <v>2.14</v>
      </c>
      <c r="G532" s="4">
        <v>5</v>
      </c>
      <c r="H532" s="8">
        <v>2.02</v>
      </c>
      <c r="I532" s="4">
        <v>0</v>
      </c>
    </row>
    <row r="533" spans="1:9" x14ac:dyDescent="0.2">
      <c r="A533" s="2">
        <v>17</v>
      </c>
      <c r="B533" s="1" t="s">
        <v>72</v>
      </c>
      <c r="C533" s="4">
        <v>9</v>
      </c>
      <c r="D533" s="8">
        <v>1.69</v>
      </c>
      <c r="E533" s="4">
        <v>1</v>
      </c>
      <c r="F533" s="8">
        <v>0.36</v>
      </c>
      <c r="G533" s="4">
        <v>8</v>
      </c>
      <c r="H533" s="8">
        <v>3.23</v>
      </c>
      <c r="I533" s="4">
        <v>0</v>
      </c>
    </row>
    <row r="534" spans="1:9" x14ac:dyDescent="0.2">
      <c r="A534" s="2">
        <v>18</v>
      </c>
      <c r="B534" s="1" t="s">
        <v>86</v>
      </c>
      <c r="C534" s="4">
        <v>8</v>
      </c>
      <c r="D534" s="8">
        <v>1.5</v>
      </c>
      <c r="E534" s="4">
        <v>1</v>
      </c>
      <c r="F534" s="8">
        <v>0.36</v>
      </c>
      <c r="G534" s="4">
        <v>7</v>
      </c>
      <c r="H534" s="8">
        <v>2.82</v>
      </c>
      <c r="I534" s="4">
        <v>0</v>
      </c>
    </row>
    <row r="535" spans="1:9" x14ac:dyDescent="0.2">
      <c r="A535" s="2">
        <v>18</v>
      </c>
      <c r="B535" s="1" t="s">
        <v>73</v>
      </c>
      <c r="C535" s="4">
        <v>8</v>
      </c>
      <c r="D535" s="8">
        <v>1.5</v>
      </c>
      <c r="E535" s="4">
        <v>3</v>
      </c>
      <c r="F535" s="8">
        <v>1.07</v>
      </c>
      <c r="G535" s="4">
        <v>5</v>
      </c>
      <c r="H535" s="8">
        <v>2.02</v>
      </c>
      <c r="I535" s="4">
        <v>0</v>
      </c>
    </row>
    <row r="536" spans="1:9" x14ac:dyDescent="0.2">
      <c r="A536" s="2">
        <v>20</v>
      </c>
      <c r="B536" s="1" t="s">
        <v>93</v>
      </c>
      <c r="C536" s="4">
        <v>7</v>
      </c>
      <c r="D536" s="8">
        <v>1.31</v>
      </c>
      <c r="E536" s="4">
        <v>2</v>
      </c>
      <c r="F536" s="8">
        <v>0.71</v>
      </c>
      <c r="G536" s="4">
        <v>5</v>
      </c>
      <c r="H536" s="8">
        <v>2.02</v>
      </c>
      <c r="I536" s="4">
        <v>0</v>
      </c>
    </row>
    <row r="537" spans="1:9" x14ac:dyDescent="0.2">
      <c r="A537" s="2">
        <v>20</v>
      </c>
      <c r="B537" s="1" t="s">
        <v>105</v>
      </c>
      <c r="C537" s="4">
        <v>7</v>
      </c>
      <c r="D537" s="8">
        <v>1.31</v>
      </c>
      <c r="E537" s="4">
        <v>3</v>
      </c>
      <c r="F537" s="8">
        <v>1.07</v>
      </c>
      <c r="G537" s="4">
        <v>4</v>
      </c>
      <c r="H537" s="8">
        <v>1.61</v>
      </c>
      <c r="I537" s="4">
        <v>0</v>
      </c>
    </row>
    <row r="538" spans="1:9" x14ac:dyDescent="0.2">
      <c r="A538" s="2">
        <v>20</v>
      </c>
      <c r="B538" s="1" t="s">
        <v>87</v>
      </c>
      <c r="C538" s="4">
        <v>7</v>
      </c>
      <c r="D538" s="8">
        <v>1.31</v>
      </c>
      <c r="E538" s="4">
        <v>0</v>
      </c>
      <c r="F538" s="8">
        <v>0</v>
      </c>
      <c r="G538" s="4">
        <v>7</v>
      </c>
      <c r="H538" s="8">
        <v>2.82</v>
      </c>
      <c r="I538" s="4">
        <v>0</v>
      </c>
    </row>
    <row r="539" spans="1:9" x14ac:dyDescent="0.2">
      <c r="A539" s="2">
        <v>20</v>
      </c>
      <c r="B539" s="1" t="s">
        <v>80</v>
      </c>
      <c r="C539" s="4">
        <v>7</v>
      </c>
      <c r="D539" s="8">
        <v>1.31</v>
      </c>
      <c r="E539" s="4">
        <v>3</v>
      </c>
      <c r="F539" s="8">
        <v>1.07</v>
      </c>
      <c r="G539" s="4">
        <v>4</v>
      </c>
      <c r="H539" s="8">
        <v>1.61</v>
      </c>
      <c r="I539" s="4">
        <v>0</v>
      </c>
    </row>
    <row r="540" spans="1:9" x14ac:dyDescent="0.2">
      <c r="A540" s="1"/>
      <c r="C540" s="4"/>
      <c r="D540" s="8"/>
      <c r="E540" s="4"/>
      <c r="F540" s="8"/>
      <c r="G540" s="4"/>
      <c r="H540" s="8"/>
      <c r="I540" s="4"/>
    </row>
    <row r="541" spans="1:9" x14ac:dyDescent="0.2">
      <c r="A541" s="1" t="s">
        <v>24</v>
      </c>
      <c r="C541" s="4"/>
      <c r="D541" s="8"/>
      <c r="E541" s="4"/>
      <c r="F541" s="8"/>
      <c r="G541" s="4"/>
      <c r="H541" s="8"/>
      <c r="I541" s="4"/>
    </row>
    <row r="542" spans="1:9" x14ac:dyDescent="0.2">
      <c r="A542" s="2">
        <v>1</v>
      </c>
      <c r="B542" s="1" t="s">
        <v>82</v>
      </c>
      <c r="C542" s="4">
        <v>57</v>
      </c>
      <c r="D542" s="8">
        <v>9.7100000000000009</v>
      </c>
      <c r="E542" s="4">
        <v>48</v>
      </c>
      <c r="F542" s="8">
        <v>14.68</v>
      </c>
      <c r="G542" s="4">
        <v>9</v>
      </c>
      <c r="H542" s="8">
        <v>3.66</v>
      </c>
      <c r="I542" s="4">
        <v>0</v>
      </c>
    </row>
    <row r="543" spans="1:9" x14ac:dyDescent="0.2">
      <c r="A543" s="2">
        <v>2</v>
      </c>
      <c r="B543" s="1" t="s">
        <v>66</v>
      </c>
      <c r="C543" s="4">
        <v>54</v>
      </c>
      <c r="D543" s="8">
        <v>9.1999999999999993</v>
      </c>
      <c r="E543" s="4">
        <v>18</v>
      </c>
      <c r="F543" s="8">
        <v>5.5</v>
      </c>
      <c r="G543" s="4">
        <v>36</v>
      </c>
      <c r="H543" s="8">
        <v>14.63</v>
      </c>
      <c r="I543" s="4">
        <v>0</v>
      </c>
    </row>
    <row r="544" spans="1:9" x14ac:dyDescent="0.2">
      <c r="A544" s="2">
        <v>3</v>
      </c>
      <c r="B544" s="1" t="s">
        <v>77</v>
      </c>
      <c r="C544" s="4">
        <v>51</v>
      </c>
      <c r="D544" s="8">
        <v>8.69</v>
      </c>
      <c r="E544" s="4">
        <v>38</v>
      </c>
      <c r="F544" s="8">
        <v>11.62</v>
      </c>
      <c r="G544" s="4">
        <v>13</v>
      </c>
      <c r="H544" s="8">
        <v>5.28</v>
      </c>
      <c r="I544" s="4">
        <v>0</v>
      </c>
    </row>
    <row r="545" spans="1:9" x14ac:dyDescent="0.2">
      <c r="A545" s="2">
        <v>4</v>
      </c>
      <c r="B545" s="1" t="s">
        <v>75</v>
      </c>
      <c r="C545" s="4">
        <v>46</v>
      </c>
      <c r="D545" s="8">
        <v>7.84</v>
      </c>
      <c r="E545" s="4">
        <v>39</v>
      </c>
      <c r="F545" s="8">
        <v>11.93</v>
      </c>
      <c r="G545" s="4">
        <v>7</v>
      </c>
      <c r="H545" s="8">
        <v>2.85</v>
      </c>
      <c r="I545" s="4">
        <v>0</v>
      </c>
    </row>
    <row r="546" spans="1:9" x14ac:dyDescent="0.2">
      <c r="A546" s="2">
        <v>5</v>
      </c>
      <c r="B546" s="1" t="s">
        <v>81</v>
      </c>
      <c r="C546" s="4">
        <v>41</v>
      </c>
      <c r="D546" s="8">
        <v>6.98</v>
      </c>
      <c r="E546" s="4">
        <v>38</v>
      </c>
      <c r="F546" s="8">
        <v>11.62</v>
      </c>
      <c r="G546" s="4">
        <v>3</v>
      </c>
      <c r="H546" s="8">
        <v>1.22</v>
      </c>
      <c r="I546" s="4">
        <v>0</v>
      </c>
    </row>
    <row r="547" spans="1:9" x14ac:dyDescent="0.2">
      <c r="A547" s="2">
        <v>6</v>
      </c>
      <c r="B547" s="1" t="s">
        <v>67</v>
      </c>
      <c r="C547" s="4">
        <v>40</v>
      </c>
      <c r="D547" s="8">
        <v>6.81</v>
      </c>
      <c r="E547" s="4">
        <v>22</v>
      </c>
      <c r="F547" s="8">
        <v>6.73</v>
      </c>
      <c r="G547" s="4">
        <v>18</v>
      </c>
      <c r="H547" s="8">
        <v>7.32</v>
      </c>
      <c r="I547" s="4">
        <v>0</v>
      </c>
    </row>
    <row r="548" spans="1:9" x14ac:dyDescent="0.2">
      <c r="A548" s="2">
        <v>7</v>
      </c>
      <c r="B548" s="1" t="s">
        <v>68</v>
      </c>
      <c r="C548" s="4">
        <v>28</v>
      </c>
      <c r="D548" s="8">
        <v>4.7699999999999996</v>
      </c>
      <c r="E548" s="4">
        <v>11</v>
      </c>
      <c r="F548" s="8">
        <v>3.36</v>
      </c>
      <c r="G548" s="4">
        <v>17</v>
      </c>
      <c r="H548" s="8">
        <v>6.91</v>
      </c>
      <c r="I548" s="4">
        <v>0</v>
      </c>
    </row>
    <row r="549" spans="1:9" x14ac:dyDescent="0.2">
      <c r="A549" s="2">
        <v>8</v>
      </c>
      <c r="B549" s="1" t="s">
        <v>76</v>
      </c>
      <c r="C549" s="4">
        <v>26</v>
      </c>
      <c r="D549" s="8">
        <v>4.43</v>
      </c>
      <c r="E549" s="4">
        <v>16</v>
      </c>
      <c r="F549" s="8">
        <v>4.8899999999999997</v>
      </c>
      <c r="G549" s="4">
        <v>10</v>
      </c>
      <c r="H549" s="8">
        <v>4.07</v>
      </c>
      <c r="I549" s="4">
        <v>0</v>
      </c>
    </row>
    <row r="550" spans="1:9" x14ac:dyDescent="0.2">
      <c r="A550" s="2">
        <v>9</v>
      </c>
      <c r="B550" s="1" t="s">
        <v>83</v>
      </c>
      <c r="C550" s="4">
        <v>22</v>
      </c>
      <c r="D550" s="8">
        <v>3.75</v>
      </c>
      <c r="E550" s="4">
        <v>7</v>
      </c>
      <c r="F550" s="8">
        <v>2.14</v>
      </c>
      <c r="G550" s="4">
        <v>6</v>
      </c>
      <c r="H550" s="8">
        <v>2.44</v>
      </c>
      <c r="I550" s="4">
        <v>0</v>
      </c>
    </row>
    <row r="551" spans="1:9" x14ac:dyDescent="0.2">
      <c r="A551" s="2">
        <v>10</v>
      </c>
      <c r="B551" s="1" t="s">
        <v>71</v>
      </c>
      <c r="C551" s="4">
        <v>17</v>
      </c>
      <c r="D551" s="8">
        <v>2.9</v>
      </c>
      <c r="E551" s="4">
        <v>5</v>
      </c>
      <c r="F551" s="8">
        <v>1.53</v>
      </c>
      <c r="G551" s="4">
        <v>12</v>
      </c>
      <c r="H551" s="8">
        <v>4.88</v>
      </c>
      <c r="I551" s="4">
        <v>0</v>
      </c>
    </row>
    <row r="552" spans="1:9" x14ac:dyDescent="0.2">
      <c r="A552" s="2">
        <v>11</v>
      </c>
      <c r="B552" s="1" t="s">
        <v>84</v>
      </c>
      <c r="C552" s="4">
        <v>15</v>
      </c>
      <c r="D552" s="8">
        <v>2.56</v>
      </c>
      <c r="E552" s="4">
        <v>14</v>
      </c>
      <c r="F552" s="8">
        <v>4.28</v>
      </c>
      <c r="G552" s="4">
        <v>1</v>
      </c>
      <c r="H552" s="8">
        <v>0.41</v>
      </c>
      <c r="I552" s="4">
        <v>0</v>
      </c>
    </row>
    <row r="553" spans="1:9" x14ac:dyDescent="0.2">
      <c r="A553" s="2">
        <v>12</v>
      </c>
      <c r="B553" s="1" t="s">
        <v>74</v>
      </c>
      <c r="C553" s="4">
        <v>14</v>
      </c>
      <c r="D553" s="8">
        <v>2.39</v>
      </c>
      <c r="E553" s="4">
        <v>10</v>
      </c>
      <c r="F553" s="8">
        <v>3.06</v>
      </c>
      <c r="G553" s="4">
        <v>4</v>
      </c>
      <c r="H553" s="8">
        <v>1.63</v>
      </c>
      <c r="I553" s="4">
        <v>0</v>
      </c>
    </row>
    <row r="554" spans="1:9" x14ac:dyDescent="0.2">
      <c r="A554" s="2">
        <v>13</v>
      </c>
      <c r="B554" s="1" t="s">
        <v>72</v>
      </c>
      <c r="C554" s="4">
        <v>13</v>
      </c>
      <c r="D554" s="8">
        <v>2.21</v>
      </c>
      <c r="E554" s="4">
        <v>3</v>
      </c>
      <c r="F554" s="8">
        <v>0.92</v>
      </c>
      <c r="G554" s="4">
        <v>10</v>
      </c>
      <c r="H554" s="8">
        <v>4.07</v>
      </c>
      <c r="I554" s="4">
        <v>0</v>
      </c>
    </row>
    <row r="555" spans="1:9" x14ac:dyDescent="0.2">
      <c r="A555" s="2">
        <v>14</v>
      </c>
      <c r="B555" s="1" t="s">
        <v>69</v>
      </c>
      <c r="C555" s="4">
        <v>12</v>
      </c>
      <c r="D555" s="8">
        <v>2.04</v>
      </c>
      <c r="E555" s="4">
        <v>6</v>
      </c>
      <c r="F555" s="8">
        <v>1.83</v>
      </c>
      <c r="G555" s="4">
        <v>6</v>
      </c>
      <c r="H555" s="8">
        <v>2.44</v>
      </c>
      <c r="I555" s="4">
        <v>0</v>
      </c>
    </row>
    <row r="556" spans="1:9" x14ac:dyDescent="0.2">
      <c r="A556" s="2">
        <v>15</v>
      </c>
      <c r="B556" s="1" t="s">
        <v>78</v>
      </c>
      <c r="C556" s="4">
        <v>11</v>
      </c>
      <c r="D556" s="8">
        <v>1.87</v>
      </c>
      <c r="E556" s="4">
        <v>0</v>
      </c>
      <c r="F556" s="8">
        <v>0</v>
      </c>
      <c r="G556" s="4">
        <v>11</v>
      </c>
      <c r="H556" s="8">
        <v>4.47</v>
      </c>
      <c r="I556" s="4">
        <v>0</v>
      </c>
    </row>
    <row r="557" spans="1:9" x14ac:dyDescent="0.2">
      <c r="A557" s="2">
        <v>16</v>
      </c>
      <c r="B557" s="1" t="s">
        <v>85</v>
      </c>
      <c r="C557" s="4">
        <v>10</v>
      </c>
      <c r="D557" s="8">
        <v>1.7</v>
      </c>
      <c r="E557" s="4">
        <v>9</v>
      </c>
      <c r="F557" s="8">
        <v>2.75</v>
      </c>
      <c r="G557" s="4">
        <v>1</v>
      </c>
      <c r="H557" s="8">
        <v>0.41</v>
      </c>
      <c r="I557" s="4">
        <v>0</v>
      </c>
    </row>
    <row r="558" spans="1:9" x14ac:dyDescent="0.2">
      <c r="A558" s="2">
        <v>17</v>
      </c>
      <c r="B558" s="1" t="s">
        <v>100</v>
      </c>
      <c r="C558" s="4">
        <v>9</v>
      </c>
      <c r="D558" s="8">
        <v>1.53</v>
      </c>
      <c r="E558" s="4">
        <v>4</v>
      </c>
      <c r="F558" s="8">
        <v>1.22</v>
      </c>
      <c r="G558" s="4">
        <v>5</v>
      </c>
      <c r="H558" s="8">
        <v>2.0299999999999998</v>
      </c>
      <c r="I558" s="4">
        <v>0</v>
      </c>
    </row>
    <row r="559" spans="1:9" x14ac:dyDescent="0.2">
      <c r="A559" s="2">
        <v>18</v>
      </c>
      <c r="B559" s="1" t="s">
        <v>89</v>
      </c>
      <c r="C559" s="4">
        <v>8</v>
      </c>
      <c r="D559" s="8">
        <v>1.36</v>
      </c>
      <c r="E559" s="4">
        <v>1</v>
      </c>
      <c r="F559" s="8">
        <v>0.31</v>
      </c>
      <c r="G559" s="4">
        <v>7</v>
      </c>
      <c r="H559" s="8">
        <v>2.85</v>
      </c>
      <c r="I559" s="4">
        <v>0</v>
      </c>
    </row>
    <row r="560" spans="1:9" x14ac:dyDescent="0.2">
      <c r="A560" s="2">
        <v>18</v>
      </c>
      <c r="B560" s="1" t="s">
        <v>87</v>
      </c>
      <c r="C560" s="4">
        <v>8</v>
      </c>
      <c r="D560" s="8">
        <v>1.36</v>
      </c>
      <c r="E560" s="4">
        <v>1</v>
      </c>
      <c r="F560" s="8">
        <v>0.31</v>
      </c>
      <c r="G560" s="4">
        <v>7</v>
      </c>
      <c r="H560" s="8">
        <v>2.85</v>
      </c>
      <c r="I560" s="4">
        <v>0</v>
      </c>
    </row>
    <row r="561" spans="1:9" x14ac:dyDescent="0.2">
      <c r="A561" s="2">
        <v>18</v>
      </c>
      <c r="B561" s="1" t="s">
        <v>90</v>
      </c>
      <c r="C561" s="4">
        <v>8</v>
      </c>
      <c r="D561" s="8">
        <v>1.36</v>
      </c>
      <c r="E561" s="4">
        <v>3</v>
      </c>
      <c r="F561" s="8">
        <v>0.92</v>
      </c>
      <c r="G561" s="4">
        <v>4</v>
      </c>
      <c r="H561" s="8">
        <v>1.63</v>
      </c>
      <c r="I561" s="4">
        <v>0</v>
      </c>
    </row>
    <row r="562" spans="1:9" x14ac:dyDescent="0.2">
      <c r="A562" s="1"/>
      <c r="C562" s="4"/>
      <c r="D562" s="8"/>
      <c r="E562" s="4"/>
      <c r="F562" s="8"/>
      <c r="G562" s="4"/>
      <c r="H562" s="8"/>
      <c r="I562" s="4"/>
    </row>
    <row r="563" spans="1:9" x14ac:dyDescent="0.2">
      <c r="A563" s="1" t="s">
        <v>25</v>
      </c>
      <c r="C563" s="4"/>
      <c r="D563" s="8"/>
      <c r="E563" s="4"/>
      <c r="F563" s="8"/>
      <c r="G563" s="4"/>
      <c r="H563" s="8"/>
      <c r="I563" s="4"/>
    </row>
    <row r="564" spans="1:9" x14ac:dyDescent="0.2">
      <c r="A564" s="2">
        <v>1</v>
      </c>
      <c r="B564" s="1" t="s">
        <v>82</v>
      </c>
      <c r="C564" s="4">
        <v>64</v>
      </c>
      <c r="D564" s="8">
        <v>12.57</v>
      </c>
      <c r="E564" s="4">
        <v>60</v>
      </c>
      <c r="F564" s="8">
        <v>21.82</v>
      </c>
      <c r="G564" s="4">
        <v>4</v>
      </c>
      <c r="H564" s="8">
        <v>1.86</v>
      </c>
      <c r="I564" s="4">
        <v>0</v>
      </c>
    </row>
    <row r="565" spans="1:9" x14ac:dyDescent="0.2">
      <c r="A565" s="2">
        <v>2</v>
      </c>
      <c r="B565" s="1" t="s">
        <v>66</v>
      </c>
      <c r="C565" s="4">
        <v>52</v>
      </c>
      <c r="D565" s="8">
        <v>10.220000000000001</v>
      </c>
      <c r="E565" s="4">
        <v>10</v>
      </c>
      <c r="F565" s="8">
        <v>3.64</v>
      </c>
      <c r="G565" s="4">
        <v>42</v>
      </c>
      <c r="H565" s="8">
        <v>19.53</v>
      </c>
      <c r="I565" s="4">
        <v>0</v>
      </c>
    </row>
    <row r="566" spans="1:9" x14ac:dyDescent="0.2">
      <c r="A566" s="2">
        <v>3</v>
      </c>
      <c r="B566" s="1" t="s">
        <v>81</v>
      </c>
      <c r="C566" s="4">
        <v>39</v>
      </c>
      <c r="D566" s="8">
        <v>7.66</v>
      </c>
      <c r="E566" s="4">
        <v>36</v>
      </c>
      <c r="F566" s="8">
        <v>13.09</v>
      </c>
      <c r="G566" s="4">
        <v>3</v>
      </c>
      <c r="H566" s="8">
        <v>1.4</v>
      </c>
      <c r="I566" s="4">
        <v>0</v>
      </c>
    </row>
    <row r="567" spans="1:9" x14ac:dyDescent="0.2">
      <c r="A567" s="2">
        <v>4</v>
      </c>
      <c r="B567" s="1" t="s">
        <v>77</v>
      </c>
      <c r="C567" s="4">
        <v>30</v>
      </c>
      <c r="D567" s="8">
        <v>5.89</v>
      </c>
      <c r="E567" s="4">
        <v>12</v>
      </c>
      <c r="F567" s="8">
        <v>4.3600000000000003</v>
      </c>
      <c r="G567" s="4">
        <v>18</v>
      </c>
      <c r="H567" s="8">
        <v>8.3699999999999992</v>
      </c>
      <c r="I567" s="4">
        <v>0</v>
      </c>
    </row>
    <row r="568" spans="1:9" x14ac:dyDescent="0.2">
      <c r="A568" s="2">
        <v>5</v>
      </c>
      <c r="B568" s="1" t="s">
        <v>83</v>
      </c>
      <c r="C568" s="4">
        <v>27</v>
      </c>
      <c r="D568" s="8">
        <v>5.3</v>
      </c>
      <c r="E568" s="4">
        <v>12</v>
      </c>
      <c r="F568" s="8">
        <v>4.3600000000000003</v>
      </c>
      <c r="G568" s="4">
        <v>6</v>
      </c>
      <c r="H568" s="8">
        <v>2.79</v>
      </c>
      <c r="I568" s="4">
        <v>0</v>
      </c>
    </row>
    <row r="569" spans="1:9" x14ac:dyDescent="0.2">
      <c r="A569" s="2">
        <v>6</v>
      </c>
      <c r="B569" s="1" t="s">
        <v>75</v>
      </c>
      <c r="C569" s="4">
        <v>23</v>
      </c>
      <c r="D569" s="8">
        <v>4.5199999999999996</v>
      </c>
      <c r="E569" s="4">
        <v>17</v>
      </c>
      <c r="F569" s="8">
        <v>6.18</v>
      </c>
      <c r="G569" s="4">
        <v>5</v>
      </c>
      <c r="H569" s="8">
        <v>2.33</v>
      </c>
      <c r="I569" s="4">
        <v>1</v>
      </c>
    </row>
    <row r="570" spans="1:9" x14ac:dyDescent="0.2">
      <c r="A570" s="2">
        <v>7</v>
      </c>
      <c r="B570" s="1" t="s">
        <v>67</v>
      </c>
      <c r="C570" s="4">
        <v>20</v>
      </c>
      <c r="D570" s="8">
        <v>3.93</v>
      </c>
      <c r="E570" s="4">
        <v>15</v>
      </c>
      <c r="F570" s="8">
        <v>5.45</v>
      </c>
      <c r="G570" s="4">
        <v>5</v>
      </c>
      <c r="H570" s="8">
        <v>2.33</v>
      </c>
      <c r="I570" s="4">
        <v>0</v>
      </c>
    </row>
    <row r="571" spans="1:9" x14ac:dyDescent="0.2">
      <c r="A571" s="2">
        <v>8</v>
      </c>
      <c r="B571" s="1" t="s">
        <v>76</v>
      </c>
      <c r="C571" s="4">
        <v>18</v>
      </c>
      <c r="D571" s="8">
        <v>3.54</v>
      </c>
      <c r="E571" s="4">
        <v>9</v>
      </c>
      <c r="F571" s="8">
        <v>3.27</v>
      </c>
      <c r="G571" s="4">
        <v>9</v>
      </c>
      <c r="H571" s="8">
        <v>4.1900000000000004</v>
      </c>
      <c r="I571" s="4">
        <v>0</v>
      </c>
    </row>
    <row r="572" spans="1:9" x14ac:dyDescent="0.2">
      <c r="A572" s="2">
        <v>8</v>
      </c>
      <c r="B572" s="1" t="s">
        <v>84</v>
      </c>
      <c r="C572" s="4">
        <v>18</v>
      </c>
      <c r="D572" s="8">
        <v>3.54</v>
      </c>
      <c r="E572" s="4">
        <v>17</v>
      </c>
      <c r="F572" s="8">
        <v>6.18</v>
      </c>
      <c r="G572" s="4">
        <v>1</v>
      </c>
      <c r="H572" s="8">
        <v>0.47</v>
      </c>
      <c r="I572" s="4">
        <v>0</v>
      </c>
    </row>
    <row r="573" spans="1:9" x14ac:dyDescent="0.2">
      <c r="A573" s="2">
        <v>10</v>
      </c>
      <c r="B573" s="1" t="s">
        <v>68</v>
      </c>
      <c r="C573" s="4">
        <v>17</v>
      </c>
      <c r="D573" s="8">
        <v>3.34</v>
      </c>
      <c r="E573" s="4">
        <v>8</v>
      </c>
      <c r="F573" s="8">
        <v>2.91</v>
      </c>
      <c r="G573" s="4">
        <v>9</v>
      </c>
      <c r="H573" s="8">
        <v>4.1900000000000004</v>
      </c>
      <c r="I573" s="4">
        <v>0</v>
      </c>
    </row>
    <row r="574" spans="1:9" x14ac:dyDescent="0.2">
      <c r="A574" s="2">
        <v>10</v>
      </c>
      <c r="B574" s="1" t="s">
        <v>79</v>
      </c>
      <c r="C574" s="4">
        <v>17</v>
      </c>
      <c r="D574" s="8">
        <v>3.34</v>
      </c>
      <c r="E574" s="4">
        <v>14</v>
      </c>
      <c r="F574" s="8">
        <v>5.09</v>
      </c>
      <c r="G574" s="4">
        <v>3</v>
      </c>
      <c r="H574" s="8">
        <v>1.4</v>
      </c>
      <c r="I574" s="4">
        <v>0</v>
      </c>
    </row>
    <row r="575" spans="1:9" x14ac:dyDescent="0.2">
      <c r="A575" s="2">
        <v>12</v>
      </c>
      <c r="B575" s="1" t="s">
        <v>71</v>
      </c>
      <c r="C575" s="4">
        <v>16</v>
      </c>
      <c r="D575" s="8">
        <v>3.14</v>
      </c>
      <c r="E575" s="4">
        <v>3</v>
      </c>
      <c r="F575" s="8">
        <v>1.0900000000000001</v>
      </c>
      <c r="G575" s="4">
        <v>13</v>
      </c>
      <c r="H575" s="8">
        <v>6.05</v>
      </c>
      <c r="I575" s="4">
        <v>0</v>
      </c>
    </row>
    <row r="576" spans="1:9" x14ac:dyDescent="0.2">
      <c r="A576" s="2">
        <v>13</v>
      </c>
      <c r="B576" s="1" t="s">
        <v>93</v>
      </c>
      <c r="C576" s="4">
        <v>13</v>
      </c>
      <c r="D576" s="8">
        <v>2.5499999999999998</v>
      </c>
      <c r="E576" s="4">
        <v>7</v>
      </c>
      <c r="F576" s="8">
        <v>2.5499999999999998</v>
      </c>
      <c r="G576" s="4">
        <v>6</v>
      </c>
      <c r="H576" s="8">
        <v>2.79</v>
      </c>
      <c r="I576" s="4">
        <v>0</v>
      </c>
    </row>
    <row r="577" spans="1:9" x14ac:dyDescent="0.2">
      <c r="A577" s="2">
        <v>14</v>
      </c>
      <c r="B577" s="1" t="s">
        <v>69</v>
      </c>
      <c r="C577" s="4">
        <v>12</v>
      </c>
      <c r="D577" s="8">
        <v>2.36</v>
      </c>
      <c r="E577" s="4">
        <v>1</v>
      </c>
      <c r="F577" s="8">
        <v>0.36</v>
      </c>
      <c r="G577" s="4">
        <v>11</v>
      </c>
      <c r="H577" s="8">
        <v>5.12</v>
      </c>
      <c r="I577" s="4">
        <v>0</v>
      </c>
    </row>
    <row r="578" spans="1:9" x14ac:dyDescent="0.2">
      <c r="A578" s="2">
        <v>15</v>
      </c>
      <c r="B578" s="1" t="s">
        <v>74</v>
      </c>
      <c r="C578" s="4">
        <v>11</v>
      </c>
      <c r="D578" s="8">
        <v>2.16</v>
      </c>
      <c r="E578" s="4">
        <v>5</v>
      </c>
      <c r="F578" s="8">
        <v>1.82</v>
      </c>
      <c r="G578" s="4">
        <v>6</v>
      </c>
      <c r="H578" s="8">
        <v>2.79</v>
      </c>
      <c r="I578" s="4">
        <v>0</v>
      </c>
    </row>
    <row r="579" spans="1:9" x14ac:dyDescent="0.2">
      <c r="A579" s="2">
        <v>16</v>
      </c>
      <c r="B579" s="1" t="s">
        <v>90</v>
      </c>
      <c r="C579" s="4">
        <v>10</v>
      </c>
      <c r="D579" s="8">
        <v>1.96</v>
      </c>
      <c r="E579" s="4">
        <v>5</v>
      </c>
      <c r="F579" s="8">
        <v>1.82</v>
      </c>
      <c r="G579" s="4">
        <v>4</v>
      </c>
      <c r="H579" s="8">
        <v>1.86</v>
      </c>
      <c r="I579" s="4">
        <v>0</v>
      </c>
    </row>
    <row r="580" spans="1:9" x14ac:dyDescent="0.2">
      <c r="A580" s="2">
        <v>17</v>
      </c>
      <c r="B580" s="1" t="s">
        <v>80</v>
      </c>
      <c r="C580" s="4">
        <v>9</v>
      </c>
      <c r="D580" s="8">
        <v>1.77</v>
      </c>
      <c r="E580" s="4">
        <v>3</v>
      </c>
      <c r="F580" s="8">
        <v>1.0900000000000001</v>
      </c>
      <c r="G580" s="4">
        <v>6</v>
      </c>
      <c r="H580" s="8">
        <v>2.79</v>
      </c>
      <c r="I580" s="4">
        <v>0</v>
      </c>
    </row>
    <row r="581" spans="1:9" x14ac:dyDescent="0.2">
      <c r="A581" s="2">
        <v>18</v>
      </c>
      <c r="B581" s="1" t="s">
        <v>72</v>
      </c>
      <c r="C581" s="4">
        <v>8</v>
      </c>
      <c r="D581" s="8">
        <v>1.57</v>
      </c>
      <c r="E581" s="4">
        <v>3</v>
      </c>
      <c r="F581" s="8">
        <v>1.0900000000000001</v>
      </c>
      <c r="G581" s="4">
        <v>5</v>
      </c>
      <c r="H581" s="8">
        <v>2.33</v>
      </c>
      <c r="I581" s="4">
        <v>0</v>
      </c>
    </row>
    <row r="582" spans="1:9" x14ac:dyDescent="0.2">
      <c r="A582" s="2">
        <v>19</v>
      </c>
      <c r="B582" s="1" t="s">
        <v>73</v>
      </c>
      <c r="C582" s="4">
        <v>7</v>
      </c>
      <c r="D582" s="8">
        <v>1.38</v>
      </c>
      <c r="E582" s="4">
        <v>3</v>
      </c>
      <c r="F582" s="8">
        <v>1.0900000000000001</v>
      </c>
      <c r="G582" s="4">
        <v>3</v>
      </c>
      <c r="H582" s="8">
        <v>1.4</v>
      </c>
      <c r="I582" s="4">
        <v>1</v>
      </c>
    </row>
    <row r="583" spans="1:9" x14ac:dyDescent="0.2">
      <c r="A583" s="2">
        <v>20</v>
      </c>
      <c r="B583" s="1" t="s">
        <v>100</v>
      </c>
      <c r="C583" s="4">
        <v>6</v>
      </c>
      <c r="D583" s="8">
        <v>1.18</v>
      </c>
      <c r="E583" s="4">
        <v>3</v>
      </c>
      <c r="F583" s="8">
        <v>1.0900000000000001</v>
      </c>
      <c r="G583" s="4">
        <v>3</v>
      </c>
      <c r="H583" s="8">
        <v>1.4</v>
      </c>
      <c r="I583" s="4">
        <v>0</v>
      </c>
    </row>
    <row r="584" spans="1:9" x14ac:dyDescent="0.2">
      <c r="A584" s="2">
        <v>20</v>
      </c>
      <c r="B584" s="1" t="s">
        <v>97</v>
      </c>
      <c r="C584" s="4">
        <v>6</v>
      </c>
      <c r="D584" s="8">
        <v>1.18</v>
      </c>
      <c r="E584" s="4">
        <v>0</v>
      </c>
      <c r="F584" s="8">
        <v>0</v>
      </c>
      <c r="G584" s="4">
        <v>3</v>
      </c>
      <c r="H584" s="8">
        <v>1.4</v>
      </c>
      <c r="I584" s="4">
        <v>0</v>
      </c>
    </row>
    <row r="585" spans="1:9" x14ac:dyDescent="0.2">
      <c r="A585" s="2">
        <v>20</v>
      </c>
      <c r="B585" s="1" t="s">
        <v>85</v>
      </c>
      <c r="C585" s="4">
        <v>6</v>
      </c>
      <c r="D585" s="8">
        <v>1.18</v>
      </c>
      <c r="E585" s="4">
        <v>5</v>
      </c>
      <c r="F585" s="8">
        <v>1.82</v>
      </c>
      <c r="G585" s="4">
        <v>1</v>
      </c>
      <c r="H585" s="8">
        <v>0.47</v>
      </c>
      <c r="I585" s="4">
        <v>0</v>
      </c>
    </row>
    <row r="586" spans="1:9" x14ac:dyDescent="0.2">
      <c r="A586" s="1"/>
      <c r="C586" s="4"/>
      <c r="D586" s="8"/>
      <c r="E586" s="4"/>
      <c r="F586" s="8"/>
      <c r="G586" s="4"/>
      <c r="H586" s="8"/>
      <c r="I586" s="4"/>
    </row>
    <row r="587" spans="1:9" x14ac:dyDescent="0.2">
      <c r="A587" s="1" t="s">
        <v>26</v>
      </c>
      <c r="C587" s="4"/>
      <c r="D587" s="8"/>
      <c r="E587" s="4"/>
      <c r="F587" s="8"/>
      <c r="G587" s="4"/>
      <c r="H587" s="8"/>
      <c r="I587" s="4"/>
    </row>
    <row r="588" spans="1:9" x14ac:dyDescent="0.2">
      <c r="A588" s="2">
        <v>1</v>
      </c>
      <c r="B588" s="1" t="s">
        <v>66</v>
      </c>
      <c r="C588" s="4">
        <v>17</v>
      </c>
      <c r="D588" s="8">
        <v>9.39</v>
      </c>
      <c r="E588" s="4">
        <v>8</v>
      </c>
      <c r="F588" s="8">
        <v>7.21</v>
      </c>
      <c r="G588" s="4">
        <v>9</v>
      </c>
      <c r="H588" s="8">
        <v>14.29</v>
      </c>
      <c r="I588" s="4">
        <v>0</v>
      </c>
    </row>
    <row r="589" spans="1:9" x14ac:dyDescent="0.2">
      <c r="A589" s="2">
        <v>2</v>
      </c>
      <c r="B589" s="1" t="s">
        <v>77</v>
      </c>
      <c r="C589" s="4">
        <v>16</v>
      </c>
      <c r="D589" s="8">
        <v>8.84</v>
      </c>
      <c r="E589" s="4">
        <v>8</v>
      </c>
      <c r="F589" s="8">
        <v>7.21</v>
      </c>
      <c r="G589" s="4">
        <v>8</v>
      </c>
      <c r="H589" s="8">
        <v>12.7</v>
      </c>
      <c r="I589" s="4">
        <v>0</v>
      </c>
    </row>
    <row r="590" spans="1:9" x14ac:dyDescent="0.2">
      <c r="A590" s="2">
        <v>3</v>
      </c>
      <c r="B590" s="1" t="s">
        <v>82</v>
      </c>
      <c r="C590" s="4">
        <v>14</v>
      </c>
      <c r="D590" s="8">
        <v>7.73</v>
      </c>
      <c r="E590" s="4">
        <v>14</v>
      </c>
      <c r="F590" s="8">
        <v>12.61</v>
      </c>
      <c r="G590" s="4">
        <v>0</v>
      </c>
      <c r="H590" s="8">
        <v>0</v>
      </c>
      <c r="I590" s="4">
        <v>0</v>
      </c>
    </row>
    <row r="591" spans="1:9" x14ac:dyDescent="0.2">
      <c r="A591" s="2">
        <v>4</v>
      </c>
      <c r="B591" s="1" t="s">
        <v>75</v>
      </c>
      <c r="C591" s="4">
        <v>11</v>
      </c>
      <c r="D591" s="8">
        <v>6.08</v>
      </c>
      <c r="E591" s="4">
        <v>11</v>
      </c>
      <c r="F591" s="8">
        <v>9.91</v>
      </c>
      <c r="G591" s="4">
        <v>0</v>
      </c>
      <c r="H591" s="8">
        <v>0</v>
      </c>
      <c r="I591" s="4">
        <v>0</v>
      </c>
    </row>
    <row r="592" spans="1:9" x14ac:dyDescent="0.2">
      <c r="A592" s="2">
        <v>4</v>
      </c>
      <c r="B592" s="1" t="s">
        <v>81</v>
      </c>
      <c r="C592" s="4">
        <v>11</v>
      </c>
      <c r="D592" s="8">
        <v>6.08</v>
      </c>
      <c r="E592" s="4">
        <v>9</v>
      </c>
      <c r="F592" s="8">
        <v>8.11</v>
      </c>
      <c r="G592" s="4">
        <v>2</v>
      </c>
      <c r="H592" s="8">
        <v>3.17</v>
      </c>
      <c r="I592" s="4">
        <v>0</v>
      </c>
    </row>
    <row r="593" spans="1:9" x14ac:dyDescent="0.2">
      <c r="A593" s="2">
        <v>6</v>
      </c>
      <c r="B593" s="1" t="s">
        <v>67</v>
      </c>
      <c r="C593" s="4">
        <v>10</v>
      </c>
      <c r="D593" s="8">
        <v>5.52</v>
      </c>
      <c r="E593" s="4">
        <v>7</v>
      </c>
      <c r="F593" s="8">
        <v>6.31</v>
      </c>
      <c r="G593" s="4">
        <v>3</v>
      </c>
      <c r="H593" s="8">
        <v>4.76</v>
      </c>
      <c r="I593" s="4">
        <v>0</v>
      </c>
    </row>
    <row r="594" spans="1:9" x14ac:dyDescent="0.2">
      <c r="A594" s="2">
        <v>6</v>
      </c>
      <c r="B594" s="1" t="s">
        <v>83</v>
      </c>
      <c r="C594" s="4">
        <v>10</v>
      </c>
      <c r="D594" s="8">
        <v>5.52</v>
      </c>
      <c r="E594" s="4">
        <v>5</v>
      </c>
      <c r="F594" s="8">
        <v>4.5</v>
      </c>
      <c r="G594" s="4">
        <v>0</v>
      </c>
      <c r="H594" s="8">
        <v>0</v>
      </c>
      <c r="I594" s="4">
        <v>1</v>
      </c>
    </row>
    <row r="595" spans="1:9" x14ac:dyDescent="0.2">
      <c r="A595" s="2">
        <v>8</v>
      </c>
      <c r="B595" s="1" t="s">
        <v>76</v>
      </c>
      <c r="C595" s="4">
        <v>8</v>
      </c>
      <c r="D595" s="8">
        <v>4.42</v>
      </c>
      <c r="E595" s="4">
        <v>7</v>
      </c>
      <c r="F595" s="8">
        <v>6.31</v>
      </c>
      <c r="G595" s="4">
        <v>1</v>
      </c>
      <c r="H595" s="8">
        <v>1.59</v>
      </c>
      <c r="I595" s="4">
        <v>0</v>
      </c>
    </row>
    <row r="596" spans="1:9" x14ac:dyDescent="0.2">
      <c r="A596" s="2">
        <v>9</v>
      </c>
      <c r="B596" s="1" t="s">
        <v>71</v>
      </c>
      <c r="C596" s="4">
        <v>7</v>
      </c>
      <c r="D596" s="8">
        <v>3.87</v>
      </c>
      <c r="E596" s="4">
        <v>2</v>
      </c>
      <c r="F596" s="8">
        <v>1.8</v>
      </c>
      <c r="G596" s="4">
        <v>5</v>
      </c>
      <c r="H596" s="8">
        <v>7.94</v>
      </c>
      <c r="I596" s="4">
        <v>0</v>
      </c>
    </row>
    <row r="597" spans="1:9" x14ac:dyDescent="0.2">
      <c r="A597" s="2">
        <v>9</v>
      </c>
      <c r="B597" s="1" t="s">
        <v>78</v>
      </c>
      <c r="C597" s="4">
        <v>7</v>
      </c>
      <c r="D597" s="8">
        <v>3.87</v>
      </c>
      <c r="E597" s="4">
        <v>4</v>
      </c>
      <c r="F597" s="8">
        <v>3.6</v>
      </c>
      <c r="G597" s="4">
        <v>3</v>
      </c>
      <c r="H597" s="8">
        <v>4.76</v>
      </c>
      <c r="I597" s="4">
        <v>0</v>
      </c>
    </row>
    <row r="598" spans="1:9" x14ac:dyDescent="0.2">
      <c r="A598" s="2">
        <v>11</v>
      </c>
      <c r="B598" s="1" t="s">
        <v>84</v>
      </c>
      <c r="C598" s="4">
        <v>6</v>
      </c>
      <c r="D598" s="8">
        <v>3.31</v>
      </c>
      <c r="E598" s="4">
        <v>6</v>
      </c>
      <c r="F598" s="8">
        <v>5.41</v>
      </c>
      <c r="G598" s="4">
        <v>0</v>
      </c>
      <c r="H598" s="8">
        <v>0</v>
      </c>
      <c r="I598" s="4">
        <v>0</v>
      </c>
    </row>
    <row r="599" spans="1:9" x14ac:dyDescent="0.2">
      <c r="A599" s="2">
        <v>12</v>
      </c>
      <c r="B599" s="1" t="s">
        <v>68</v>
      </c>
      <c r="C599" s="4">
        <v>5</v>
      </c>
      <c r="D599" s="8">
        <v>2.76</v>
      </c>
      <c r="E599" s="4">
        <v>1</v>
      </c>
      <c r="F599" s="8">
        <v>0.9</v>
      </c>
      <c r="G599" s="4">
        <v>4</v>
      </c>
      <c r="H599" s="8">
        <v>6.35</v>
      </c>
      <c r="I599" s="4">
        <v>0</v>
      </c>
    </row>
    <row r="600" spans="1:9" x14ac:dyDescent="0.2">
      <c r="A600" s="2">
        <v>12</v>
      </c>
      <c r="B600" s="1" t="s">
        <v>69</v>
      </c>
      <c r="C600" s="4">
        <v>5</v>
      </c>
      <c r="D600" s="8">
        <v>2.76</v>
      </c>
      <c r="E600" s="4">
        <v>2</v>
      </c>
      <c r="F600" s="8">
        <v>1.8</v>
      </c>
      <c r="G600" s="4">
        <v>3</v>
      </c>
      <c r="H600" s="8">
        <v>4.76</v>
      </c>
      <c r="I600" s="4">
        <v>0</v>
      </c>
    </row>
    <row r="601" spans="1:9" x14ac:dyDescent="0.2">
      <c r="A601" s="2">
        <v>12</v>
      </c>
      <c r="B601" s="1" t="s">
        <v>92</v>
      </c>
      <c r="C601" s="4">
        <v>5</v>
      </c>
      <c r="D601" s="8">
        <v>2.76</v>
      </c>
      <c r="E601" s="4">
        <v>5</v>
      </c>
      <c r="F601" s="8">
        <v>4.5</v>
      </c>
      <c r="G601" s="4">
        <v>0</v>
      </c>
      <c r="H601" s="8">
        <v>0</v>
      </c>
      <c r="I601" s="4">
        <v>0</v>
      </c>
    </row>
    <row r="602" spans="1:9" x14ac:dyDescent="0.2">
      <c r="A602" s="2">
        <v>15</v>
      </c>
      <c r="B602" s="1" t="s">
        <v>89</v>
      </c>
      <c r="C602" s="4">
        <v>4</v>
      </c>
      <c r="D602" s="8">
        <v>2.21</v>
      </c>
      <c r="E602" s="4">
        <v>3</v>
      </c>
      <c r="F602" s="8">
        <v>2.7</v>
      </c>
      <c r="G602" s="4">
        <v>1</v>
      </c>
      <c r="H602" s="8">
        <v>1.59</v>
      </c>
      <c r="I602" s="4">
        <v>0</v>
      </c>
    </row>
    <row r="603" spans="1:9" x14ac:dyDescent="0.2">
      <c r="A603" s="2">
        <v>15</v>
      </c>
      <c r="B603" s="1" t="s">
        <v>74</v>
      </c>
      <c r="C603" s="4">
        <v>4</v>
      </c>
      <c r="D603" s="8">
        <v>2.21</v>
      </c>
      <c r="E603" s="4">
        <v>3</v>
      </c>
      <c r="F603" s="8">
        <v>2.7</v>
      </c>
      <c r="G603" s="4">
        <v>1</v>
      </c>
      <c r="H603" s="8">
        <v>1.59</v>
      </c>
      <c r="I603" s="4">
        <v>0</v>
      </c>
    </row>
    <row r="604" spans="1:9" x14ac:dyDescent="0.2">
      <c r="A604" s="2">
        <v>17</v>
      </c>
      <c r="B604" s="1" t="s">
        <v>91</v>
      </c>
      <c r="C604" s="4">
        <v>3</v>
      </c>
      <c r="D604" s="8">
        <v>1.66</v>
      </c>
      <c r="E604" s="4">
        <v>0</v>
      </c>
      <c r="F604" s="8">
        <v>0</v>
      </c>
      <c r="G604" s="4">
        <v>3</v>
      </c>
      <c r="H604" s="8">
        <v>4.76</v>
      </c>
      <c r="I604" s="4">
        <v>0</v>
      </c>
    </row>
    <row r="605" spans="1:9" x14ac:dyDescent="0.2">
      <c r="A605" s="2">
        <v>17</v>
      </c>
      <c r="B605" s="1" t="s">
        <v>104</v>
      </c>
      <c r="C605" s="4">
        <v>3</v>
      </c>
      <c r="D605" s="8">
        <v>1.66</v>
      </c>
      <c r="E605" s="4">
        <v>2</v>
      </c>
      <c r="F605" s="8">
        <v>1.8</v>
      </c>
      <c r="G605" s="4">
        <v>1</v>
      </c>
      <c r="H605" s="8">
        <v>1.59</v>
      </c>
      <c r="I605" s="4">
        <v>0</v>
      </c>
    </row>
    <row r="606" spans="1:9" x14ac:dyDescent="0.2">
      <c r="A606" s="2">
        <v>17</v>
      </c>
      <c r="B606" s="1" t="s">
        <v>97</v>
      </c>
      <c r="C606" s="4">
        <v>3</v>
      </c>
      <c r="D606" s="8">
        <v>1.66</v>
      </c>
      <c r="E606" s="4">
        <v>0</v>
      </c>
      <c r="F606" s="8">
        <v>0</v>
      </c>
      <c r="G606" s="4">
        <v>2</v>
      </c>
      <c r="H606" s="8">
        <v>3.17</v>
      </c>
      <c r="I606" s="4">
        <v>0</v>
      </c>
    </row>
    <row r="607" spans="1:9" x14ac:dyDescent="0.2">
      <c r="A607" s="2">
        <v>20</v>
      </c>
      <c r="B607" s="1" t="s">
        <v>93</v>
      </c>
      <c r="C607" s="4">
        <v>2</v>
      </c>
      <c r="D607" s="8">
        <v>1.1000000000000001</v>
      </c>
      <c r="E607" s="4">
        <v>0</v>
      </c>
      <c r="F607" s="8">
        <v>0</v>
      </c>
      <c r="G607" s="4">
        <v>2</v>
      </c>
      <c r="H607" s="8">
        <v>3.17</v>
      </c>
      <c r="I607" s="4">
        <v>0</v>
      </c>
    </row>
    <row r="608" spans="1:9" x14ac:dyDescent="0.2">
      <c r="A608" s="2">
        <v>20</v>
      </c>
      <c r="B608" s="1" t="s">
        <v>98</v>
      </c>
      <c r="C608" s="4">
        <v>2</v>
      </c>
      <c r="D608" s="8">
        <v>1.1000000000000001</v>
      </c>
      <c r="E608" s="4">
        <v>0</v>
      </c>
      <c r="F608" s="8">
        <v>0</v>
      </c>
      <c r="G608" s="4">
        <v>2</v>
      </c>
      <c r="H608" s="8">
        <v>3.17</v>
      </c>
      <c r="I608" s="4">
        <v>0</v>
      </c>
    </row>
    <row r="609" spans="1:9" x14ac:dyDescent="0.2">
      <c r="A609" s="2">
        <v>20</v>
      </c>
      <c r="B609" s="1" t="s">
        <v>72</v>
      </c>
      <c r="C609" s="4">
        <v>2</v>
      </c>
      <c r="D609" s="8">
        <v>1.1000000000000001</v>
      </c>
      <c r="E609" s="4">
        <v>2</v>
      </c>
      <c r="F609" s="8">
        <v>1.8</v>
      </c>
      <c r="G609" s="4">
        <v>0</v>
      </c>
      <c r="H609" s="8">
        <v>0</v>
      </c>
      <c r="I609" s="4">
        <v>0</v>
      </c>
    </row>
    <row r="610" spans="1:9" x14ac:dyDescent="0.2">
      <c r="A610" s="2">
        <v>20</v>
      </c>
      <c r="B610" s="1" t="s">
        <v>94</v>
      </c>
      <c r="C610" s="4">
        <v>2</v>
      </c>
      <c r="D610" s="8">
        <v>1.1000000000000001</v>
      </c>
      <c r="E610" s="4">
        <v>1</v>
      </c>
      <c r="F610" s="8">
        <v>0.9</v>
      </c>
      <c r="G610" s="4">
        <v>1</v>
      </c>
      <c r="H610" s="8">
        <v>1.59</v>
      </c>
      <c r="I610" s="4">
        <v>0</v>
      </c>
    </row>
    <row r="611" spans="1:9" x14ac:dyDescent="0.2">
      <c r="A611" s="2">
        <v>20</v>
      </c>
      <c r="B611" s="1" t="s">
        <v>79</v>
      </c>
      <c r="C611" s="4">
        <v>2</v>
      </c>
      <c r="D611" s="8">
        <v>1.1000000000000001</v>
      </c>
      <c r="E611" s="4">
        <v>1</v>
      </c>
      <c r="F611" s="8">
        <v>0.9</v>
      </c>
      <c r="G611" s="4">
        <v>1</v>
      </c>
      <c r="H611" s="8">
        <v>1.59</v>
      </c>
      <c r="I611" s="4">
        <v>0</v>
      </c>
    </row>
    <row r="612" spans="1:9" x14ac:dyDescent="0.2">
      <c r="A612" s="2">
        <v>20</v>
      </c>
      <c r="B612" s="1" t="s">
        <v>95</v>
      </c>
      <c r="C612" s="4">
        <v>2</v>
      </c>
      <c r="D612" s="8">
        <v>1.1000000000000001</v>
      </c>
      <c r="E612" s="4">
        <v>2</v>
      </c>
      <c r="F612" s="8">
        <v>1.8</v>
      </c>
      <c r="G612" s="4">
        <v>0</v>
      </c>
      <c r="H612" s="8">
        <v>0</v>
      </c>
      <c r="I612" s="4">
        <v>0</v>
      </c>
    </row>
    <row r="613" spans="1:9" x14ac:dyDescent="0.2">
      <c r="A613" s="2">
        <v>20</v>
      </c>
      <c r="B613" s="1" t="s">
        <v>85</v>
      </c>
      <c r="C613" s="4">
        <v>2</v>
      </c>
      <c r="D613" s="8">
        <v>1.1000000000000001</v>
      </c>
      <c r="E613" s="4">
        <v>2</v>
      </c>
      <c r="F613" s="8">
        <v>1.8</v>
      </c>
      <c r="G613" s="4">
        <v>0</v>
      </c>
      <c r="H613" s="8">
        <v>0</v>
      </c>
      <c r="I613" s="4">
        <v>0</v>
      </c>
    </row>
    <row r="614" spans="1:9" x14ac:dyDescent="0.2">
      <c r="A614" s="1"/>
      <c r="C614" s="4"/>
      <c r="D614" s="8"/>
      <c r="E614" s="4"/>
      <c r="F614" s="8"/>
      <c r="G614" s="4"/>
      <c r="H614" s="8"/>
      <c r="I614" s="4"/>
    </row>
    <row r="615" spans="1:9" x14ac:dyDescent="0.2">
      <c r="A615" s="1" t="s">
        <v>27</v>
      </c>
      <c r="C615" s="4"/>
      <c r="D615" s="8"/>
      <c r="E615" s="4"/>
      <c r="F615" s="8"/>
      <c r="G615" s="4"/>
      <c r="H615" s="8"/>
      <c r="I615" s="4"/>
    </row>
    <row r="616" spans="1:9" x14ac:dyDescent="0.2">
      <c r="A616" s="2">
        <v>1</v>
      </c>
      <c r="B616" s="1" t="s">
        <v>82</v>
      </c>
      <c r="C616" s="4">
        <v>47</v>
      </c>
      <c r="D616" s="8">
        <v>10.68</v>
      </c>
      <c r="E616" s="4">
        <v>43</v>
      </c>
      <c r="F616" s="8">
        <v>16.23</v>
      </c>
      <c r="G616" s="4">
        <v>4</v>
      </c>
      <c r="H616" s="8">
        <v>2.33</v>
      </c>
      <c r="I616" s="4">
        <v>0</v>
      </c>
    </row>
    <row r="617" spans="1:9" x14ac:dyDescent="0.2">
      <c r="A617" s="2">
        <v>2</v>
      </c>
      <c r="B617" s="1" t="s">
        <v>81</v>
      </c>
      <c r="C617" s="4">
        <v>43</v>
      </c>
      <c r="D617" s="8">
        <v>9.77</v>
      </c>
      <c r="E617" s="4">
        <v>39</v>
      </c>
      <c r="F617" s="8">
        <v>14.72</v>
      </c>
      <c r="G617" s="4">
        <v>4</v>
      </c>
      <c r="H617" s="8">
        <v>2.33</v>
      </c>
      <c r="I617" s="4">
        <v>0</v>
      </c>
    </row>
    <row r="618" spans="1:9" x14ac:dyDescent="0.2">
      <c r="A618" s="2">
        <v>3</v>
      </c>
      <c r="B618" s="1" t="s">
        <v>67</v>
      </c>
      <c r="C618" s="4">
        <v>30</v>
      </c>
      <c r="D618" s="8">
        <v>6.82</v>
      </c>
      <c r="E618" s="4">
        <v>17</v>
      </c>
      <c r="F618" s="8">
        <v>6.42</v>
      </c>
      <c r="G618" s="4">
        <v>13</v>
      </c>
      <c r="H618" s="8">
        <v>7.56</v>
      </c>
      <c r="I618" s="4">
        <v>0</v>
      </c>
    </row>
    <row r="619" spans="1:9" x14ac:dyDescent="0.2">
      <c r="A619" s="2">
        <v>4</v>
      </c>
      <c r="B619" s="1" t="s">
        <v>66</v>
      </c>
      <c r="C619" s="4">
        <v>23</v>
      </c>
      <c r="D619" s="8">
        <v>5.23</v>
      </c>
      <c r="E619" s="4">
        <v>6</v>
      </c>
      <c r="F619" s="8">
        <v>2.2599999999999998</v>
      </c>
      <c r="G619" s="4">
        <v>17</v>
      </c>
      <c r="H619" s="8">
        <v>9.8800000000000008</v>
      </c>
      <c r="I619" s="4">
        <v>0</v>
      </c>
    </row>
    <row r="620" spans="1:9" x14ac:dyDescent="0.2">
      <c r="A620" s="2">
        <v>5</v>
      </c>
      <c r="B620" s="1" t="s">
        <v>84</v>
      </c>
      <c r="C620" s="4">
        <v>21</v>
      </c>
      <c r="D620" s="8">
        <v>4.7699999999999996</v>
      </c>
      <c r="E620" s="4">
        <v>21</v>
      </c>
      <c r="F620" s="8">
        <v>7.92</v>
      </c>
      <c r="G620" s="4">
        <v>0</v>
      </c>
      <c r="H620" s="8">
        <v>0</v>
      </c>
      <c r="I620" s="4">
        <v>0</v>
      </c>
    </row>
    <row r="621" spans="1:9" x14ac:dyDescent="0.2">
      <c r="A621" s="2">
        <v>6</v>
      </c>
      <c r="B621" s="1" t="s">
        <v>76</v>
      </c>
      <c r="C621" s="4">
        <v>20</v>
      </c>
      <c r="D621" s="8">
        <v>4.55</v>
      </c>
      <c r="E621" s="4">
        <v>17</v>
      </c>
      <c r="F621" s="8">
        <v>6.42</v>
      </c>
      <c r="G621" s="4">
        <v>3</v>
      </c>
      <c r="H621" s="8">
        <v>1.74</v>
      </c>
      <c r="I621" s="4">
        <v>0</v>
      </c>
    </row>
    <row r="622" spans="1:9" x14ac:dyDescent="0.2">
      <c r="A622" s="2">
        <v>6</v>
      </c>
      <c r="B622" s="1" t="s">
        <v>77</v>
      </c>
      <c r="C622" s="4">
        <v>20</v>
      </c>
      <c r="D622" s="8">
        <v>4.55</v>
      </c>
      <c r="E622" s="4">
        <v>14</v>
      </c>
      <c r="F622" s="8">
        <v>5.28</v>
      </c>
      <c r="G622" s="4">
        <v>6</v>
      </c>
      <c r="H622" s="8">
        <v>3.49</v>
      </c>
      <c r="I622" s="4">
        <v>0</v>
      </c>
    </row>
    <row r="623" spans="1:9" x14ac:dyDescent="0.2">
      <c r="A623" s="2">
        <v>8</v>
      </c>
      <c r="B623" s="1" t="s">
        <v>69</v>
      </c>
      <c r="C623" s="4">
        <v>19</v>
      </c>
      <c r="D623" s="8">
        <v>4.32</v>
      </c>
      <c r="E623" s="4">
        <v>8</v>
      </c>
      <c r="F623" s="8">
        <v>3.02</v>
      </c>
      <c r="G623" s="4">
        <v>11</v>
      </c>
      <c r="H623" s="8">
        <v>6.4</v>
      </c>
      <c r="I623" s="4">
        <v>0</v>
      </c>
    </row>
    <row r="624" spans="1:9" x14ac:dyDescent="0.2">
      <c r="A624" s="2">
        <v>9</v>
      </c>
      <c r="B624" s="1" t="s">
        <v>83</v>
      </c>
      <c r="C624" s="4">
        <v>16</v>
      </c>
      <c r="D624" s="8">
        <v>3.64</v>
      </c>
      <c r="E624" s="4">
        <v>12</v>
      </c>
      <c r="F624" s="8">
        <v>4.53</v>
      </c>
      <c r="G624" s="4">
        <v>4</v>
      </c>
      <c r="H624" s="8">
        <v>2.33</v>
      </c>
      <c r="I624" s="4">
        <v>0</v>
      </c>
    </row>
    <row r="625" spans="1:9" x14ac:dyDescent="0.2">
      <c r="A625" s="2">
        <v>10</v>
      </c>
      <c r="B625" s="1" t="s">
        <v>71</v>
      </c>
      <c r="C625" s="4">
        <v>15</v>
      </c>
      <c r="D625" s="8">
        <v>3.41</v>
      </c>
      <c r="E625" s="4">
        <v>7</v>
      </c>
      <c r="F625" s="8">
        <v>2.64</v>
      </c>
      <c r="G625" s="4">
        <v>8</v>
      </c>
      <c r="H625" s="8">
        <v>4.6500000000000004</v>
      </c>
      <c r="I625" s="4">
        <v>0</v>
      </c>
    </row>
    <row r="626" spans="1:9" x14ac:dyDescent="0.2">
      <c r="A626" s="2">
        <v>10</v>
      </c>
      <c r="B626" s="1" t="s">
        <v>85</v>
      </c>
      <c r="C626" s="4">
        <v>15</v>
      </c>
      <c r="D626" s="8">
        <v>3.41</v>
      </c>
      <c r="E626" s="4">
        <v>14</v>
      </c>
      <c r="F626" s="8">
        <v>5.28</v>
      </c>
      <c r="G626" s="4">
        <v>1</v>
      </c>
      <c r="H626" s="8">
        <v>0.57999999999999996</v>
      </c>
      <c r="I626" s="4">
        <v>0</v>
      </c>
    </row>
    <row r="627" spans="1:9" x14ac:dyDescent="0.2">
      <c r="A627" s="2">
        <v>12</v>
      </c>
      <c r="B627" s="1" t="s">
        <v>68</v>
      </c>
      <c r="C627" s="4">
        <v>12</v>
      </c>
      <c r="D627" s="8">
        <v>2.73</v>
      </c>
      <c r="E627" s="4">
        <v>1</v>
      </c>
      <c r="F627" s="8">
        <v>0.38</v>
      </c>
      <c r="G627" s="4">
        <v>11</v>
      </c>
      <c r="H627" s="8">
        <v>6.4</v>
      </c>
      <c r="I627" s="4">
        <v>0</v>
      </c>
    </row>
    <row r="628" spans="1:9" x14ac:dyDescent="0.2">
      <c r="A628" s="2">
        <v>13</v>
      </c>
      <c r="B628" s="1" t="s">
        <v>75</v>
      </c>
      <c r="C628" s="4">
        <v>11</v>
      </c>
      <c r="D628" s="8">
        <v>2.5</v>
      </c>
      <c r="E628" s="4">
        <v>9</v>
      </c>
      <c r="F628" s="8">
        <v>3.4</v>
      </c>
      <c r="G628" s="4">
        <v>2</v>
      </c>
      <c r="H628" s="8">
        <v>1.1599999999999999</v>
      </c>
      <c r="I628" s="4">
        <v>0</v>
      </c>
    </row>
    <row r="629" spans="1:9" x14ac:dyDescent="0.2">
      <c r="A629" s="2">
        <v>14</v>
      </c>
      <c r="B629" s="1" t="s">
        <v>79</v>
      </c>
      <c r="C629" s="4">
        <v>10</v>
      </c>
      <c r="D629" s="8">
        <v>2.27</v>
      </c>
      <c r="E629" s="4">
        <v>9</v>
      </c>
      <c r="F629" s="8">
        <v>3.4</v>
      </c>
      <c r="G629" s="4">
        <v>1</v>
      </c>
      <c r="H629" s="8">
        <v>0.57999999999999996</v>
      </c>
      <c r="I629" s="4">
        <v>0</v>
      </c>
    </row>
    <row r="630" spans="1:9" x14ac:dyDescent="0.2">
      <c r="A630" s="2">
        <v>14</v>
      </c>
      <c r="B630" s="1" t="s">
        <v>80</v>
      </c>
      <c r="C630" s="4">
        <v>10</v>
      </c>
      <c r="D630" s="8">
        <v>2.27</v>
      </c>
      <c r="E630" s="4">
        <v>8</v>
      </c>
      <c r="F630" s="8">
        <v>3.02</v>
      </c>
      <c r="G630" s="4">
        <v>2</v>
      </c>
      <c r="H630" s="8">
        <v>1.1599999999999999</v>
      </c>
      <c r="I630" s="4">
        <v>0</v>
      </c>
    </row>
    <row r="631" spans="1:9" x14ac:dyDescent="0.2">
      <c r="A631" s="2">
        <v>16</v>
      </c>
      <c r="B631" s="1" t="s">
        <v>72</v>
      </c>
      <c r="C631" s="4">
        <v>8</v>
      </c>
      <c r="D631" s="8">
        <v>1.82</v>
      </c>
      <c r="E631" s="4">
        <v>3</v>
      </c>
      <c r="F631" s="8">
        <v>1.1299999999999999</v>
      </c>
      <c r="G631" s="4">
        <v>5</v>
      </c>
      <c r="H631" s="8">
        <v>2.91</v>
      </c>
      <c r="I631" s="4">
        <v>0</v>
      </c>
    </row>
    <row r="632" spans="1:9" x14ac:dyDescent="0.2">
      <c r="A632" s="2">
        <v>17</v>
      </c>
      <c r="B632" s="1" t="s">
        <v>70</v>
      </c>
      <c r="C632" s="4">
        <v>7</v>
      </c>
      <c r="D632" s="8">
        <v>1.59</v>
      </c>
      <c r="E632" s="4">
        <v>1</v>
      </c>
      <c r="F632" s="8">
        <v>0.38</v>
      </c>
      <c r="G632" s="4">
        <v>6</v>
      </c>
      <c r="H632" s="8">
        <v>3.49</v>
      </c>
      <c r="I632" s="4">
        <v>0</v>
      </c>
    </row>
    <row r="633" spans="1:9" x14ac:dyDescent="0.2">
      <c r="A633" s="2">
        <v>17</v>
      </c>
      <c r="B633" s="1" t="s">
        <v>89</v>
      </c>
      <c r="C633" s="4">
        <v>7</v>
      </c>
      <c r="D633" s="8">
        <v>1.59</v>
      </c>
      <c r="E633" s="4">
        <v>1</v>
      </c>
      <c r="F633" s="8">
        <v>0.38</v>
      </c>
      <c r="G633" s="4">
        <v>6</v>
      </c>
      <c r="H633" s="8">
        <v>3.49</v>
      </c>
      <c r="I633" s="4">
        <v>0</v>
      </c>
    </row>
    <row r="634" spans="1:9" x14ac:dyDescent="0.2">
      <c r="A634" s="2">
        <v>17</v>
      </c>
      <c r="B634" s="1" t="s">
        <v>87</v>
      </c>
      <c r="C634" s="4">
        <v>7</v>
      </c>
      <c r="D634" s="8">
        <v>1.59</v>
      </c>
      <c r="E634" s="4">
        <v>1</v>
      </c>
      <c r="F634" s="8">
        <v>0.38</v>
      </c>
      <c r="G634" s="4">
        <v>6</v>
      </c>
      <c r="H634" s="8">
        <v>3.49</v>
      </c>
      <c r="I634" s="4">
        <v>0</v>
      </c>
    </row>
    <row r="635" spans="1:9" x14ac:dyDescent="0.2">
      <c r="A635" s="2">
        <v>20</v>
      </c>
      <c r="B635" s="1" t="s">
        <v>103</v>
      </c>
      <c r="C635" s="4">
        <v>6</v>
      </c>
      <c r="D635" s="8">
        <v>1.36</v>
      </c>
      <c r="E635" s="4">
        <v>2</v>
      </c>
      <c r="F635" s="8">
        <v>0.75</v>
      </c>
      <c r="G635" s="4">
        <v>4</v>
      </c>
      <c r="H635" s="8">
        <v>2.33</v>
      </c>
      <c r="I635" s="4">
        <v>0</v>
      </c>
    </row>
    <row r="636" spans="1:9" x14ac:dyDescent="0.2">
      <c r="A636" s="2">
        <v>20</v>
      </c>
      <c r="B636" s="1" t="s">
        <v>74</v>
      </c>
      <c r="C636" s="4">
        <v>6</v>
      </c>
      <c r="D636" s="8">
        <v>1.36</v>
      </c>
      <c r="E636" s="4">
        <v>2</v>
      </c>
      <c r="F636" s="8">
        <v>0.75</v>
      </c>
      <c r="G636" s="4">
        <v>4</v>
      </c>
      <c r="H636" s="8">
        <v>2.33</v>
      </c>
      <c r="I636" s="4">
        <v>0</v>
      </c>
    </row>
    <row r="637" spans="1:9" x14ac:dyDescent="0.2">
      <c r="A637" s="2">
        <v>20</v>
      </c>
      <c r="B637" s="1" t="s">
        <v>78</v>
      </c>
      <c r="C637" s="4">
        <v>6</v>
      </c>
      <c r="D637" s="8">
        <v>1.36</v>
      </c>
      <c r="E637" s="4">
        <v>2</v>
      </c>
      <c r="F637" s="8">
        <v>0.75</v>
      </c>
      <c r="G637" s="4">
        <v>4</v>
      </c>
      <c r="H637" s="8">
        <v>2.33</v>
      </c>
      <c r="I637" s="4">
        <v>0</v>
      </c>
    </row>
    <row r="638" spans="1:9" x14ac:dyDescent="0.2">
      <c r="A638" s="1"/>
      <c r="C638" s="4"/>
      <c r="D638" s="8"/>
      <c r="E638" s="4"/>
      <c r="F638" s="8"/>
      <c r="G638" s="4"/>
      <c r="H638" s="8"/>
      <c r="I638" s="4"/>
    </row>
    <row r="639" spans="1:9" x14ac:dyDescent="0.2">
      <c r="A639" s="1" t="s">
        <v>28</v>
      </c>
      <c r="C639" s="4"/>
      <c r="D639" s="8"/>
      <c r="E639" s="4"/>
      <c r="F639" s="8"/>
      <c r="G639" s="4"/>
      <c r="H639" s="8"/>
      <c r="I639" s="4"/>
    </row>
    <row r="640" spans="1:9" x14ac:dyDescent="0.2">
      <c r="A640" s="2">
        <v>1</v>
      </c>
      <c r="B640" s="1" t="s">
        <v>66</v>
      </c>
      <c r="C640" s="4">
        <v>20</v>
      </c>
      <c r="D640" s="8">
        <v>9.9</v>
      </c>
      <c r="E640" s="4">
        <v>10</v>
      </c>
      <c r="F640" s="8">
        <v>8.4</v>
      </c>
      <c r="G640" s="4">
        <v>10</v>
      </c>
      <c r="H640" s="8">
        <v>13.16</v>
      </c>
      <c r="I640" s="4">
        <v>0</v>
      </c>
    </row>
    <row r="641" spans="1:9" x14ac:dyDescent="0.2">
      <c r="A641" s="2">
        <v>2</v>
      </c>
      <c r="B641" s="1" t="s">
        <v>67</v>
      </c>
      <c r="C641" s="4">
        <v>17</v>
      </c>
      <c r="D641" s="8">
        <v>8.42</v>
      </c>
      <c r="E641" s="4">
        <v>10</v>
      </c>
      <c r="F641" s="8">
        <v>8.4</v>
      </c>
      <c r="G641" s="4">
        <v>7</v>
      </c>
      <c r="H641" s="8">
        <v>9.2100000000000009</v>
      </c>
      <c r="I641" s="4">
        <v>0</v>
      </c>
    </row>
    <row r="642" spans="1:9" x14ac:dyDescent="0.2">
      <c r="A642" s="2">
        <v>3</v>
      </c>
      <c r="B642" s="1" t="s">
        <v>69</v>
      </c>
      <c r="C642" s="4">
        <v>15</v>
      </c>
      <c r="D642" s="8">
        <v>7.43</v>
      </c>
      <c r="E642" s="4">
        <v>9</v>
      </c>
      <c r="F642" s="8">
        <v>7.56</v>
      </c>
      <c r="G642" s="4">
        <v>6</v>
      </c>
      <c r="H642" s="8">
        <v>7.89</v>
      </c>
      <c r="I642" s="4">
        <v>0</v>
      </c>
    </row>
    <row r="643" spans="1:9" x14ac:dyDescent="0.2">
      <c r="A643" s="2">
        <v>4</v>
      </c>
      <c r="B643" s="1" t="s">
        <v>75</v>
      </c>
      <c r="C643" s="4">
        <v>14</v>
      </c>
      <c r="D643" s="8">
        <v>6.93</v>
      </c>
      <c r="E643" s="4">
        <v>12</v>
      </c>
      <c r="F643" s="8">
        <v>10.08</v>
      </c>
      <c r="G643" s="4">
        <v>2</v>
      </c>
      <c r="H643" s="8">
        <v>2.63</v>
      </c>
      <c r="I643" s="4">
        <v>0</v>
      </c>
    </row>
    <row r="644" spans="1:9" x14ac:dyDescent="0.2">
      <c r="A644" s="2">
        <v>4</v>
      </c>
      <c r="B644" s="1" t="s">
        <v>82</v>
      </c>
      <c r="C644" s="4">
        <v>14</v>
      </c>
      <c r="D644" s="8">
        <v>6.93</v>
      </c>
      <c r="E644" s="4">
        <v>12</v>
      </c>
      <c r="F644" s="8">
        <v>10.08</v>
      </c>
      <c r="G644" s="4">
        <v>2</v>
      </c>
      <c r="H644" s="8">
        <v>2.63</v>
      </c>
      <c r="I644" s="4">
        <v>0</v>
      </c>
    </row>
    <row r="645" spans="1:9" x14ac:dyDescent="0.2">
      <c r="A645" s="2">
        <v>6</v>
      </c>
      <c r="B645" s="1" t="s">
        <v>76</v>
      </c>
      <c r="C645" s="4">
        <v>13</v>
      </c>
      <c r="D645" s="8">
        <v>6.44</v>
      </c>
      <c r="E645" s="4">
        <v>10</v>
      </c>
      <c r="F645" s="8">
        <v>8.4</v>
      </c>
      <c r="G645" s="4">
        <v>3</v>
      </c>
      <c r="H645" s="8">
        <v>3.95</v>
      </c>
      <c r="I645" s="4">
        <v>0</v>
      </c>
    </row>
    <row r="646" spans="1:9" x14ac:dyDescent="0.2">
      <c r="A646" s="2">
        <v>7</v>
      </c>
      <c r="B646" s="1" t="s">
        <v>81</v>
      </c>
      <c r="C646" s="4">
        <v>12</v>
      </c>
      <c r="D646" s="8">
        <v>5.94</v>
      </c>
      <c r="E646" s="4">
        <v>12</v>
      </c>
      <c r="F646" s="8">
        <v>10.08</v>
      </c>
      <c r="G646" s="4">
        <v>0</v>
      </c>
      <c r="H646" s="8">
        <v>0</v>
      </c>
      <c r="I646" s="4">
        <v>0</v>
      </c>
    </row>
    <row r="647" spans="1:9" x14ac:dyDescent="0.2">
      <c r="A647" s="2">
        <v>8</v>
      </c>
      <c r="B647" s="1" t="s">
        <v>77</v>
      </c>
      <c r="C647" s="4">
        <v>9</v>
      </c>
      <c r="D647" s="8">
        <v>4.46</v>
      </c>
      <c r="E647" s="4">
        <v>6</v>
      </c>
      <c r="F647" s="8">
        <v>5.04</v>
      </c>
      <c r="G647" s="4">
        <v>3</v>
      </c>
      <c r="H647" s="8">
        <v>3.95</v>
      </c>
      <c r="I647" s="4">
        <v>0</v>
      </c>
    </row>
    <row r="648" spans="1:9" x14ac:dyDescent="0.2">
      <c r="A648" s="2">
        <v>9</v>
      </c>
      <c r="B648" s="1" t="s">
        <v>71</v>
      </c>
      <c r="C648" s="4">
        <v>7</v>
      </c>
      <c r="D648" s="8">
        <v>3.47</v>
      </c>
      <c r="E648" s="4">
        <v>2</v>
      </c>
      <c r="F648" s="8">
        <v>1.68</v>
      </c>
      <c r="G648" s="4">
        <v>5</v>
      </c>
      <c r="H648" s="8">
        <v>6.58</v>
      </c>
      <c r="I648" s="4">
        <v>0</v>
      </c>
    </row>
    <row r="649" spans="1:9" x14ac:dyDescent="0.2">
      <c r="A649" s="2">
        <v>9</v>
      </c>
      <c r="B649" s="1" t="s">
        <v>84</v>
      </c>
      <c r="C649" s="4">
        <v>7</v>
      </c>
      <c r="D649" s="8">
        <v>3.47</v>
      </c>
      <c r="E649" s="4">
        <v>6</v>
      </c>
      <c r="F649" s="8">
        <v>5.04</v>
      </c>
      <c r="G649" s="4">
        <v>1</v>
      </c>
      <c r="H649" s="8">
        <v>1.32</v>
      </c>
      <c r="I649" s="4">
        <v>0</v>
      </c>
    </row>
    <row r="650" spans="1:9" x14ac:dyDescent="0.2">
      <c r="A650" s="2">
        <v>11</v>
      </c>
      <c r="B650" s="1" t="s">
        <v>98</v>
      </c>
      <c r="C650" s="4">
        <v>6</v>
      </c>
      <c r="D650" s="8">
        <v>2.97</v>
      </c>
      <c r="E650" s="4">
        <v>1</v>
      </c>
      <c r="F650" s="8">
        <v>0.84</v>
      </c>
      <c r="G650" s="4">
        <v>5</v>
      </c>
      <c r="H650" s="8">
        <v>6.58</v>
      </c>
      <c r="I650" s="4">
        <v>0</v>
      </c>
    </row>
    <row r="651" spans="1:9" x14ac:dyDescent="0.2">
      <c r="A651" s="2">
        <v>11</v>
      </c>
      <c r="B651" s="1" t="s">
        <v>83</v>
      </c>
      <c r="C651" s="4">
        <v>6</v>
      </c>
      <c r="D651" s="8">
        <v>2.97</v>
      </c>
      <c r="E651" s="4">
        <v>5</v>
      </c>
      <c r="F651" s="8">
        <v>4.2</v>
      </c>
      <c r="G651" s="4">
        <v>0</v>
      </c>
      <c r="H651" s="8">
        <v>0</v>
      </c>
      <c r="I651" s="4">
        <v>0</v>
      </c>
    </row>
    <row r="652" spans="1:9" x14ac:dyDescent="0.2">
      <c r="A652" s="2">
        <v>13</v>
      </c>
      <c r="B652" s="1" t="s">
        <v>101</v>
      </c>
      <c r="C652" s="4">
        <v>5</v>
      </c>
      <c r="D652" s="8">
        <v>2.48</v>
      </c>
      <c r="E652" s="4">
        <v>3</v>
      </c>
      <c r="F652" s="8">
        <v>2.52</v>
      </c>
      <c r="G652" s="4">
        <v>2</v>
      </c>
      <c r="H652" s="8">
        <v>2.63</v>
      </c>
      <c r="I652" s="4">
        <v>0</v>
      </c>
    </row>
    <row r="653" spans="1:9" x14ac:dyDescent="0.2">
      <c r="A653" s="2">
        <v>14</v>
      </c>
      <c r="B653" s="1" t="s">
        <v>68</v>
      </c>
      <c r="C653" s="4">
        <v>4</v>
      </c>
      <c r="D653" s="8">
        <v>1.98</v>
      </c>
      <c r="E653" s="4">
        <v>1</v>
      </c>
      <c r="F653" s="8">
        <v>0.84</v>
      </c>
      <c r="G653" s="4">
        <v>3</v>
      </c>
      <c r="H653" s="8">
        <v>3.95</v>
      </c>
      <c r="I653" s="4">
        <v>0</v>
      </c>
    </row>
    <row r="654" spans="1:9" x14ac:dyDescent="0.2">
      <c r="A654" s="2">
        <v>14</v>
      </c>
      <c r="B654" s="1" t="s">
        <v>78</v>
      </c>
      <c r="C654" s="4">
        <v>4</v>
      </c>
      <c r="D654" s="8">
        <v>1.98</v>
      </c>
      <c r="E654" s="4">
        <v>1</v>
      </c>
      <c r="F654" s="8">
        <v>0.84</v>
      </c>
      <c r="G654" s="4">
        <v>3</v>
      </c>
      <c r="H654" s="8">
        <v>3.95</v>
      </c>
      <c r="I654" s="4">
        <v>0</v>
      </c>
    </row>
    <row r="655" spans="1:9" x14ac:dyDescent="0.2">
      <c r="A655" s="2">
        <v>14</v>
      </c>
      <c r="B655" s="1" t="s">
        <v>97</v>
      </c>
      <c r="C655" s="4">
        <v>4</v>
      </c>
      <c r="D655" s="8">
        <v>1.98</v>
      </c>
      <c r="E655" s="4">
        <v>0</v>
      </c>
      <c r="F655" s="8">
        <v>0</v>
      </c>
      <c r="G655" s="4">
        <v>1</v>
      </c>
      <c r="H655" s="8">
        <v>1.32</v>
      </c>
      <c r="I655" s="4">
        <v>0</v>
      </c>
    </row>
    <row r="656" spans="1:9" x14ac:dyDescent="0.2">
      <c r="A656" s="2">
        <v>14</v>
      </c>
      <c r="B656" s="1" t="s">
        <v>85</v>
      </c>
      <c r="C656" s="4">
        <v>4</v>
      </c>
      <c r="D656" s="8">
        <v>1.98</v>
      </c>
      <c r="E656" s="4">
        <v>4</v>
      </c>
      <c r="F656" s="8">
        <v>3.36</v>
      </c>
      <c r="G656" s="4">
        <v>0</v>
      </c>
      <c r="H656" s="8">
        <v>0</v>
      </c>
      <c r="I656" s="4">
        <v>0</v>
      </c>
    </row>
    <row r="657" spans="1:9" x14ac:dyDescent="0.2">
      <c r="A657" s="2">
        <v>18</v>
      </c>
      <c r="B657" s="1" t="s">
        <v>89</v>
      </c>
      <c r="C657" s="4">
        <v>3</v>
      </c>
      <c r="D657" s="8">
        <v>1.49</v>
      </c>
      <c r="E657" s="4">
        <v>0</v>
      </c>
      <c r="F657" s="8">
        <v>0</v>
      </c>
      <c r="G657" s="4">
        <v>3</v>
      </c>
      <c r="H657" s="8">
        <v>3.95</v>
      </c>
      <c r="I657" s="4">
        <v>0</v>
      </c>
    </row>
    <row r="658" spans="1:9" x14ac:dyDescent="0.2">
      <c r="A658" s="2">
        <v>18</v>
      </c>
      <c r="B658" s="1" t="s">
        <v>73</v>
      </c>
      <c r="C658" s="4">
        <v>3</v>
      </c>
      <c r="D658" s="8">
        <v>1.49</v>
      </c>
      <c r="E658" s="4">
        <v>1</v>
      </c>
      <c r="F658" s="8">
        <v>0.84</v>
      </c>
      <c r="G658" s="4">
        <v>0</v>
      </c>
      <c r="H658" s="8">
        <v>0</v>
      </c>
      <c r="I658" s="4">
        <v>2</v>
      </c>
    </row>
    <row r="659" spans="1:9" x14ac:dyDescent="0.2">
      <c r="A659" s="2">
        <v>18</v>
      </c>
      <c r="B659" s="1" t="s">
        <v>80</v>
      </c>
      <c r="C659" s="4">
        <v>3</v>
      </c>
      <c r="D659" s="8">
        <v>1.49</v>
      </c>
      <c r="E659" s="4">
        <v>2</v>
      </c>
      <c r="F659" s="8">
        <v>1.68</v>
      </c>
      <c r="G659" s="4">
        <v>1</v>
      </c>
      <c r="H659" s="8">
        <v>1.32</v>
      </c>
      <c r="I659" s="4">
        <v>0</v>
      </c>
    </row>
    <row r="660" spans="1:9" x14ac:dyDescent="0.2">
      <c r="A660" s="2">
        <v>18</v>
      </c>
      <c r="B660" s="1" t="s">
        <v>100</v>
      </c>
      <c r="C660" s="4">
        <v>3</v>
      </c>
      <c r="D660" s="8">
        <v>1.49</v>
      </c>
      <c r="E660" s="4">
        <v>2</v>
      </c>
      <c r="F660" s="8">
        <v>1.68</v>
      </c>
      <c r="G660" s="4">
        <v>0</v>
      </c>
      <c r="H660" s="8">
        <v>0</v>
      </c>
      <c r="I660" s="4">
        <v>0</v>
      </c>
    </row>
    <row r="661" spans="1:9" x14ac:dyDescent="0.2">
      <c r="A661" s="1"/>
      <c r="C661" s="4"/>
      <c r="D661" s="8"/>
      <c r="E661" s="4"/>
      <c r="F661" s="8"/>
      <c r="G661" s="4"/>
      <c r="H661" s="8"/>
      <c r="I661" s="4"/>
    </row>
    <row r="662" spans="1:9" x14ac:dyDescent="0.2">
      <c r="A662" s="1" t="s">
        <v>29</v>
      </c>
      <c r="C662" s="4"/>
      <c r="D662" s="8"/>
      <c r="E662" s="4"/>
      <c r="F662" s="8"/>
      <c r="G662" s="4"/>
      <c r="H662" s="8"/>
      <c r="I662" s="4"/>
    </row>
    <row r="663" spans="1:9" x14ac:dyDescent="0.2">
      <c r="A663" s="2">
        <v>1</v>
      </c>
      <c r="B663" s="1" t="s">
        <v>82</v>
      </c>
      <c r="C663" s="4">
        <v>28</v>
      </c>
      <c r="D663" s="8">
        <v>9.27</v>
      </c>
      <c r="E663" s="4">
        <v>26</v>
      </c>
      <c r="F663" s="8">
        <v>14.77</v>
      </c>
      <c r="G663" s="4">
        <v>2</v>
      </c>
      <c r="H663" s="8">
        <v>1.63</v>
      </c>
      <c r="I663" s="4">
        <v>0</v>
      </c>
    </row>
    <row r="664" spans="1:9" x14ac:dyDescent="0.2">
      <c r="A664" s="2">
        <v>2</v>
      </c>
      <c r="B664" s="1" t="s">
        <v>67</v>
      </c>
      <c r="C664" s="4">
        <v>26</v>
      </c>
      <c r="D664" s="8">
        <v>8.61</v>
      </c>
      <c r="E664" s="4">
        <v>15</v>
      </c>
      <c r="F664" s="8">
        <v>8.52</v>
      </c>
      <c r="G664" s="4">
        <v>11</v>
      </c>
      <c r="H664" s="8">
        <v>8.94</v>
      </c>
      <c r="I664" s="4">
        <v>0</v>
      </c>
    </row>
    <row r="665" spans="1:9" x14ac:dyDescent="0.2">
      <c r="A665" s="2">
        <v>3</v>
      </c>
      <c r="B665" s="1" t="s">
        <v>66</v>
      </c>
      <c r="C665" s="4">
        <v>25</v>
      </c>
      <c r="D665" s="8">
        <v>8.2799999999999994</v>
      </c>
      <c r="E665" s="4">
        <v>8</v>
      </c>
      <c r="F665" s="8">
        <v>4.55</v>
      </c>
      <c r="G665" s="4">
        <v>17</v>
      </c>
      <c r="H665" s="8">
        <v>13.82</v>
      </c>
      <c r="I665" s="4">
        <v>0</v>
      </c>
    </row>
    <row r="666" spans="1:9" x14ac:dyDescent="0.2">
      <c r="A666" s="2">
        <v>3</v>
      </c>
      <c r="B666" s="1" t="s">
        <v>69</v>
      </c>
      <c r="C666" s="4">
        <v>25</v>
      </c>
      <c r="D666" s="8">
        <v>8.2799999999999994</v>
      </c>
      <c r="E666" s="4">
        <v>22</v>
      </c>
      <c r="F666" s="8">
        <v>12.5</v>
      </c>
      <c r="G666" s="4">
        <v>3</v>
      </c>
      <c r="H666" s="8">
        <v>2.44</v>
      </c>
      <c r="I666" s="4">
        <v>0</v>
      </c>
    </row>
    <row r="667" spans="1:9" x14ac:dyDescent="0.2">
      <c r="A667" s="2">
        <v>5</v>
      </c>
      <c r="B667" s="1" t="s">
        <v>81</v>
      </c>
      <c r="C667" s="4">
        <v>22</v>
      </c>
      <c r="D667" s="8">
        <v>7.28</v>
      </c>
      <c r="E667" s="4">
        <v>22</v>
      </c>
      <c r="F667" s="8">
        <v>12.5</v>
      </c>
      <c r="G667" s="4">
        <v>0</v>
      </c>
      <c r="H667" s="8">
        <v>0</v>
      </c>
      <c r="I667" s="4">
        <v>0</v>
      </c>
    </row>
    <row r="668" spans="1:9" x14ac:dyDescent="0.2">
      <c r="A668" s="2">
        <v>6</v>
      </c>
      <c r="B668" s="1" t="s">
        <v>68</v>
      </c>
      <c r="C668" s="4">
        <v>14</v>
      </c>
      <c r="D668" s="8">
        <v>4.6399999999999997</v>
      </c>
      <c r="E668" s="4">
        <v>7</v>
      </c>
      <c r="F668" s="8">
        <v>3.98</v>
      </c>
      <c r="G668" s="4">
        <v>7</v>
      </c>
      <c r="H668" s="8">
        <v>5.69</v>
      </c>
      <c r="I668" s="4">
        <v>0</v>
      </c>
    </row>
    <row r="669" spans="1:9" x14ac:dyDescent="0.2">
      <c r="A669" s="2">
        <v>7</v>
      </c>
      <c r="B669" s="1" t="s">
        <v>76</v>
      </c>
      <c r="C669" s="4">
        <v>12</v>
      </c>
      <c r="D669" s="8">
        <v>3.97</v>
      </c>
      <c r="E669" s="4">
        <v>8</v>
      </c>
      <c r="F669" s="8">
        <v>4.55</v>
      </c>
      <c r="G669" s="4">
        <v>4</v>
      </c>
      <c r="H669" s="8">
        <v>3.25</v>
      </c>
      <c r="I669" s="4">
        <v>0</v>
      </c>
    </row>
    <row r="670" spans="1:9" x14ac:dyDescent="0.2">
      <c r="A670" s="2">
        <v>8</v>
      </c>
      <c r="B670" s="1" t="s">
        <v>84</v>
      </c>
      <c r="C670" s="4">
        <v>11</v>
      </c>
      <c r="D670" s="8">
        <v>3.64</v>
      </c>
      <c r="E670" s="4">
        <v>10</v>
      </c>
      <c r="F670" s="8">
        <v>5.68</v>
      </c>
      <c r="G670" s="4">
        <v>1</v>
      </c>
      <c r="H670" s="8">
        <v>0.81</v>
      </c>
      <c r="I670" s="4">
        <v>0</v>
      </c>
    </row>
    <row r="671" spans="1:9" x14ac:dyDescent="0.2">
      <c r="A671" s="2">
        <v>9</v>
      </c>
      <c r="B671" s="1" t="s">
        <v>71</v>
      </c>
      <c r="C671" s="4">
        <v>10</v>
      </c>
      <c r="D671" s="8">
        <v>3.31</v>
      </c>
      <c r="E671" s="4">
        <v>4</v>
      </c>
      <c r="F671" s="8">
        <v>2.27</v>
      </c>
      <c r="G671" s="4">
        <v>6</v>
      </c>
      <c r="H671" s="8">
        <v>4.88</v>
      </c>
      <c r="I671" s="4">
        <v>0</v>
      </c>
    </row>
    <row r="672" spans="1:9" x14ac:dyDescent="0.2">
      <c r="A672" s="2">
        <v>10</v>
      </c>
      <c r="B672" s="1" t="s">
        <v>77</v>
      </c>
      <c r="C672" s="4">
        <v>9</v>
      </c>
      <c r="D672" s="8">
        <v>2.98</v>
      </c>
      <c r="E672" s="4">
        <v>5</v>
      </c>
      <c r="F672" s="8">
        <v>2.84</v>
      </c>
      <c r="G672" s="4">
        <v>4</v>
      </c>
      <c r="H672" s="8">
        <v>3.25</v>
      </c>
      <c r="I672" s="4">
        <v>0</v>
      </c>
    </row>
    <row r="673" spans="1:9" x14ac:dyDescent="0.2">
      <c r="A673" s="2">
        <v>11</v>
      </c>
      <c r="B673" s="1" t="s">
        <v>98</v>
      </c>
      <c r="C673" s="4">
        <v>7</v>
      </c>
      <c r="D673" s="8">
        <v>2.3199999999999998</v>
      </c>
      <c r="E673" s="4">
        <v>1</v>
      </c>
      <c r="F673" s="8">
        <v>0.56999999999999995</v>
      </c>
      <c r="G673" s="4">
        <v>6</v>
      </c>
      <c r="H673" s="8">
        <v>4.88</v>
      </c>
      <c r="I673" s="4">
        <v>0</v>
      </c>
    </row>
    <row r="674" spans="1:9" x14ac:dyDescent="0.2">
      <c r="A674" s="2">
        <v>11</v>
      </c>
      <c r="B674" s="1" t="s">
        <v>72</v>
      </c>
      <c r="C674" s="4">
        <v>7</v>
      </c>
      <c r="D674" s="8">
        <v>2.3199999999999998</v>
      </c>
      <c r="E674" s="4">
        <v>4</v>
      </c>
      <c r="F674" s="8">
        <v>2.27</v>
      </c>
      <c r="G674" s="4">
        <v>3</v>
      </c>
      <c r="H674" s="8">
        <v>2.44</v>
      </c>
      <c r="I674" s="4">
        <v>0</v>
      </c>
    </row>
    <row r="675" spans="1:9" x14ac:dyDescent="0.2">
      <c r="A675" s="2">
        <v>13</v>
      </c>
      <c r="B675" s="1" t="s">
        <v>75</v>
      </c>
      <c r="C675" s="4">
        <v>6</v>
      </c>
      <c r="D675" s="8">
        <v>1.99</v>
      </c>
      <c r="E675" s="4">
        <v>5</v>
      </c>
      <c r="F675" s="8">
        <v>2.84</v>
      </c>
      <c r="G675" s="4">
        <v>1</v>
      </c>
      <c r="H675" s="8">
        <v>0.81</v>
      </c>
      <c r="I675" s="4">
        <v>0</v>
      </c>
    </row>
    <row r="676" spans="1:9" x14ac:dyDescent="0.2">
      <c r="A676" s="2">
        <v>14</v>
      </c>
      <c r="B676" s="1" t="s">
        <v>103</v>
      </c>
      <c r="C676" s="4">
        <v>5</v>
      </c>
      <c r="D676" s="8">
        <v>1.66</v>
      </c>
      <c r="E676" s="4">
        <v>2</v>
      </c>
      <c r="F676" s="8">
        <v>1.1399999999999999</v>
      </c>
      <c r="G676" s="4">
        <v>3</v>
      </c>
      <c r="H676" s="8">
        <v>2.44</v>
      </c>
      <c r="I676" s="4">
        <v>0</v>
      </c>
    </row>
    <row r="677" spans="1:9" x14ac:dyDescent="0.2">
      <c r="A677" s="2">
        <v>14</v>
      </c>
      <c r="B677" s="1" t="s">
        <v>87</v>
      </c>
      <c r="C677" s="4">
        <v>5</v>
      </c>
      <c r="D677" s="8">
        <v>1.66</v>
      </c>
      <c r="E677" s="4">
        <v>1</v>
      </c>
      <c r="F677" s="8">
        <v>0.56999999999999995</v>
      </c>
      <c r="G677" s="4">
        <v>4</v>
      </c>
      <c r="H677" s="8">
        <v>3.25</v>
      </c>
      <c r="I677" s="4">
        <v>0</v>
      </c>
    </row>
    <row r="678" spans="1:9" x14ac:dyDescent="0.2">
      <c r="A678" s="2">
        <v>14</v>
      </c>
      <c r="B678" s="1" t="s">
        <v>73</v>
      </c>
      <c r="C678" s="4">
        <v>5</v>
      </c>
      <c r="D678" s="8">
        <v>1.66</v>
      </c>
      <c r="E678" s="4">
        <v>3</v>
      </c>
      <c r="F678" s="8">
        <v>1.7</v>
      </c>
      <c r="G678" s="4">
        <v>2</v>
      </c>
      <c r="H678" s="8">
        <v>1.63</v>
      </c>
      <c r="I678" s="4">
        <v>0</v>
      </c>
    </row>
    <row r="679" spans="1:9" x14ac:dyDescent="0.2">
      <c r="A679" s="2">
        <v>14</v>
      </c>
      <c r="B679" s="1" t="s">
        <v>78</v>
      </c>
      <c r="C679" s="4">
        <v>5</v>
      </c>
      <c r="D679" s="8">
        <v>1.66</v>
      </c>
      <c r="E679" s="4">
        <v>2</v>
      </c>
      <c r="F679" s="8">
        <v>1.1399999999999999</v>
      </c>
      <c r="G679" s="4">
        <v>3</v>
      </c>
      <c r="H679" s="8">
        <v>2.44</v>
      </c>
      <c r="I679" s="4">
        <v>0</v>
      </c>
    </row>
    <row r="680" spans="1:9" x14ac:dyDescent="0.2">
      <c r="A680" s="2">
        <v>14</v>
      </c>
      <c r="B680" s="1" t="s">
        <v>85</v>
      </c>
      <c r="C680" s="4">
        <v>5</v>
      </c>
      <c r="D680" s="8">
        <v>1.66</v>
      </c>
      <c r="E680" s="4">
        <v>3</v>
      </c>
      <c r="F680" s="8">
        <v>1.7</v>
      </c>
      <c r="G680" s="4">
        <v>2</v>
      </c>
      <c r="H680" s="8">
        <v>1.63</v>
      </c>
      <c r="I680" s="4">
        <v>0</v>
      </c>
    </row>
    <row r="681" spans="1:9" x14ac:dyDescent="0.2">
      <c r="A681" s="2">
        <v>14</v>
      </c>
      <c r="B681" s="1" t="s">
        <v>88</v>
      </c>
      <c r="C681" s="4">
        <v>5</v>
      </c>
      <c r="D681" s="8">
        <v>1.66</v>
      </c>
      <c r="E681" s="4">
        <v>3</v>
      </c>
      <c r="F681" s="8">
        <v>1.7</v>
      </c>
      <c r="G681" s="4">
        <v>2</v>
      </c>
      <c r="H681" s="8">
        <v>1.63</v>
      </c>
      <c r="I681" s="4">
        <v>0</v>
      </c>
    </row>
    <row r="682" spans="1:9" x14ac:dyDescent="0.2">
      <c r="A682" s="2">
        <v>20</v>
      </c>
      <c r="B682" s="1" t="s">
        <v>92</v>
      </c>
      <c r="C682" s="4">
        <v>4</v>
      </c>
      <c r="D682" s="8">
        <v>1.32</v>
      </c>
      <c r="E682" s="4">
        <v>1</v>
      </c>
      <c r="F682" s="8">
        <v>0.56999999999999995</v>
      </c>
      <c r="G682" s="4">
        <v>3</v>
      </c>
      <c r="H682" s="8">
        <v>2.44</v>
      </c>
      <c r="I682" s="4">
        <v>0</v>
      </c>
    </row>
    <row r="683" spans="1:9" x14ac:dyDescent="0.2">
      <c r="A683" s="2">
        <v>20</v>
      </c>
      <c r="B683" s="1" t="s">
        <v>70</v>
      </c>
      <c r="C683" s="4">
        <v>4</v>
      </c>
      <c r="D683" s="8">
        <v>1.32</v>
      </c>
      <c r="E683" s="4">
        <v>0</v>
      </c>
      <c r="F683" s="8">
        <v>0</v>
      </c>
      <c r="G683" s="4">
        <v>4</v>
      </c>
      <c r="H683" s="8">
        <v>3.25</v>
      </c>
      <c r="I683" s="4">
        <v>0</v>
      </c>
    </row>
    <row r="684" spans="1:9" x14ac:dyDescent="0.2">
      <c r="A684" s="2">
        <v>20</v>
      </c>
      <c r="B684" s="1" t="s">
        <v>101</v>
      </c>
      <c r="C684" s="4">
        <v>4</v>
      </c>
      <c r="D684" s="8">
        <v>1.32</v>
      </c>
      <c r="E684" s="4">
        <v>2</v>
      </c>
      <c r="F684" s="8">
        <v>1.1399999999999999</v>
      </c>
      <c r="G684" s="4">
        <v>2</v>
      </c>
      <c r="H684" s="8">
        <v>1.63</v>
      </c>
      <c r="I684" s="4">
        <v>0</v>
      </c>
    </row>
    <row r="685" spans="1:9" x14ac:dyDescent="0.2">
      <c r="A685" s="2">
        <v>20</v>
      </c>
      <c r="B685" s="1" t="s">
        <v>89</v>
      </c>
      <c r="C685" s="4">
        <v>4</v>
      </c>
      <c r="D685" s="8">
        <v>1.32</v>
      </c>
      <c r="E685" s="4">
        <v>2</v>
      </c>
      <c r="F685" s="8">
        <v>1.1399999999999999</v>
      </c>
      <c r="G685" s="4">
        <v>2</v>
      </c>
      <c r="H685" s="8">
        <v>1.63</v>
      </c>
      <c r="I685" s="4">
        <v>0</v>
      </c>
    </row>
    <row r="686" spans="1:9" x14ac:dyDescent="0.2">
      <c r="A686" s="2">
        <v>20</v>
      </c>
      <c r="B686" s="1" t="s">
        <v>74</v>
      </c>
      <c r="C686" s="4">
        <v>4</v>
      </c>
      <c r="D686" s="8">
        <v>1.32</v>
      </c>
      <c r="E686" s="4">
        <v>4</v>
      </c>
      <c r="F686" s="8">
        <v>2.27</v>
      </c>
      <c r="G686" s="4">
        <v>0</v>
      </c>
      <c r="H686" s="8">
        <v>0</v>
      </c>
      <c r="I686" s="4">
        <v>0</v>
      </c>
    </row>
    <row r="687" spans="1:9" x14ac:dyDescent="0.2">
      <c r="A687" s="2">
        <v>20</v>
      </c>
      <c r="B687" s="1" t="s">
        <v>102</v>
      </c>
      <c r="C687" s="4">
        <v>4</v>
      </c>
      <c r="D687" s="8">
        <v>1.32</v>
      </c>
      <c r="E687" s="4">
        <v>1</v>
      </c>
      <c r="F687" s="8">
        <v>0.56999999999999995</v>
      </c>
      <c r="G687" s="4">
        <v>3</v>
      </c>
      <c r="H687" s="8">
        <v>2.44</v>
      </c>
      <c r="I687" s="4">
        <v>0</v>
      </c>
    </row>
    <row r="688" spans="1:9" x14ac:dyDescent="0.2">
      <c r="A688" s="2">
        <v>20</v>
      </c>
      <c r="B688" s="1" t="s">
        <v>106</v>
      </c>
      <c r="C688" s="4">
        <v>4</v>
      </c>
      <c r="D688" s="8">
        <v>1.32</v>
      </c>
      <c r="E688" s="4">
        <v>1</v>
      </c>
      <c r="F688" s="8">
        <v>0.56999999999999995</v>
      </c>
      <c r="G688" s="4">
        <v>3</v>
      </c>
      <c r="H688" s="8">
        <v>2.44</v>
      </c>
      <c r="I688" s="4">
        <v>0</v>
      </c>
    </row>
    <row r="689" spans="1:9" x14ac:dyDescent="0.2">
      <c r="A689" s="1"/>
      <c r="C689" s="4"/>
      <c r="D689" s="8"/>
      <c r="E689" s="4"/>
      <c r="F689" s="8"/>
      <c r="G689" s="4"/>
      <c r="H689" s="8"/>
      <c r="I689" s="4"/>
    </row>
    <row r="690" spans="1:9" x14ac:dyDescent="0.2">
      <c r="A690" s="1" t="s">
        <v>30</v>
      </c>
      <c r="C690" s="4"/>
      <c r="D690" s="8"/>
      <c r="E690" s="4"/>
      <c r="F690" s="8"/>
      <c r="G690" s="4"/>
      <c r="H690" s="8"/>
      <c r="I690" s="4"/>
    </row>
    <row r="691" spans="1:9" x14ac:dyDescent="0.2">
      <c r="A691" s="2">
        <v>1</v>
      </c>
      <c r="B691" s="1" t="s">
        <v>66</v>
      </c>
      <c r="C691" s="4">
        <v>84</v>
      </c>
      <c r="D691" s="8">
        <v>14.51</v>
      </c>
      <c r="E691" s="4">
        <v>27</v>
      </c>
      <c r="F691" s="8">
        <v>7.99</v>
      </c>
      <c r="G691" s="4">
        <v>57</v>
      </c>
      <c r="H691" s="8">
        <v>26.51</v>
      </c>
      <c r="I691" s="4">
        <v>0</v>
      </c>
    </row>
    <row r="692" spans="1:9" x14ac:dyDescent="0.2">
      <c r="A692" s="2">
        <v>2</v>
      </c>
      <c r="B692" s="1" t="s">
        <v>82</v>
      </c>
      <c r="C692" s="4">
        <v>58</v>
      </c>
      <c r="D692" s="8">
        <v>10.02</v>
      </c>
      <c r="E692" s="4">
        <v>51</v>
      </c>
      <c r="F692" s="8">
        <v>15.09</v>
      </c>
      <c r="G692" s="4">
        <v>7</v>
      </c>
      <c r="H692" s="8">
        <v>3.26</v>
      </c>
      <c r="I692" s="4">
        <v>0</v>
      </c>
    </row>
    <row r="693" spans="1:9" x14ac:dyDescent="0.2">
      <c r="A693" s="2">
        <v>3</v>
      </c>
      <c r="B693" s="1" t="s">
        <v>67</v>
      </c>
      <c r="C693" s="4">
        <v>50</v>
      </c>
      <c r="D693" s="8">
        <v>8.64</v>
      </c>
      <c r="E693" s="4">
        <v>29</v>
      </c>
      <c r="F693" s="8">
        <v>8.58</v>
      </c>
      <c r="G693" s="4">
        <v>21</v>
      </c>
      <c r="H693" s="8">
        <v>9.77</v>
      </c>
      <c r="I693" s="4">
        <v>0</v>
      </c>
    </row>
    <row r="694" spans="1:9" x14ac:dyDescent="0.2">
      <c r="A694" s="2">
        <v>4</v>
      </c>
      <c r="B694" s="1" t="s">
        <v>81</v>
      </c>
      <c r="C694" s="4">
        <v>48</v>
      </c>
      <c r="D694" s="8">
        <v>8.2899999999999991</v>
      </c>
      <c r="E694" s="4">
        <v>36</v>
      </c>
      <c r="F694" s="8">
        <v>10.65</v>
      </c>
      <c r="G694" s="4">
        <v>12</v>
      </c>
      <c r="H694" s="8">
        <v>5.58</v>
      </c>
      <c r="I694" s="4">
        <v>0</v>
      </c>
    </row>
    <row r="695" spans="1:9" x14ac:dyDescent="0.2">
      <c r="A695" s="2">
        <v>5</v>
      </c>
      <c r="B695" s="1" t="s">
        <v>77</v>
      </c>
      <c r="C695" s="4">
        <v>39</v>
      </c>
      <c r="D695" s="8">
        <v>6.74</v>
      </c>
      <c r="E695" s="4">
        <v>28</v>
      </c>
      <c r="F695" s="8">
        <v>8.2799999999999994</v>
      </c>
      <c r="G695" s="4">
        <v>11</v>
      </c>
      <c r="H695" s="8">
        <v>5.12</v>
      </c>
      <c r="I695" s="4">
        <v>0</v>
      </c>
    </row>
    <row r="696" spans="1:9" x14ac:dyDescent="0.2">
      <c r="A696" s="2">
        <v>6</v>
      </c>
      <c r="B696" s="1" t="s">
        <v>83</v>
      </c>
      <c r="C696" s="4">
        <v>35</v>
      </c>
      <c r="D696" s="8">
        <v>6.04</v>
      </c>
      <c r="E696" s="4">
        <v>14</v>
      </c>
      <c r="F696" s="8">
        <v>4.1399999999999997</v>
      </c>
      <c r="G696" s="4">
        <v>4</v>
      </c>
      <c r="H696" s="8">
        <v>1.86</v>
      </c>
      <c r="I696" s="4">
        <v>0</v>
      </c>
    </row>
    <row r="697" spans="1:9" x14ac:dyDescent="0.2">
      <c r="A697" s="2">
        <v>7</v>
      </c>
      <c r="B697" s="1" t="s">
        <v>75</v>
      </c>
      <c r="C697" s="4">
        <v>34</v>
      </c>
      <c r="D697" s="8">
        <v>5.87</v>
      </c>
      <c r="E697" s="4">
        <v>31</v>
      </c>
      <c r="F697" s="8">
        <v>9.17</v>
      </c>
      <c r="G697" s="4">
        <v>3</v>
      </c>
      <c r="H697" s="8">
        <v>1.4</v>
      </c>
      <c r="I697" s="4">
        <v>0</v>
      </c>
    </row>
    <row r="698" spans="1:9" x14ac:dyDescent="0.2">
      <c r="A698" s="2">
        <v>8</v>
      </c>
      <c r="B698" s="1" t="s">
        <v>68</v>
      </c>
      <c r="C698" s="4">
        <v>23</v>
      </c>
      <c r="D698" s="8">
        <v>3.97</v>
      </c>
      <c r="E698" s="4">
        <v>12</v>
      </c>
      <c r="F698" s="8">
        <v>3.55</v>
      </c>
      <c r="G698" s="4">
        <v>11</v>
      </c>
      <c r="H698" s="8">
        <v>5.12</v>
      </c>
      <c r="I698" s="4">
        <v>0</v>
      </c>
    </row>
    <row r="699" spans="1:9" x14ac:dyDescent="0.2">
      <c r="A699" s="2">
        <v>8</v>
      </c>
      <c r="B699" s="1" t="s">
        <v>76</v>
      </c>
      <c r="C699" s="4">
        <v>23</v>
      </c>
      <c r="D699" s="8">
        <v>3.97</v>
      </c>
      <c r="E699" s="4">
        <v>17</v>
      </c>
      <c r="F699" s="8">
        <v>5.03</v>
      </c>
      <c r="G699" s="4">
        <v>6</v>
      </c>
      <c r="H699" s="8">
        <v>2.79</v>
      </c>
      <c r="I699" s="4">
        <v>0</v>
      </c>
    </row>
    <row r="700" spans="1:9" x14ac:dyDescent="0.2">
      <c r="A700" s="2">
        <v>10</v>
      </c>
      <c r="B700" s="1" t="s">
        <v>84</v>
      </c>
      <c r="C700" s="4">
        <v>17</v>
      </c>
      <c r="D700" s="8">
        <v>2.94</v>
      </c>
      <c r="E700" s="4">
        <v>17</v>
      </c>
      <c r="F700" s="8">
        <v>5.03</v>
      </c>
      <c r="G700" s="4">
        <v>0</v>
      </c>
      <c r="H700" s="8">
        <v>0</v>
      </c>
      <c r="I700" s="4">
        <v>0</v>
      </c>
    </row>
    <row r="701" spans="1:9" x14ac:dyDescent="0.2">
      <c r="A701" s="2">
        <v>11</v>
      </c>
      <c r="B701" s="1" t="s">
        <v>74</v>
      </c>
      <c r="C701" s="4">
        <v>13</v>
      </c>
      <c r="D701" s="8">
        <v>2.25</v>
      </c>
      <c r="E701" s="4">
        <v>10</v>
      </c>
      <c r="F701" s="8">
        <v>2.96</v>
      </c>
      <c r="G701" s="4">
        <v>3</v>
      </c>
      <c r="H701" s="8">
        <v>1.4</v>
      </c>
      <c r="I701" s="4">
        <v>0</v>
      </c>
    </row>
    <row r="702" spans="1:9" x14ac:dyDescent="0.2">
      <c r="A702" s="2">
        <v>12</v>
      </c>
      <c r="B702" s="1" t="s">
        <v>80</v>
      </c>
      <c r="C702" s="4">
        <v>12</v>
      </c>
      <c r="D702" s="8">
        <v>2.0699999999999998</v>
      </c>
      <c r="E702" s="4">
        <v>6</v>
      </c>
      <c r="F702" s="8">
        <v>1.78</v>
      </c>
      <c r="G702" s="4">
        <v>5</v>
      </c>
      <c r="H702" s="8">
        <v>2.33</v>
      </c>
      <c r="I702" s="4">
        <v>0</v>
      </c>
    </row>
    <row r="703" spans="1:9" x14ac:dyDescent="0.2">
      <c r="A703" s="2">
        <v>13</v>
      </c>
      <c r="B703" s="1" t="s">
        <v>78</v>
      </c>
      <c r="C703" s="4">
        <v>9</v>
      </c>
      <c r="D703" s="8">
        <v>1.55</v>
      </c>
      <c r="E703" s="4">
        <v>3</v>
      </c>
      <c r="F703" s="8">
        <v>0.89</v>
      </c>
      <c r="G703" s="4">
        <v>6</v>
      </c>
      <c r="H703" s="8">
        <v>2.79</v>
      </c>
      <c r="I703" s="4">
        <v>0</v>
      </c>
    </row>
    <row r="704" spans="1:9" x14ac:dyDescent="0.2">
      <c r="A704" s="2">
        <v>13</v>
      </c>
      <c r="B704" s="1" t="s">
        <v>79</v>
      </c>
      <c r="C704" s="4">
        <v>9</v>
      </c>
      <c r="D704" s="8">
        <v>1.55</v>
      </c>
      <c r="E704" s="4">
        <v>6</v>
      </c>
      <c r="F704" s="8">
        <v>1.78</v>
      </c>
      <c r="G704" s="4">
        <v>3</v>
      </c>
      <c r="H704" s="8">
        <v>1.4</v>
      </c>
      <c r="I704" s="4">
        <v>0</v>
      </c>
    </row>
    <row r="705" spans="1:9" x14ac:dyDescent="0.2">
      <c r="A705" s="2">
        <v>15</v>
      </c>
      <c r="B705" s="1" t="s">
        <v>69</v>
      </c>
      <c r="C705" s="4">
        <v>7</v>
      </c>
      <c r="D705" s="8">
        <v>1.21</v>
      </c>
      <c r="E705" s="4">
        <v>4</v>
      </c>
      <c r="F705" s="8">
        <v>1.18</v>
      </c>
      <c r="G705" s="4">
        <v>3</v>
      </c>
      <c r="H705" s="8">
        <v>1.4</v>
      </c>
      <c r="I705" s="4">
        <v>0</v>
      </c>
    </row>
    <row r="706" spans="1:9" x14ac:dyDescent="0.2">
      <c r="A706" s="2">
        <v>15</v>
      </c>
      <c r="B706" s="1" t="s">
        <v>70</v>
      </c>
      <c r="C706" s="4">
        <v>7</v>
      </c>
      <c r="D706" s="8">
        <v>1.21</v>
      </c>
      <c r="E706" s="4">
        <v>0</v>
      </c>
      <c r="F706" s="8">
        <v>0</v>
      </c>
      <c r="G706" s="4">
        <v>7</v>
      </c>
      <c r="H706" s="8">
        <v>3.26</v>
      </c>
      <c r="I706" s="4">
        <v>0</v>
      </c>
    </row>
    <row r="707" spans="1:9" x14ac:dyDescent="0.2">
      <c r="A707" s="2">
        <v>15</v>
      </c>
      <c r="B707" s="1" t="s">
        <v>85</v>
      </c>
      <c r="C707" s="4">
        <v>7</v>
      </c>
      <c r="D707" s="8">
        <v>1.21</v>
      </c>
      <c r="E707" s="4">
        <v>5</v>
      </c>
      <c r="F707" s="8">
        <v>1.48</v>
      </c>
      <c r="G707" s="4">
        <v>2</v>
      </c>
      <c r="H707" s="8">
        <v>0.93</v>
      </c>
      <c r="I707" s="4">
        <v>0</v>
      </c>
    </row>
    <row r="708" spans="1:9" x14ac:dyDescent="0.2">
      <c r="A708" s="2">
        <v>18</v>
      </c>
      <c r="B708" s="1" t="s">
        <v>107</v>
      </c>
      <c r="C708" s="4">
        <v>6</v>
      </c>
      <c r="D708" s="8">
        <v>1.04</v>
      </c>
      <c r="E708" s="4">
        <v>2</v>
      </c>
      <c r="F708" s="8">
        <v>0.59</v>
      </c>
      <c r="G708" s="4">
        <v>3</v>
      </c>
      <c r="H708" s="8">
        <v>1.4</v>
      </c>
      <c r="I708" s="4">
        <v>1</v>
      </c>
    </row>
    <row r="709" spans="1:9" x14ac:dyDescent="0.2">
      <c r="A709" s="2">
        <v>18</v>
      </c>
      <c r="B709" s="1" t="s">
        <v>90</v>
      </c>
      <c r="C709" s="4">
        <v>6</v>
      </c>
      <c r="D709" s="8">
        <v>1.04</v>
      </c>
      <c r="E709" s="4">
        <v>3</v>
      </c>
      <c r="F709" s="8">
        <v>0.89</v>
      </c>
      <c r="G709" s="4">
        <v>3</v>
      </c>
      <c r="H709" s="8">
        <v>1.4</v>
      </c>
      <c r="I709" s="4">
        <v>0</v>
      </c>
    </row>
    <row r="710" spans="1:9" x14ac:dyDescent="0.2">
      <c r="A710" s="2">
        <v>20</v>
      </c>
      <c r="B710" s="1" t="s">
        <v>92</v>
      </c>
      <c r="C710" s="4">
        <v>5</v>
      </c>
      <c r="D710" s="8">
        <v>0.86</v>
      </c>
      <c r="E710" s="4">
        <v>2</v>
      </c>
      <c r="F710" s="8">
        <v>0.59</v>
      </c>
      <c r="G710" s="4">
        <v>3</v>
      </c>
      <c r="H710" s="8">
        <v>1.4</v>
      </c>
      <c r="I710" s="4">
        <v>0</v>
      </c>
    </row>
    <row r="711" spans="1:9" x14ac:dyDescent="0.2">
      <c r="A711" s="2">
        <v>20</v>
      </c>
      <c r="B711" s="1" t="s">
        <v>93</v>
      </c>
      <c r="C711" s="4">
        <v>5</v>
      </c>
      <c r="D711" s="8">
        <v>0.86</v>
      </c>
      <c r="E711" s="4">
        <v>5</v>
      </c>
      <c r="F711" s="8">
        <v>1.48</v>
      </c>
      <c r="G711" s="4">
        <v>0</v>
      </c>
      <c r="H711" s="8">
        <v>0</v>
      </c>
      <c r="I711" s="4">
        <v>0</v>
      </c>
    </row>
    <row r="712" spans="1:9" x14ac:dyDescent="0.2">
      <c r="A712" s="2">
        <v>20</v>
      </c>
      <c r="B712" s="1" t="s">
        <v>103</v>
      </c>
      <c r="C712" s="4">
        <v>5</v>
      </c>
      <c r="D712" s="8">
        <v>0.86</v>
      </c>
      <c r="E712" s="4">
        <v>4</v>
      </c>
      <c r="F712" s="8">
        <v>1.18</v>
      </c>
      <c r="G712" s="4">
        <v>1</v>
      </c>
      <c r="H712" s="8">
        <v>0.47</v>
      </c>
      <c r="I712" s="4">
        <v>0</v>
      </c>
    </row>
    <row r="713" spans="1:9" x14ac:dyDescent="0.2">
      <c r="A713" s="2">
        <v>20</v>
      </c>
      <c r="B713" s="1" t="s">
        <v>106</v>
      </c>
      <c r="C713" s="4">
        <v>5</v>
      </c>
      <c r="D713" s="8">
        <v>0.86</v>
      </c>
      <c r="E713" s="4">
        <v>3</v>
      </c>
      <c r="F713" s="8">
        <v>0.89</v>
      </c>
      <c r="G713" s="4">
        <v>2</v>
      </c>
      <c r="H713" s="8">
        <v>0.93</v>
      </c>
      <c r="I713" s="4">
        <v>0</v>
      </c>
    </row>
    <row r="714" spans="1:9" x14ac:dyDescent="0.2">
      <c r="A714" s="2">
        <v>20</v>
      </c>
      <c r="B714" s="1" t="s">
        <v>88</v>
      </c>
      <c r="C714" s="4">
        <v>5</v>
      </c>
      <c r="D714" s="8">
        <v>0.86</v>
      </c>
      <c r="E714" s="4">
        <v>0</v>
      </c>
      <c r="F714" s="8">
        <v>0</v>
      </c>
      <c r="G714" s="4">
        <v>4</v>
      </c>
      <c r="H714" s="8">
        <v>1.86</v>
      </c>
      <c r="I714" s="4">
        <v>0</v>
      </c>
    </row>
    <row r="715" spans="1:9" x14ac:dyDescent="0.2">
      <c r="A715" s="1"/>
      <c r="C715" s="4"/>
      <c r="D715" s="8"/>
      <c r="E715" s="4"/>
      <c r="F715" s="8"/>
      <c r="G715" s="4"/>
      <c r="H715" s="8"/>
      <c r="I715" s="4"/>
    </row>
    <row r="716" spans="1:9" x14ac:dyDescent="0.2">
      <c r="A716" s="1" t="s">
        <v>31</v>
      </c>
      <c r="C716" s="4"/>
      <c r="D716" s="8"/>
      <c r="E716" s="4"/>
      <c r="F716" s="8"/>
      <c r="G716" s="4"/>
      <c r="H716" s="8"/>
      <c r="I716" s="4"/>
    </row>
    <row r="717" spans="1:9" x14ac:dyDescent="0.2">
      <c r="A717" s="2">
        <v>1</v>
      </c>
      <c r="B717" s="1" t="s">
        <v>67</v>
      </c>
      <c r="C717" s="4">
        <v>43</v>
      </c>
      <c r="D717" s="8">
        <v>9.58</v>
      </c>
      <c r="E717" s="4">
        <v>23</v>
      </c>
      <c r="F717" s="8">
        <v>9.31</v>
      </c>
      <c r="G717" s="4">
        <v>20</v>
      </c>
      <c r="H717" s="8">
        <v>10.75</v>
      </c>
      <c r="I717" s="4">
        <v>0</v>
      </c>
    </row>
    <row r="718" spans="1:9" x14ac:dyDescent="0.2">
      <c r="A718" s="2">
        <v>2</v>
      </c>
      <c r="B718" s="1" t="s">
        <v>82</v>
      </c>
      <c r="C718" s="4">
        <v>42</v>
      </c>
      <c r="D718" s="8">
        <v>9.35</v>
      </c>
      <c r="E718" s="4">
        <v>36</v>
      </c>
      <c r="F718" s="8">
        <v>14.57</v>
      </c>
      <c r="G718" s="4">
        <v>6</v>
      </c>
      <c r="H718" s="8">
        <v>3.23</v>
      </c>
      <c r="I718" s="4">
        <v>0</v>
      </c>
    </row>
    <row r="719" spans="1:9" x14ac:dyDescent="0.2">
      <c r="A719" s="2">
        <v>3</v>
      </c>
      <c r="B719" s="1" t="s">
        <v>66</v>
      </c>
      <c r="C719" s="4">
        <v>37</v>
      </c>
      <c r="D719" s="8">
        <v>8.24</v>
      </c>
      <c r="E719" s="4">
        <v>9</v>
      </c>
      <c r="F719" s="8">
        <v>3.64</v>
      </c>
      <c r="G719" s="4">
        <v>28</v>
      </c>
      <c r="H719" s="8">
        <v>15.05</v>
      </c>
      <c r="I719" s="4">
        <v>0</v>
      </c>
    </row>
    <row r="720" spans="1:9" x14ac:dyDescent="0.2">
      <c r="A720" s="2">
        <v>4</v>
      </c>
      <c r="B720" s="1" t="s">
        <v>83</v>
      </c>
      <c r="C720" s="4">
        <v>35</v>
      </c>
      <c r="D720" s="8">
        <v>7.8</v>
      </c>
      <c r="E720" s="4">
        <v>28</v>
      </c>
      <c r="F720" s="8">
        <v>11.34</v>
      </c>
      <c r="G720" s="4">
        <v>3</v>
      </c>
      <c r="H720" s="8">
        <v>1.61</v>
      </c>
      <c r="I720" s="4">
        <v>0</v>
      </c>
    </row>
    <row r="721" spans="1:9" x14ac:dyDescent="0.2">
      <c r="A721" s="2">
        <v>5</v>
      </c>
      <c r="B721" s="1" t="s">
        <v>76</v>
      </c>
      <c r="C721" s="4">
        <v>32</v>
      </c>
      <c r="D721" s="8">
        <v>7.13</v>
      </c>
      <c r="E721" s="4">
        <v>24</v>
      </c>
      <c r="F721" s="8">
        <v>9.7200000000000006</v>
      </c>
      <c r="G721" s="4">
        <v>8</v>
      </c>
      <c r="H721" s="8">
        <v>4.3</v>
      </c>
      <c r="I721" s="4">
        <v>0</v>
      </c>
    </row>
    <row r="722" spans="1:9" x14ac:dyDescent="0.2">
      <c r="A722" s="2">
        <v>6</v>
      </c>
      <c r="B722" s="1" t="s">
        <v>81</v>
      </c>
      <c r="C722" s="4">
        <v>31</v>
      </c>
      <c r="D722" s="8">
        <v>6.9</v>
      </c>
      <c r="E722" s="4">
        <v>27</v>
      </c>
      <c r="F722" s="8">
        <v>10.93</v>
      </c>
      <c r="G722" s="4">
        <v>4</v>
      </c>
      <c r="H722" s="8">
        <v>2.15</v>
      </c>
      <c r="I722" s="4">
        <v>0</v>
      </c>
    </row>
    <row r="723" spans="1:9" x14ac:dyDescent="0.2">
      <c r="A723" s="2">
        <v>7</v>
      </c>
      <c r="B723" s="1" t="s">
        <v>77</v>
      </c>
      <c r="C723" s="4">
        <v>30</v>
      </c>
      <c r="D723" s="8">
        <v>6.68</v>
      </c>
      <c r="E723" s="4">
        <v>16</v>
      </c>
      <c r="F723" s="8">
        <v>6.48</v>
      </c>
      <c r="G723" s="4">
        <v>14</v>
      </c>
      <c r="H723" s="8">
        <v>7.53</v>
      </c>
      <c r="I723" s="4">
        <v>0</v>
      </c>
    </row>
    <row r="724" spans="1:9" x14ac:dyDescent="0.2">
      <c r="A724" s="2">
        <v>8</v>
      </c>
      <c r="B724" s="1" t="s">
        <v>68</v>
      </c>
      <c r="C724" s="4">
        <v>18</v>
      </c>
      <c r="D724" s="8">
        <v>4.01</v>
      </c>
      <c r="E724" s="4">
        <v>10</v>
      </c>
      <c r="F724" s="8">
        <v>4.05</v>
      </c>
      <c r="G724" s="4">
        <v>8</v>
      </c>
      <c r="H724" s="8">
        <v>4.3</v>
      </c>
      <c r="I724" s="4">
        <v>0</v>
      </c>
    </row>
    <row r="725" spans="1:9" x14ac:dyDescent="0.2">
      <c r="A725" s="2">
        <v>9</v>
      </c>
      <c r="B725" s="1" t="s">
        <v>84</v>
      </c>
      <c r="C725" s="4">
        <v>16</v>
      </c>
      <c r="D725" s="8">
        <v>3.56</v>
      </c>
      <c r="E725" s="4">
        <v>14</v>
      </c>
      <c r="F725" s="8">
        <v>5.67</v>
      </c>
      <c r="G725" s="4">
        <v>2</v>
      </c>
      <c r="H725" s="8">
        <v>1.08</v>
      </c>
      <c r="I725" s="4">
        <v>0</v>
      </c>
    </row>
    <row r="726" spans="1:9" x14ac:dyDescent="0.2">
      <c r="A726" s="2">
        <v>10</v>
      </c>
      <c r="B726" s="1" t="s">
        <v>74</v>
      </c>
      <c r="C726" s="4">
        <v>12</v>
      </c>
      <c r="D726" s="8">
        <v>2.67</v>
      </c>
      <c r="E726" s="4">
        <v>7</v>
      </c>
      <c r="F726" s="8">
        <v>2.83</v>
      </c>
      <c r="G726" s="4">
        <v>5</v>
      </c>
      <c r="H726" s="8">
        <v>2.69</v>
      </c>
      <c r="I726" s="4">
        <v>0</v>
      </c>
    </row>
    <row r="727" spans="1:9" x14ac:dyDescent="0.2">
      <c r="A727" s="2">
        <v>11</v>
      </c>
      <c r="B727" s="1" t="s">
        <v>69</v>
      </c>
      <c r="C727" s="4">
        <v>11</v>
      </c>
      <c r="D727" s="8">
        <v>2.4500000000000002</v>
      </c>
      <c r="E727" s="4">
        <v>5</v>
      </c>
      <c r="F727" s="8">
        <v>2.02</v>
      </c>
      <c r="G727" s="4">
        <v>6</v>
      </c>
      <c r="H727" s="8">
        <v>3.23</v>
      </c>
      <c r="I727" s="4">
        <v>0</v>
      </c>
    </row>
    <row r="728" spans="1:9" x14ac:dyDescent="0.2">
      <c r="A728" s="2">
        <v>12</v>
      </c>
      <c r="B728" s="1" t="s">
        <v>75</v>
      </c>
      <c r="C728" s="4">
        <v>9</v>
      </c>
      <c r="D728" s="8">
        <v>2</v>
      </c>
      <c r="E728" s="4">
        <v>5</v>
      </c>
      <c r="F728" s="8">
        <v>2.02</v>
      </c>
      <c r="G728" s="4">
        <v>4</v>
      </c>
      <c r="H728" s="8">
        <v>2.15</v>
      </c>
      <c r="I728" s="4">
        <v>0</v>
      </c>
    </row>
    <row r="729" spans="1:9" x14ac:dyDescent="0.2">
      <c r="A729" s="2">
        <v>13</v>
      </c>
      <c r="B729" s="1" t="s">
        <v>93</v>
      </c>
      <c r="C729" s="4">
        <v>8</v>
      </c>
      <c r="D729" s="8">
        <v>1.78</v>
      </c>
      <c r="E729" s="4">
        <v>1</v>
      </c>
      <c r="F729" s="8">
        <v>0.4</v>
      </c>
      <c r="G729" s="4">
        <v>7</v>
      </c>
      <c r="H729" s="8">
        <v>3.76</v>
      </c>
      <c r="I729" s="4">
        <v>0</v>
      </c>
    </row>
    <row r="730" spans="1:9" x14ac:dyDescent="0.2">
      <c r="A730" s="2">
        <v>13</v>
      </c>
      <c r="B730" s="1" t="s">
        <v>85</v>
      </c>
      <c r="C730" s="4">
        <v>8</v>
      </c>
      <c r="D730" s="8">
        <v>1.78</v>
      </c>
      <c r="E730" s="4">
        <v>7</v>
      </c>
      <c r="F730" s="8">
        <v>2.83</v>
      </c>
      <c r="G730" s="4">
        <v>1</v>
      </c>
      <c r="H730" s="8">
        <v>0.54</v>
      </c>
      <c r="I730" s="4">
        <v>0</v>
      </c>
    </row>
    <row r="731" spans="1:9" x14ac:dyDescent="0.2">
      <c r="A731" s="2">
        <v>15</v>
      </c>
      <c r="B731" s="1" t="s">
        <v>73</v>
      </c>
      <c r="C731" s="4">
        <v>7</v>
      </c>
      <c r="D731" s="8">
        <v>1.56</v>
      </c>
      <c r="E731" s="4">
        <v>4</v>
      </c>
      <c r="F731" s="8">
        <v>1.62</v>
      </c>
      <c r="G731" s="4">
        <v>1</v>
      </c>
      <c r="H731" s="8">
        <v>0.54</v>
      </c>
      <c r="I731" s="4">
        <v>2</v>
      </c>
    </row>
    <row r="732" spans="1:9" x14ac:dyDescent="0.2">
      <c r="A732" s="2">
        <v>15</v>
      </c>
      <c r="B732" s="1" t="s">
        <v>78</v>
      </c>
      <c r="C732" s="4">
        <v>7</v>
      </c>
      <c r="D732" s="8">
        <v>1.56</v>
      </c>
      <c r="E732" s="4">
        <v>4</v>
      </c>
      <c r="F732" s="8">
        <v>1.62</v>
      </c>
      <c r="G732" s="4">
        <v>3</v>
      </c>
      <c r="H732" s="8">
        <v>1.61</v>
      </c>
      <c r="I732" s="4">
        <v>0</v>
      </c>
    </row>
    <row r="733" spans="1:9" x14ac:dyDescent="0.2">
      <c r="A733" s="2">
        <v>15</v>
      </c>
      <c r="B733" s="1" t="s">
        <v>79</v>
      </c>
      <c r="C733" s="4">
        <v>7</v>
      </c>
      <c r="D733" s="8">
        <v>1.56</v>
      </c>
      <c r="E733" s="4">
        <v>5</v>
      </c>
      <c r="F733" s="8">
        <v>2.02</v>
      </c>
      <c r="G733" s="4">
        <v>2</v>
      </c>
      <c r="H733" s="8">
        <v>1.08</v>
      </c>
      <c r="I733" s="4">
        <v>0</v>
      </c>
    </row>
    <row r="734" spans="1:9" x14ac:dyDescent="0.2">
      <c r="A734" s="2">
        <v>18</v>
      </c>
      <c r="B734" s="1" t="s">
        <v>96</v>
      </c>
      <c r="C734" s="4">
        <v>6</v>
      </c>
      <c r="D734" s="8">
        <v>1.34</v>
      </c>
      <c r="E734" s="4">
        <v>2</v>
      </c>
      <c r="F734" s="8">
        <v>0.81</v>
      </c>
      <c r="G734" s="4">
        <v>4</v>
      </c>
      <c r="H734" s="8">
        <v>2.15</v>
      </c>
      <c r="I734" s="4">
        <v>0</v>
      </c>
    </row>
    <row r="735" spans="1:9" x14ac:dyDescent="0.2">
      <c r="A735" s="2">
        <v>18</v>
      </c>
      <c r="B735" s="1" t="s">
        <v>80</v>
      </c>
      <c r="C735" s="4">
        <v>6</v>
      </c>
      <c r="D735" s="8">
        <v>1.34</v>
      </c>
      <c r="E735" s="4">
        <v>2</v>
      </c>
      <c r="F735" s="8">
        <v>0.81</v>
      </c>
      <c r="G735" s="4">
        <v>4</v>
      </c>
      <c r="H735" s="8">
        <v>2.15</v>
      </c>
      <c r="I735" s="4">
        <v>0</v>
      </c>
    </row>
    <row r="736" spans="1:9" x14ac:dyDescent="0.2">
      <c r="A736" s="2">
        <v>18</v>
      </c>
      <c r="B736" s="1" t="s">
        <v>90</v>
      </c>
      <c r="C736" s="4">
        <v>6</v>
      </c>
      <c r="D736" s="8">
        <v>1.34</v>
      </c>
      <c r="E736" s="4">
        <v>2</v>
      </c>
      <c r="F736" s="8">
        <v>0.81</v>
      </c>
      <c r="G736" s="4">
        <v>3</v>
      </c>
      <c r="H736" s="8">
        <v>1.61</v>
      </c>
      <c r="I736" s="4">
        <v>0</v>
      </c>
    </row>
    <row r="737" spans="1:9" x14ac:dyDescent="0.2">
      <c r="A737" s="1"/>
      <c r="C737" s="4"/>
      <c r="D737" s="8"/>
      <c r="E737" s="4"/>
      <c r="F737" s="8"/>
      <c r="G737" s="4"/>
      <c r="H737" s="8"/>
      <c r="I737" s="4"/>
    </row>
    <row r="738" spans="1:9" x14ac:dyDescent="0.2">
      <c r="A738" s="1" t="s">
        <v>32</v>
      </c>
      <c r="C738" s="4"/>
      <c r="D738" s="8"/>
      <c r="E738" s="4"/>
      <c r="F738" s="8"/>
      <c r="G738" s="4"/>
      <c r="H738" s="8"/>
      <c r="I738" s="4"/>
    </row>
    <row r="739" spans="1:9" x14ac:dyDescent="0.2">
      <c r="A739" s="2">
        <v>1</v>
      </c>
      <c r="B739" s="1" t="s">
        <v>82</v>
      </c>
      <c r="C739" s="4">
        <v>53</v>
      </c>
      <c r="D739" s="8">
        <v>9.3000000000000007</v>
      </c>
      <c r="E739" s="4">
        <v>49</v>
      </c>
      <c r="F739" s="8">
        <v>14.98</v>
      </c>
      <c r="G739" s="4">
        <v>4</v>
      </c>
      <c r="H739" s="8">
        <v>1.79</v>
      </c>
      <c r="I739" s="4">
        <v>0</v>
      </c>
    </row>
    <row r="740" spans="1:9" x14ac:dyDescent="0.2">
      <c r="A740" s="2">
        <v>2</v>
      </c>
      <c r="B740" s="1" t="s">
        <v>66</v>
      </c>
      <c r="C740" s="4">
        <v>50</v>
      </c>
      <c r="D740" s="8">
        <v>8.77</v>
      </c>
      <c r="E740" s="4">
        <v>17</v>
      </c>
      <c r="F740" s="8">
        <v>5.2</v>
      </c>
      <c r="G740" s="4">
        <v>33</v>
      </c>
      <c r="H740" s="8">
        <v>14.73</v>
      </c>
      <c r="I740" s="4">
        <v>0</v>
      </c>
    </row>
    <row r="741" spans="1:9" x14ac:dyDescent="0.2">
      <c r="A741" s="2">
        <v>3</v>
      </c>
      <c r="B741" s="1" t="s">
        <v>67</v>
      </c>
      <c r="C741" s="4">
        <v>44</v>
      </c>
      <c r="D741" s="8">
        <v>7.72</v>
      </c>
      <c r="E741" s="4">
        <v>27</v>
      </c>
      <c r="F741" s="8">
        <v>8.26</v>
      </c>
      <c r="G741" s="4">
        <v>17</v>
      </c>
      <c r="H741" s="8">
        <v>7.59</v>
      </c>
      <c r="I741" s="4">
        <v>0</v>
      </c>
    </row>
    <row r="742" spans="1:9" x14ac:dyDescent="0.2">
      <c r="A742" s="2">
        <v>4</v>
      </c>
      <c r="B742" s="1" t="s">
        <v>83</v>
      </c>
      <c r="C742" s="4">
        <v>43</v>
      </c>
      <c r="D742" s="8">
        <v>7.54</v>
      </c>
      <c r="E742" s="4">
        <v>26</v>
      </c>
      <c r="F742" s="8">
        <v>7.95</v>
      </c>
      <c r="G742" s="4">
        <v>11</v>
      </c>
      <c r="H742" s="8">
        <v>4.91</v>
      </c>
      <c r="I742" s="4">
        <v>0</v>
      </c>
    </row>
    <row r="743" spans="1:9" x14ac:dyDescent="0.2">
      <c r="A743" s="2">
        <v>5</v>
      </c>
      <c r="B743" s="1" t="s">
        <v>81</v>
      </c>
      <c r="C743" s="4">
        <v>40</v>
      </c>
      <c r="D743" s="8">
        <v>7.02</v>
      </c>
      <c r="E743" s="4">
        <v>34</v>
      </c>
      <c r="F743" s="8">
        <v>10.4</v>
      </c>
      <c r="G743" s="4">
        <v>6</v>
      </c>
      <c r="H743" s="8">
        <v>2.68</v>
      </c>
      <c r="I743" s="4">
        <v>0</v>
      </c>
    </row>
    <row r="744" spans="1:9" x14ac:dyDescent="0.2">
      <c r="A744" s="2">
        <v>6</v>
      </c>
      <c r="B744" s="1" t="s">
        <v>77</v>
      </c>
      <c r="C744" s="4">
        <v>37</v>
      </c>
      <c r="D744" s="8">
        <v>6.49</v>
      </c>
      <c r="E744" s="4">
        <v>28</v>
      </c>
      <c r="F744" s="8">
        <v>8.56</v>
      </c>
      <c r="G744" s="4">
        <v>9</v>
      </c>
      <c r="H744" s="8">
        <v>4.0199999999999996</v>
      </c>
      <c r="I744" s="4">
        <v>0</v>
      </c>
    </row>
    <row r="745" spans="1:9" x14ac:dyDescent="0.2">
      <c r="A745" s="2">
        <v>7</v>
      </c>
      <c r="B745" s="1" t="s">
        <v>76</v>
      </c>
      <c r="C745" s="4">
        <v>29</v>
      </c>
      <c r="D745" s="8">
        <v>5.09</v>
      </c>
      <c r="E745" s="4">
        <v>20</v>
      </c>
      <c r="F745" s="8">
        <v>6.12</v>
      </c>
      <c r="G745" s="4">
        <v>9</v>
      </c>
      <c r="H745" s="8">
        <v>4.0199999999999996</v>
      </c>
      <c r="I745" s="4">
        <v>0</v>
      </c>
    </row>
    <row r="746" spans="1:9" x14ac:dyDescent="0.2">
      <c r="A746" s="2">
        <v>8</v>
      </c>
      <c r="B746" s="1" t="s">
        <v>68</v>
      </c>
      <c r="C746" s="4">
        <v>19</v>
      </c>
      <c r="D746" s="8">
        <v>3.33</v>
      </c>
      <c r="E746" s="4">
        <v>7</v>
      </c>
      <c r="F746" s="8">
        <v>2.14</v>
      </c>
      <c r="G746" s="4">
        <v>12</v>
      </c>
      <c r="H746" s="8">
        <v>5.36</v>
      </c>
      <c r="I746" s="4">
        <v>0</v>
      </c>
    </row>
    <row r="747" spans="1:9" x14ac:dyDescent="0.2">
      <c r="A747" s="2">
        <v>9</v>
      </c>
      <c r="B747" s="1" t="s">
        <v>71</v>
      </c>
      <c r="C747" s="4">
        <v>17</v>
      </c>
      <c r="D747" s="8">
        <v>2.98</v>
      </c>
      <c r="E747" s="4">
        <v>4</v>
      </c>
      <c r="F747" s="8">
        <v>1.22</v>
      </c>
      <c r="G747" s="4">
        <v>13</v>
      </c>
      <c r="H747" s="8">
        <v>5.8</v>
      </c>
      <c r="I747" s="4">
        <v>0</v>
      </c>
    </row>
    <row r="748" spans="1:9" x14ac:dyDescent="0.2">
      <c r="A748" s="2">
        <v>10</v>
      </c>
      <c r="B748" s="1" t="s">
        <v>75</v>
      </c>
      <c r="C748" s="4">
        <v>16</v>
      </c>
      <c r="D748" s="8">
        <v>2.81</v>
      </c>
      <c r="E748" s="4">
        <v>13</v>
      </c>
      <c r="F748" s="8">
        <v>3.98</v>
      </c>
      <c r="G748" s="4">
        <v>3</v>
      </c>
      <c r="H748" s="8">
        <v>1.34</v>
      </c>
      <c r="I748" s="4">
        <v>0</v>
      </c>
    </row>
    <row r="749" spans="1:9" x14ac:dyDescent="0.2">
      <c r="A749" s="2">
        <v>11</v>
      </c>
      <c r="B749" s="1" t="s">
        <v>78</v>
      </c>
      <c r="C749" s="4">
        <v>15</v>
      </c>
      <c r="D749" s="8">
        <v>2.63</v>
      </c>
      <c r="E749" s="4">
        <v>9</v>
      </c>
      <c r="F749" s="8">
        <v>2.75</v>
      </c>
      <c r="G749" s="4">
        <v>6</v>
      </c>
      <c r="H749" s="8">
        <v>2.68</v>
      </c>
      <c r="I749" s="4">
        <v>0</v>
      </c>
    </row>
    <row r="750" spans="1:9" x14ac:dyDescent="0.2">
      <c r="A750" s="2">
        <v>11</v>
      </c>
      <c r="B750" s="1" t="s">
        <v>80</v>
      </c>
      <c r="C750" s="4">
        <v>15</v>
      </c>
      <c r="D750" s="8">
        <v>2.63</v>
      </c>
      <c r="E750" s="4">
        <v>11</v>
      </c>
      <c r="F750" s="8">
        <v>3.36</v>
      </c>
      <c r="G750" s="4">
        <v>4</v>
      </c>
      <c r="H750" s="8">
        <v>1.79</v>
      </c>
      <c r="I750" s="4">
        <v>0</v>
      </c>
    </row>
    <row r="751" spans="1:9" x14ac:dyDescent="0.2">
      <c r="A751" s="2">
        <v>11</v>
      </c>
      <c r="B751" s="1" t="s">
        <v>84</v>
      </c>
      <c r="C751" s="4">
        <v>15</v>
      </c>
      <c r="D751" s="8">
        <v>2.63</v>
      </c>
      <c r="E751" s="4">
        <v>14</v>
      </c>
      <c r="F751" s="8">
        <v>4.28</v>
      </c>
      <c r="G751" s="4">
        <v>1</v>
      </c>
      <c r="H751" s="8">
        <v>0.45</v>
      </c>
      <c r="I751" s="4">
        <v>0</v>
      </c>
    </row>
    <row r="752" spans="1:9" x14ac:dyDescent="0.2">
      <c r="A752" s="2">
        <v>14</v>
      </c>
      <c r="B752" s="1" t="s">
        <v>79</v>
      </c>
      <c r="C752" s="4">
        <v>12</v>
      </c>
      <c r="D752" s="8">
        <v>2.11</v>
      </c>
      <c r="E752" s="4">
        <v>9</v>
      </c>
      <c r="F752" s="8">
        <v>2.75</v>
      </c>
      <c r="G752" s="4">
        <v>3</v>
      </c>
      <c r="H752" s="8">
        <v>1.34</v>
      </c>
      <c r="I752" s="4">
        <v>0</v>
      </c>
    </row>
    <row r="753" spans="1:9" x14ac:dyDescent="0.2">
      <c r="A753" s="2">
        <v>14</v>
      </c>
      <c r="B753" s="1" t="s">
        <v>97</v>
      </c>
      <c r="C753" s="4">
        <v>12</v>
      </c>
      <c r="D753" s="8">
        <v>2.11</v>
      </c>
      <c r="E753" s="4">
        <v>0</v>
      </c>
      <c r="F753" s="8">
        <v>0</v>
      </c>
      <c r="G753" s="4">
        <v>4</v>
      </c>
      <c r="H753" s="8">
        <v>1.79</v>
      </c>
      <c r="I753" s="4">
        <v>0</v>
      </c>
    </row>
    <row r="754" spans="1:9" x14ac:dyDescent="0.2">
      <c r="A754" s="2">
        <v>16</v>
      </c>
      <c r="B754" s="1" t="s">
        <v>90</v>
      </c>
      <c r="C754" s="4">
        <v>10</v>
      </c>
      <c r="D754" s="8">
        <v>1.75</v>
      </c>
      <c r="E754" s="4">
        <v>4</v>
      </c>
      <c r="F754" s="8">
        <v>1.22</v>
      </c>
      <c r="G754" s="4">
        <v>6</v>
      </c>
      <c r="H754" s="8">
        <v>2.68</v>
      </c>
      <c r="I754" s="4">
        <v>0</v>
      </c>
    </row>
    <row r="755" spans="1:9" x14ac:dyDescent="0.2">
      <c r="A755" s="2">
        <v>17</v>
      </c>
      <c r="B755" s="1" t="s">
        <v>69</v>
      </c>
      <c r="C755" s="4">
        <v>9</v>
      </c>
      <c r="D755" s="8">
        <v>1.58</v>
      </c>
      <c r="E755" s="4">
        <v>6</v>
      </c>
      <c r="F755" s="8">
        <v>1.83</v>
      </c>
      <c r="G755" s="4">
        <v>3</v>
      </c>
      <c r="H755" s="8">
        <v>1.34</v>
      </c>
      <c r="I755" s="4">
        <v>0</v>
      </c>
    </row>
    <row r="756" spans="1:9" x14ac:dyDescent="0.2">
      <c r="A756" s="2">
        <v>17</v>
      </c>
      <c r="B756" s="1" t="s">
        <v>72</v>
      </c>
      <c r="C756" s="4">
        <v>9</v>
      </c>
      <c r="D756" s="8">
        <v>1.58</v>
      </c>
      <c r="E756" s="4">
        <v>3</v>
      </c>
      <c r="F756" s="8">
        <v>0.92</v>
      </c>
      <c r="G756" s="4">
        <v>6</v>
      </c>
      <c r="H756" s="8">
        <v>2.68</v>
      </c>
      <c r="I756" s="4">
        <v>0</v>
      </c>
    </row>
    <row r="757" spans="1:9" x14ac:dyDescent="0.2">
      <c r="A757" s="2">
        <v>17</v>
      </c>
      <c r="B757" s="1" t="s">
        <v>74</v>
      </c>
      <c r="C757" s="4">
        <v>9</v>
      </c>
      <c r="D757" s="8">
        <v>1.58</v>
      </c>
      <c r="E757" s="4">
        <v>6</v>
      </c>
      <c r="F757" s="8">
        <v>1.83</v>
      </c>
      <c r="G757" s="4">
        <v>3</v>
      </c>
      <c r="H757" s="8">
        <v>1.34</v>
      </c>
      <c r="I757" s="4">
        <v>0</v>
      </c>
    </row>
    <row r="758" spans="1:9" x14ac:dyDescent="0.2">
      <c r="A758" s="2">
        <v>17</v>
      </c>
      <c r="B758" s="1" t="s">
        <v>85</v>
      </c>
      <c r="C758" s="4">
        <v>9</v>
      </c>
      <c r="D758" s="8">
        <v>1.58</v>
      </c>
      <c r="E758" s="4">
        <v>7</v>
      </c>
      <c r="F758" s="8">
        <v>2.14</v>
      </c>
      <c r="G758" s="4">
        <v>2</v>
      </c>
      <c r="H758" s="8">
        <v>0.89</v>
      </c>
      <c r="I758" s="4">
        <v>0</v>
      </c>
    </row>
    <row r="759" spans="1:9" x14ac:dyDescent="0.2">
      <c r="A759" s="1"/>
      <c r="C759" s="4"/>
      <c r="D759" s="8"/>
      <c r="E759" s="4"/>
      <c r="F759" s="8"/>
      <c r="G759" s="4"/>
      <c r="H759" s="8"/>
      <c r="I759" s="4"/>
    </row>
    <row r="760" spans="1:9" x14ac:dyDescent="0.2">
      <c r="A760" s="1" t="s">
        <v>33</v>
      </c>
      <c r="C760" s="4"/>
      <c r="D760" s="8"/>
      <c r="E760" s="4"/>
      <c r="F760" s="8"/>
      <c r="G760" s="4"/>
      <c r="H760" s="8"/>
      <c r="I760" s="4"/>
    </row>
    <row r="761" spans="1:9" x14ac:dyDescent="0.2">
      <c r="A761" s="2">
        <v>1</v>
      </c>
      <c r="B761" s="1" t="s">
        <v>81</v>
      </c>
      <c r="C761" s="4">
        <v>63</v>
      </c>
      <c r="D761" s="8">
        <v>15.59</v>
      </c>
      <c r="E761" s="4">
        <v>53</v>
      </c>
      <c r="F761" s="8">
        <v>23.77</v>
      </c>
      <c r="G761" s="4">
        <v>10</v>
      </c>
      <c r="H761" s="8">
        <v>5.65</v>
      </c>
      <c r="I761" s="4">
        <v>0</v>
      </c>
    </row>
    <row r="762" spans="1:9" x14ac:dyDescent="0.2">
      <c r="A762" s="2">
        <v>1</v>
      </c>
      <c r="B762" s="1" t="s">
        <v>82</v>
      </c>
      <c r="C762" s="4">
        <v>63</v>
      </c>
      <c r="D762" s="8">
        <v>15.59</v>
      </c>
      <c r="E762" s="4">
        <v>52</v>
      </c>
      <c r="F762" s="8">
        <v>23.32</v>
      </c>
      <c r="G762" s="4">
        <v>11</v>
      </c>
      <c r="H762" s="8">
        <v>6.21</v>
      </c>
      <c r="I762" s="4">
        <v>0</v>
      </c>
    </row>
    <row r="763" spans="1:9" x14ac:dyDescent="0.2">
      <c r="A763" s="2">
        <v>3</v>
      </c>
      <c r="B763" s="1" t="s">
        <v>77</v>
      </c>
      <c r="C763" s="4">
        <v>38</v>
      </c>
      <c r="D763" s="8">
        <v>9.41</v>
      </c>
      <c r="E763" s="4">
        <v>15</v>
      </c>
      <c r="F763" s="8">
        <v>6.73</v>
      </c>
      <c r="G763" s="4">
        <v>23</v>
      </c>
      <c r="H763" s="8">
        <v>12.99</v>
      </c>
      <c r="I763" s="4">
        <v>0</v>
      </c>
    </row>
    <row r="764" spans="1:9" x14ac:dyDescent="0.2">
      <c r="A764" s="2">
        <v>4</v>
      </c>
      <c r="B764" s="1" t="s">
        <v>78</v>
      </c>
      <c r="C764" s="4">
        <v>25</v>
      </c>
      <c r="D764" s="8">
        <v>6.19</v>
      </c>
      <c r="E764" s="4">
        <v>17</v>
      </c>
      <c r="F764" s="8">
        <v>7.62</v>
      </c>
      <c r="G764" s="4">
        <v>8</v>
      </c>
      <c r="H764" s="8">
        <v>4.5199999999999996</v>
      </c>
      <c r="I764" s="4">
        <v>0</v>
      </c>
    </row>
    <row r="765" spans="1:9" x14ac:dyDescent="0.2">
      <c r="A765" s="2">
        <v>5</v>
      </c>
      <c r="B765" s="1" t="s">
        <v>83</v>
      </c>
      <c r="C765" s="4">
        <v>21</v>
      </c>
      <c r="D765" s="8">
        <v>5.2</v>
      </c>
      <c r="E765" s="4">
        <v>11</v>
      </c>
      <c r="F765" s="8">
        <v>4.93</v>
      </c>
      <c r="G765" s="4">
        <v>8</v>
      </c>
      <c r="H765" s="8">
        <v>4.5199999999999996</v>
      </c>
      <c r="I765" s="4">
        <v>0</v>
      </c>
    </row>
    <row r="766" spans="1:9" x14ac:dyDescent="0.2">
      <c r="A766" s="2">
        <v>6</v>
      </c>
      <c r="B766" s="1" t="s">
        <v>84</v>
      </c>
      <c r="C766" s="4">
        <v>18</v>
      </c>
      <c r="D766" s="8">
        <v>4.46</v>
      </c>
      <c r="E766" s="4">
        <v>15</v>
      </c>
      <c r="F766" s="8">
        <v>6.73</v>
      </c>
      <c r="G766" s="4">
        <v>3</v>
      </c>
      <c r="H766" s="8">
        <v>1.69</v>
      </c>
      <c r="I766" s="4">
        <v>0</v>
      </c>
    </row>
    <row r="767" spans="1:9" x14ac:dyDescent="0.2">
      <c r="A767" s="2">
        <v>7</v>
      </c>
      <c r="B767" s="1" t="s">
        <v>66</v>
      </c>
      <c r="C767" s="4">
        <v>17</v>
      </c>
      <c r="D767" s="8">
        <v>4.21</v>
      </c>
      <c r="E767" s="4">
        <v>2</v>
      </c>
      <c r="F767" s="8">
        <v>0.9</v>
      </c>
      <c r="G767" s="4">
        <v>15</v>
      </c>
      <c r="H767" s="8">
        <v>8.4700000000000006</v>
      </c>
      <c r="I767" s="4">
        <v>0</v>
      </c>
    </row>
    <row r="768" spans="1:9" x14ac:dyDescent="0.2">
      <c r="A768" s="2">
        <v>8</v>
      </c>
      <c r="B768" s="1" t="s">
        <v>74</v>
      </c>
      <c r="C768" s="4">
        <v>15</v>
      </c>
      <c r="D768" s="8">
        <v>3.71</v>
      </c>
      <c r="E768" s="4">
        <v>7</v>
      </c>
      <c r="F768" s="8">
        <v>3.14</v>
      </c>
      <c r="G768" s="4">
        <v>8</v>
      </c>
      <c r="H768" s="8">
        <v>4.5199999999999996</v>
      </c>
      <c r="I768" s="4">
        <v>0</v>
      </c>
    </row>
    <row r="769" spans="1:9" x14ac:dyDescent="0.2">
      <c r="A769" s="2">
        <v>8</v>
      </c>
      <c r="B769" s="1" t="s">
        <v>76</v>
      </c>
      <c r="C769" s="4">
        <v>15</v>
      </c>
      <c r="D769" s="8">
        <v>3.71</v>
      </c>
      <c r="E769" s="4">
        <v>8</v>
      </c>
      <c r="F769" s="8">
        <v>3.59</v>
      </c>
      <c r="G769" s="4">
        <v>7</v>
      </c>
      <c r="H769" s="8">
        <v>3.95</v>
      </c>
      <c r="I769" s="4">
        <v>0</v>
      </c>
    </row>
    <row r="770" spans="1:9" x14ac:dyDescent="0.2">
      <c r="A770" s="2">
        <v>10</v>
      </c>
      <c r="B770" s="1" t="s">
        <v>67</v>
      </c>
      <c r="C770" s="4">
        <v>12</v>
      </c>
      <c r="D770" s="8">
        <v>2.97</v>
      </c>
      <c r="E770" s="4">
        <v>4</v>
      </c>
      <c r="F770" s="8">
        <v>1.79</v>
      </c>
      <c r="G770" s="4">
        <v>8</v>
      </c>
      <c r="H770" s="8">
        <v>4.5199999999999996</v>
      </c>
      <c r="I770" s="4">
        <v>0</v>
      </c>
    </row>
    <row r="771" spans="1:9" x14ac:dyDescent="0.2">
      <c r="A771" s="2">
        <v>10</v>
      </c>
      <c r="B771" s="1" t="s">
        <v>79</v>
      </c>
      <c r="C771" s="4">
        <v>12</v>
      </c>
      <c r="D771" s="8">
        <v>2.97</v>
      </c>
      <c r="E771" s="4">
        <v>10</v>
      </c>
      <c r="F771" s="8">
        <v>4.4800000000000004</v>
      </c>
      <c r="G771" s="4">
        <v>2</v>
      </c>
      <c r="H771" s="8">
        <v>1.1299999999999999</v>
      </c>
      <c r="I771" s="4">
        <v>0</v>
      </c>
    </row>
    <row r="772" spans="1:9" x14ac:dyDescent="0.2">
      <c r="A772" s="2">
        <v>12</v>
      </c>
      <c r="B772" s="1" t="s">
        <v>69</v>
      </c>
      <c r="C772" s="4">
        <v>11</v>
      </c>
      <c r="D772" s="8">
        <v>2.72</v>
      </c>
      <c r="E772" s="4">
        <v>3</v>
      </c>
      <c r="F772" s="8">
        <v>1.35</v>
      </c>
      <c r="G772" s="4">
        <v>8</v>
      </c>
      <c r="H772" s="8">
        <v>4.5199999999999996</v>
      </c>
      <c r="I772" s="4">
        <v>0</v>
      </c>
    </row>
    <row r="773" spans="1:9" x14ac:dyDescent="0.2">
      <c r="A773" s="2">
        <v>13</v>
      </c>
      <c r="B773" s="1" t="s">
        <v>68</v>
      </c>
      <c r="C773" s="4">
        <v>10</v>
      </c>
      <c r="D773" s="8">
        <v>2.48</v>
      </c>
      <c r="E773" s="4">
        <v>4</v>
      </c>
      <c r="F773" s="8">
        <v>1.79</v>
      </c>
      <c r="G773" s="4">
        <v>6</v>
      </c>
      <c r="H773" s="8">
        <v>3.39</v>
      </c>
      <c r="I773" s="4">
        <v>0</v>
      </c>
    </row>
    <row r="774" spans="1:9" x14ac:dyDescent="0.2">
      <c r="A774" s="2">
        <v>13</v>
      </c>
      <c r="B774" s="1" t="s">
        <v>102</v>
      </c>
      <c r="C774" s="4">
        <v>10</v>
      </c>
      <c r="D774" s="8">
        <v>2.48</v>
      </c>
      <c r="E774" s="4">
        <v>1</v>
      </c>
      <c r="F774" s="8">
        <v>0.45</v>
      </c>
      <c r="G774" s="4">
        <v>9</v>
      </c>
      <c r="H774" s="8">
        <v>5.08</v>
      </c>
      <c r="I774" s="4">
        <v>0</v>
      </c>
    </row>
    <row r="775" spans="1:9" x14ac:dyDescent="0.2">
      <c r="A775" s="2">
        <v>15</v>
      </c>
      <c r="B775" s="1" t="s">
        <v>75</v>
      </c>
      <c r="C775" s="4">
        <v>9</v>
      </c>
      <c r="D775" s="8">
        <v>2.23</v>
      </c>
      <c r="E775" s="4">
        <v>4</v>
      </c>
      <c r="F775" s="8">
        <v>1.79</v>
      </c>
      <c r="G775" s="4">
        <v>5</v>
      </c>
      <c r="H775" s="8">
        <v>2.82</v>
      </c>
      <c r="I775" s="4">
        <v>0</v>
      </c>
    </row>
    <row r="776" spans="1:9" x14ac:dyDescent="0.2">
      <c r="A776" s="2">
        <v>16</v>
      </c>
      <c r="B776" s="1" t="s">
        <v>80</v>
      </c>
      <c r="C776" s="4">
        <v>7</v>
      </c>
      <c r="D776" s="8">
        <v>1.73</v>
      </c>
      <c r="E776" s="4">
        <v>3</v>
      </c>
      <c r="F776" s="8">
        <v>1.35</v>
      </c>
      <c r="G776" s="4">
        <v>4</v>
      </c>
      <c r="H776" s="8">
        <v>2.2599999999999998</v>
      </c>
      <c r="I776" s="4">
        <v>0</v>
      </c>
    </row>
    <row r="777" spans="1:9" x14ac:dyDescent="0.2">
      <c r="A777" s="2">
        <v>17</v>
      </c>
      <c r="B777" s="1" t="s">
        <v>90</v>
      </c>
      <c r="C777" s="4">
        <v>6</v>
      </c>
      <c r="D777" s="8">
        <v>1.49</v>
      </c>
      <c r="E777" s="4">
        <v>2</v>
      </c>
      <c r="F777" s="8">
        <v>0.9</v>
      </c>
      <c r="G777" s="4">
        <v>4</v>
      </c>
      <c r="H777" s="8">
        <v>2.2599999999999998</v>
      </c>
      <c r="I777" s="4">
        <v>0</v>
      </c>
    </row>
    <row r="778" spans="1:9" x14ac:dyDescent="0.2">
      <c r="A778" s="2">
        <v>18</v>
      </c>
      <c r="B778" s="1" t="s">
        <v>108</v>
      </c>
      <c r="C778" s="4">
        <v>4</v>
      </c>
      <c r="D778" s="8">
        <v>0.99</v>
      </c>
      <c r="E778" s="4">
        <v>1</v>
      </c>
      <c r="F778" s="8">
        <v>0.45</v>
      </c>
      <c r="G778" s="4">
        <v>3</v>
      </c>
      <c r="H778" s="8">
        <v>1.69</v>
      </c>
      <c r="I778" s="4">
        <v>0</v>
      </c>
    </row>
    <row r="779" spans="1:9" x14ac:dyDescent="0.2">
      <c r="A779" s="2">
        <v>18</v>
      </c>
      <c r="B779" s="1" t="s">
        <v>109</v>
      </c>
      <c r="C779" s="4">
        <v>4</v>
      </c>
      <c r="D779" s="8">
        <v>0.99</v>
      </c>
      <c r="E779" s="4">
        <v>1</v>
      </c>
      <c r="F779" s="8">
        <v>0.45</v>
      </c>
      <c r="G779" s="4">
        <v>3</v>
      </c>
      <c r="H779" s="8">
        <v>1.69</v>
      </c>
      <c r="I779" s="4">
        <v>0</v>
      </c>
    </row>
    <row r="780" spans="1:9" x14ac:dyDescent="0.2">
      <c r="A780" s="2">
        <v>18</v>
      </c>
      <c r="B780" s="1" t="s">
        <v>88</v>
      </c>
      <c r="C780" s="4">
        <v>4</v>
      </c>
      <c r="D780" s="8">
        <v>0.99</v>
      </c>
      <c r="E780" s="4">
        <v>0</v>
      </c>
      <c r="F780" s="8">
        <v>0</v>
      </c>
      <c r="G780" s="4">
        <v>4</v>
      </c>
      <c r="H780" s="8">
        <v>2.2599999999999998</v>
      </c>
      <c r="I780" s="4">
        <v>0</v>
      </c>
    </row>
    <row r="781" spans="1:9" x14ac:dyDescent="0.2">
      <c r="A781" s="1"/>
      <c r="C781" s="4"/>
      <c r="D781" s="8"/>
      <c r="E781" s="4"/>
      <c r="F781" s="8"/>
      <c r="G781" s="4"/>
      <c r="H781" s="8"/>
      <c r="I781" s="4"/>
    </row>
    <row r="782" spans="1:9" x14ac:dyDescent="0.2">
      <c r="A782" s="1" t="s">
        <v>34</v>
      </c>
      <c r="C782" s="4"/>
      <c r="D782" s="8"/>
      <c r="E782" s="4"/>
      <c r="F782" s="8"/>
      <c r="G782" s="4"/>
      <c r="H782" s="8"/>
      <c r="I782" s="4"/>
    </row>
    <row r="783" spans="1:9" x14ac:dyDescent="0.2">
      <c r="A783" s="2">
        <v>1</v>
      </c>
      <c r="B783" s="1" t="s">
        <v>81</v>
      </c>
      <c r="C783" s="4">
        <v>13</v>
      </c>
      <c r="D783" s="8">
        <v>10.66</v>
      </c>
      <c r="E783" s="4">
        <v>12</v>
      </c>
      <c r="F783" s="8">
        <v>16.899999999999999</v>
      </c>
      <c r="G783" s="4">
        <v>1</v>
      </c>
      <c r="H783" s="8">
        <v>2.04</v>
      </c>
      <c r="I783" s="4">
        <v>0</v>
      </c>
    </row>
    <row r="784" spans="1:9" x14ac:dyDescent="0.2">
      <c r="A784" s="2">
        <v>2</v>
      </c>
      <c r="B784" s="1" t="s">
        <v>82</v>
      </c>
      <c r="C784" s="4">
        <v>12</v>
      </c>
      <c r="D784" s="8">
        <v>9.84</v>
      </c>
      <c r="E784" s="4">
        <v>11</v>
      </c>
      <c r="F784" s="8">
        <v>15.49</v>
      </c>
      <c r="G784" s="4">
        <v>1</v>
      </c>
      <c r="H784" s="8">
        <v>2.04</v>
      </c>
      <c r="I784" s="4">
        <v>0</v>
      </c>
    </row>
    <row r="785" spans="1:9" x14ac:dyDescent="0.2">
      <c r="A785" s="2">
        <v>3</v>
      </c>
      <c r="B785" s="1" t="s">
        <v>76</v>
      </c>
      <c r="C785" s="4">
        <v>8</v>
      </c>
      <c r="D785" s="8">
        <v>6.56</v>
      </c>
      <c r="E785" s="4">
        <v>7</v>
      </c>
      <c r="F785" s="8">
        <v>9.86</v>
      </c>
      <c r="G785" s="4">
        <v>1</v>
      </c>
      <c r="H785" s="8">
        <v>2.04</v>
      </c>
      <c r="I785" s="4">
        <v>0</v>
      </c>
    </row>
    <row r="786" spans="1:9" x14ac:dyDescent="0.2">
      <c r="A786" s="2">
        <v>4</v>
      </c>
      <c r="B786" s="1" t="s">
        <v>66</v>
      </c>
      <c r="C786" s="4">
        <v>7</v>
      </c>
      <c r="D786" s="8">
        <v>5.74</v>
      </c>
      <c r="E786" s="4">
        <v>2</v>
      </c>
      <c r="F786" s="8">
        <v>2.82</v>
      </c>
      <c r="G786" s="4">
        <v>5</v>
      </c>
      <c r="H786" s="8">
        <v>10.199999999999999</v>
      </c>
      <c r="I786" s="4">
        <v>0</v>
      </c>
    </row>
    <row r="787" spans="1:9" x14ac:dyDescent="0.2">
      <c r="A787" s="2">
        <v>5</v>
      </c>
      <c r="B787" s="1" t="s">
        <v>67</v>
      </c>
      <c r="C787" s="4">
        <v>6</v>
      </c>
      <c r="D787" s="8">
        <v>4.92</v>
      </c>
      <c r="E787" s="4">
        <v>5</v>
      </c>
      <c r="F787" s="8">
        <v>7.04</v>
      </c>
      <c r="G787" s="4">
        <v>1</v>
      </c>
      <c r="H787" s="8">
        <v>2.04</v>
      </c>
      <c r="I787" s="4">
        <v>0</v>
      </c>
    </row>
    <row r="788" spans="1:9" x14ac:dyDescent="0.2">
      <c r="A788" s="2">
        <v>5</v>
      </c>
      <c r="B788" s="1" t="s">
        <v>68</v>
      </c>
      <c r="C788" s="4">
        <v>6</v>
      </c>
      <c r="D788" s="8">
        <v>4.92</v>
      </c>
      <c r="E788" s="4">
        <v>1</v>
      </c>
      <c r="F788" s="8">
        <v>1.41</v>
      </c>
      <c r="G788" s="4">
        <v>5</v>
      </c>
      <c r="H788" s="8">
        <v>10.199999999999999</v>
      </c>
      <c r="I788" s="4">
        <v>0</v>
      </c>
    </row>
    <row r="789" spans="1:9" x14ac:dyDescent="0.2">
      <c r="A789" s="2">
        <v>5</v>
      </c>
      <c r="B789" s="1" t="s">
        <v>71</v>
      </c>
      <c r="C789" s="4">
        <v>6</v>
      </c>
      <c r="D789" s="8">
        <v>4.92</v>
      </c>
      <c r="E789" s="4">
        <v>3</v>
      </c>
      <c r="F789" s="8">
        <v>4.2300000000000004</v>
      </c>
      <c r="G789" s="4">
        <v>3</v>
      </c>
      <c r="H789" s="8">
        <v>6.12</v>
      </c>
      <c r="I789" s="4">
        <v>0</v>
      </c>
    </row>
    <row r="790" spans="1:9" x14ac:dyDescent="0.2">
      <c r="A790" s="2">
        <v>5</v>
      </c>
      <c r="B790" s="1" t="s">
        <v>83</v>
      </c>
      <c r="C790" s="4">
        <v>6</v>
      </c>
      <c r="D790" s="8">
        <v>4.92</v>
      </c>
      <c r="E790" s="4">
        <v>6</v>
      </c>
      <c r="F790" s="8">
        <v>8.4499999999999993</v>
      </c>
      <c r="G790" s="4">
        <v>0</v>
      </c>
      <c r="H790" s="8">
        <v>0</v>
      </c>
      <c r="I790" s="4">
        <v>0</v>
      </c>
    </row>
    <row r="791" spans="1:9" x14ac:dyDescent="0.2">
      <c r="A791" s="2">
        <v>9</v>
      </c>
      <c r="B791" s="1" t="s">
        <v>87</v>
      </c>
      <c r="C791" s="4">
        <v>5</v>
      </c>
      <c r="D791" s="8">
        <v>4.0999999999999996</v>
      </c>
      <c r="E791" s="4">
        <v>1</v>
      </c>
      <c r="F791" s="8">
        <v>1.41</v>
      </c>
      <c r="G791" s="4">
        <v>4</v>
      </c>
      <c r="H791" s="8">
        <v>8.16</v>
      </c>
      <c r="I791" s="4">
        <v>0</v>
      </c>
    </row>
    <row r="792" spans="1:9" x14ac:dyDescent="0.2">
      <c r="A792" s="2">
        <v>9</v>
      </c>
      <c r="B792" s="1" t="s">
        <v>78</v>
      </c>
      <c r="C792" s="4">
        <v>5</v>
      </c>
      <c r="D792" s="8">
        <v>4.0999999999999996</v>
      </c>
      <c r="E792" s="4">
        <v>1</v>
      </c>
      <c r="F792" s="8">
        <v>1.41</v>
      </c>
      <c r="G792" s="4">
        <v>4</v>
      </c>
      <c r="H792" s="8">
        <v>8.16</v>
      </c>
      <c r="I792" s="4">
        <v>0</v>
      </c>
    </row>
    <row r="793" spans="1:9" x14ac:dyDescent="0.2">
      <c r="A793" s="2">
        <v>11</v>
      </c>
      <c r="B793" s="1" t="s">
        <v>77</v>
      </c>
      <c r="C793" s="4">
        <v>4</v>
      </c>
      <c r="D793" s="8">
        <v>3.28</v>
      </c>
      <c r="E793" s="4">
        <v>2</v>
      </c>
      <c r="F793" s="8">
        <v>2.82</v>
      </c>
      <c r="G793" s="4">
        <v>2</v>
      </c>
      <c r="H793" s="8">
        <v>4.08</v>
      </c>
      <c r="I793" s="4">
        <v>0</v>
      </c>
    </row>
    <row r="794" spans="1:9" x14ac:dyDescent="0.2">
      <c r="A794" s="2">
        <v>12</v>
      </c>
      <c r="B794" s="1" t="s">
        <v>70</v>
      </c>
      <c r="C794" s="4">
        <v>3</v>
      </c>
      <c r="D794" s="8">
        <v>2.46</v>
      </c>
      <c r="E794" s="4">
        <v>1</v>
      </c>
      <c r="F794" s="8">
        <v>1.41</v>
      </c>
      <c r="G794" s="4">
        <v>2</v>
      </c>
      <c r="H794" s="8">
        <v>4.08</v>
      </c>
      <c r="I794" s="4">
        <v>0</v>
      </c>
    </row>
    <row r="795" spans="1:9" x14ac:dyDescent="0.2">
      <c r="A795" s="2">
        <v>12</v>
      </c>
      <c r="B795" s="1" t="s">
        <v>101</v>
      </c>
      <c r="C795" s="4">
        <v>3</v>
      </c>
      <c r="D795" s="8">
        <v>2.46</v>
      </c>
      <c r="E795" s="4">
        <v>1</v>
      </c>
      <c r="F795" s="8">
        <v>1.41</v>
      </c>
      <c r="G795" s="4">
        <v>2</v>
      </c>
      <c r="H795" s="8">
        <v>4.08</v>
      </c>
      <c r="I795" s="4">
        <v>0</v>
      </c>
    </row>
    <row r="796" spans="1:9" x14ac:dyDescent="0.2">
      <c r="A796" s="2">
        <v>12</v>
      </c>
      <c r="B796" s="1" t="s">
        <v>100</v>
      </c>
      <c r="C796" s="4">
        <v>3</v>
      </c>
      <c r="D796" s="8">
        <v>2.46</v>
      </c>
      <c r="E796" s="4">
        <v>2</v>
      </c>
      <c r="F796" s="8">
        <v>2.82</v>
      </c>
      <c r="G796" s="4">
        <v>0</v>
      </c>
      <c r="H796" s="8">
        <v>0</v>
      </c>
      <c r="I796" s="4">
        <v>0</v>
      </c>
    </row>
    <row r="797" spans="1:9" x14ac:dyDescent="0.2">
      <c r="A797" s="2">
        <v>15</v>
      </c>
      <c r="B797" s="1" t="s">
        <v>110</v>
      </c>
      <c r="C797" s="4">
        <v>2</v>
      </c>
      <c r="D797" s="8">
        <v>1.64</v>
      </c>
      <c r="E797" s="4">
        <v>1</v>
      </c>
      <c r="F797" s="8">
        <v>1.41</v>
      </c>
      <c r="G797" s="4">
        <v>1</v>
      </c>
      <c r="H797" s="8">
        <v>2.04</v>
      </c>
      <c r="I797" s="4">
        <v>0</v>
      </c>
    </row>
    <row r="798" spans="1:9" x14ac:dyDescent="0.2">
      <c r="A798" s="2">
        <v>15</v>
      </c>
      <c r="B798" s="1" t="s">
        <v>111</v>
      </c>
      <c r="C798" s="4">
        <v>2</v>
      </c>
      <c r="D798" s="8">
        <v>1.64</v>
      </c>
      <c r="E798" s="4">
        <v>0</v>
      </c>
      <c r="F798" s="8">
        <v>0</v>
      </c>
      <c r="G798" s="4">
        <v>2</v>
      </c>
      <c r="H798" s="8">
        <v>4.08</v>
      </c>
      <c r="I798" s="4">
        <v>0</v>
      </c>
    </row>
    <row r="799" spans="1:9" x14ac:dyDescent="0.2">
      <c r="A799" s="2">
        <v>15</v>
      </c>
      <c r="B799" s="1" t="s">
        <v>105</v>
      </c>
      <c r="C799" s="4">
        <v>2</v>
      </c>
      <c r="D799" s="8">
        <v>1.64</v>
      </c>
      <c r="E799" s="4">
        <v>1</v>
      </c>
      <c r="F799" s="8">
        <v>1.41</v>
      </c>
      <c r="G799" s="4">
        <v>1</v>
      </c>
      <c r="H799" s="8">
        <v>2.04</v>
      </c>
      <c r="I799" s="4">
        <v>0</v>
      </c>
    </row>
    <row r="800" spans="1:9" x14ac:dyDescent="0.2">
      <c r="A800" s="2">
        <v>15</v>
      </c>
      <c r="B800" s="1" t="s">
        <v>75</v>
      </c>
      <c r="C800" s="4">
        <v>2</v>
      </c>
      <c r="D800" s="8">
        <v>1.64</v>
      </c>
      <c r="E800" s="4">
        <v>2</v>
      </c>
      <c r="F800" s="8">
        <v>2.82</v>
      </c>
      <c r="G800" s="4">
        <v>0</v>
      </c>
      <c r="H800" s="8">
        <v>0</v>
      </c>
      <c r="I800" s="4">
        <v>0</v>
      </c>
    </row>
    <row r="801" spans="1:9" x14ac:dyDescent="0.2">
      <c r="A801" s="2">
        <v>15</v>
      </c>
      <c r="B801" s="1" t="s">
        <v>112</v>
      </c>
      <c r="C801" s="4">
        <v>2</v>
      </c>
      <c r="D801" s="8">
        <v>1.64</v>
      </c>
      <c r="E801" s="4">
        <v>0</v>
      </c>
      <c r="F801" s="8">
        <v>0</v>
      </c>
      <c r="G801" s="4">
        <v>2</v>
      </c>
      <c r="H801" s="8">
        <v>4.08</v>
      </c>
      <c r="I801" s="4">
        <v>0</v>
      </c>
    </row>
    <row r="802" spans="1:9" x14ac:dyDescent="0.2">
      <c r="A802" s="2">
        <v>15</v>
      </c>
      <c r="B802" s="1" t="s">
        <v>79</v>
      </c>
      <c r="C802" s="4">
        <v>2</v>
      </c>
      <c r="D802" s="8">
        <v>1.64</v>
      </c>
      <c r="E802" s="4">
        <v>1</v>
      </c>
      <c r="F802" s="8">
        <v>1.41</v>
      </c>
      <c r="G802" s="4">
        <v>1</v>
      </c>
      <c r="H802" s="8">
        <v>2.04</v>
      </c>
      <c r="I802" s="4">
        <v>0</v>
      </c>
    </row>
    <row r="803" spans="1:9" x14ac:dyDescent="0.2">
      <c r="A803" s="2">
        <v>15</v>
      </c>
      <c r="B803" s="1" t="s">
        <v>84</v>
      </c>
      <c r="C803" s="4">
        <v>2</v>
      </c>
      <c r="D803" s="8">
        <v>1.64</v>
      </c>
      <c r="E803" s="4">
        <v>2</v>
      </c>
      <c r="F803" s="8">
        <v>2.82</v>
      </c>
      <c r="G803" s="4">
        <v>0</v>
      </c>
      <c r="H803" s="8">
        <v>0</v>
      </c>
      <c r="I803" s="4">
        <v>0</v>
      </c>
    </row>
    <row r="804" spans="1:9" x14ac:dyDescent="0.2">
      <c r="A804" s="2">
        <v>15</v>
      </c>
      <c r="B804" s="1" t="s">
        <v>85</v>
      </c>
      <c r="C804" s="4">
        <v>2</v>
      </c>
      <c r="D804" s="8">
        <v>1.64</v>
      </c>
      <c r="E804" s="4">
        <v>2</v>
      </c>
      <c r="F804" s="8">
        <v>2.82</v>
      </c>
      <c r="G804" s="4">
        <v>0</v>
      </c>
      <c r="H804" s="8">
        <v>0</v>
      </c>
      <c r="I804" s="4">
        <v>0</v>
      </c>
    </row>
    <row r="805" spans="1:9" x14ac:dyDescent="0.2">
      <c r="A805" s="1"/>
      <c r="C805" s="4"/>
      <c r="D805" s="8"/>
      <c r="E805" s="4"/>
      <c r="F805" s="8"/>
      <c r="G805" s="4"/>
      <c r="H805" s="8"/>
      <c r="I805" s="4"/>
    </row>
    <row r="806" spans="1:9" x14ac:dyDescent="0.2">
      <c r="A806" s="1" t="s">
        <v>35</v>
      </c>
      <c r="C806" s="4"/>
      <c r="D806" s="8"/>
      <c r="E806" s="4"/>
      <c r="F806" s="8"/>
      <c r="G806" s="4"/>
      <c r="H806" s="8"/>
      <c r="I806" s="4"/>
    </row>
    <row r="807" spans="1:9" x14ac:dyDescent="0.2">
      <c r="A807" s="2">
        <v>1</v>
      </c>
      <c r="B807" s="1" t="s">
        <v>71</v>
      </c>
      <c r="C807" s="4">
        <v>18</v>
      </c>
      <c r="D807" s="8">
        <v>11.46</v>
      </c>
      <c r="E807" s="4">
        <v>11</v>
      </c>
      <c r="F807" s="8">
        <v>11</v>
      </c>
      <c r="G807" s="4">
        <v>7</v>
      </c>
      <c r="H807" s="8">
        <v>12.73</v>
      </c>
      <c r="I807" s="4">
        <v>0</v>
      </c>
    </row>
    <row r="808" spans="1:9" x14ac:dyDescent="0.2">
      <c r="A808" s="2">
        <v>1</v>
      </c>
      <c r="B808" s="1" t="s">
        <v>82</v>
      </c>
      <c r="C808" s="4">
        <v>18</v>
      </c>
      <c r="D808" s="8">
        <v>11.46</v>
      </c>
      <c r="E808" s="4">
        <v>17</v>
      </c>
      <c r="F808" s="8">
        <v>17</v>
      </c>
      <c r="G808" s="4">
        <v>1</v>
      </c>
      <c r="H808" s="8">
        <v>1.82</v>
      </c>
      <c r="I808" s="4">
        <v>0</v>
      </c>
    </row>
    <row r="809" spans="1:9" x14ac:dyDescent="0.2">
      <c r="A809" s="2">
        <v>3</v>
      </c>
      <c r="B809" s="1" t="s">
        <v>66</v>
      </c>
      <c r="C809" s="4">
        <v>14</v>
      </c>
      <c r="D809" s="8">
        <v>8.92</v>
      </c>
      <c r="E809" s="4">
        <v>6</v>
      </c>
      <c r="F809" s="8">
        <v>6</v>
      </c>
      <c r="G809" s="4">
        <v>8</v>
      </c>
      <c r="H809" s="8">
        <v>14.55</v>
      </c>
      <c r="I809" s="4">
        <v>0</v>
      </c>
    </row>
    <row r="810" spans="1:9" x14ac:dyDescent="0.2">
      <c r="A810" s="2">
        <v>4</v>
      </c>
      <c r="B810" s="1" t="s">
        <v>81</v>
      </c>
      <c r="C810" s="4">
        <v>12</v>
      </c>
      <c r="D810" s="8">
        <v>7.64</v>
      </c>
      <c r="E810" s="4">
        <v>12</v>
      </c>
      <c r="F810" s="8">
        <v>12</v>
      </c>
      <c r="G810" s="4">
        <v>0</v>
      </c>
      <c r="H810" s="8">
        <v>0</v>
      </c>
      <c r="I810" s="4">
        <v>0</v>
      </c>
    </row>
    <row r="811" spans="1:9" x14ac:dyDescent="0.2">
      <c r="A811" s="2">
        <v>5</v>
      </c>
      <c r="B811" s="1" t="s">
        <v>76</v>
      </c>
      <c r="C811" s="4">
        <v>9</v>
      </c>
      <c r="D811" s="8">
        <v>5.73</v>
      </c>
      <c r="E811" s="4">
        <v>6</v>
      </c>
      <c r="F811" s="8">
        <v>6</v>
      </c>
      <c r="G811" s="4">
        <v>3</v>
      </c>
      <c r="H811" s="8">
        <v>5.45</v>
      </c>
      <c r="I811" s="4">
        <v>0</v>
      </c>
    </row>
    <row r="812" spans="1:9" x14ac:dyDescent="0.2">
      <c r="A812" s="2">
        <v>6</v>
      </c>
      <c r="B812" s="1" t="s">
        <v>67</v>
      </c>
      <c r="C812" s="4">
        <v>8</v>
      </c>
      <c r="D812" s="8">
        <v>5.0999999999999996</v>
      </c>
      <c r="E812" s="4">
        <v>6</v>
      </c>
      <c r="F812" s="8">
        <v>6</v>
      </c>
      <c r="G812" s="4">
        <v>2</v>
      </c>
      <c r="H812" s="8">
        <v>3.64</v>
      </c>
      <c r="I812" s="4">
        <v>0</v>
      </c>
    </row>
    <row r="813" spans="1:9" x14ac:dyDescent="0.2">
      <c r="A813" s="2">
        <v>6</v>
      </c>
      <c r="B813" s="1" t="s">
        <v>72</v>
      </c>
      <c r="C813" s="4">
        <v>8</v>
      </c>
      <c r="D813" s="8">
        <v>5.0999999999999996</v>
      </c>
      <c r="E813" s="4">
        <v>4</v>
      </c>
      <c r="F813" s="8">
        <v>4</v>
      </c>
      <c r="G813" s="4">
        <v>4</v>
      </c>
      <c r="H813" s="8">
        <v>7.27</v>
      </c>
      <c r="I813" s="4">
        <v>0</v>
      </c>
    </row>
    <row r="814" spans="1:9" x14ac:dyDescent="0.2">
      <c r="A814" s="2">
        <v>8</v>
      </c>
      <c r="B814" s="1" t="s">
        <v>79</v>
      </c>
      <c r="C814" s="4">
        <v>6</v>
      </c>
      <c r="D814" s="8">
        <v>3.82</v>
      </c>
      <c r="E814" s="4">
        <v>6</v>
      </c>
      <c r="F814" s="8">
        <v>6</v>
      </c>
      <c r="G814" s="4">
        <v>0</v>
      </c>
      <c r="H814" s="8">
        <v>0</v>
      </c>
      <c r="I814" s="4">
        <v>0</v>
      </c>
    </row>
    <row r="815" spans="1:9" x14ac:dyDescent="0.2">
      <c r="A815" s="2">
        <v>8</v>
      </c>
      <c r="B815" s="1" t="s">
        <v>83</v>
      </c>
      <c r="C815" s="4">
        <v>6</v>
      </c>
      <c r="D815" s="8">
        <v>3.82</v>
      </c>
      <c r="E815" s="4">
        <v>4</v>
      </c>
      <c r="F815" s="8">
        <v>4</v>
      </c>
      <c r="G815" s="4">
        <v>2</v>
      </c>
      <c r="H815" s="8">
        <v>3.64</v>
      </c>
      <c r="I815" s="4">
        <v>0</v>
      </c>
    </row>
    <row r="816" spans="1:9" x14ac:dyDescent="0.2">
      <c r="A816" s="2">
        <v>10</v>
      </c>
      <c r="B816" s="1" t="s">
        <v>68</v>
      </c>
      <c r="C816" s="4">
        <v>5</v>
      </c>
      <c r="D816" s="8">
        <v>3.18</v>
      </c>
      <c r="E816" s="4">
        <v>3</v>
      </c>
      <c r="F816" s="8">
        <v>3</v>
      </c>
      <c r="G816" s="4">
        <v>2</v>
      </c>
      <c r="H816" s="8">
        <v>3.64</v>
      </c>
      <c r="I816" s="4">
        <v>0</v>
      </c>
    </row>
    <row r="817" spans="1:9" x14ac:dyDescent="0.2">
      <c r="A817" s="2">
        <v>10</v>
      </c>
      <c r="B817" s="1" t="s">
        <v>94</v>
      </c>
      <c r="C817" s="4">
        <v>5</v>
      </c>
      <c r="D817" s="8">
        <v>3.18</v>
      </c>
      <c r="E817" s="4">
        <v>1</v>
      </c>
      <c r="F817" s="8">
        <v>1</v>
      </c>
      <c r="G817" s="4">
        <v>4</v>
      </c>
      <c r="H817" s="8">
        <v>7.27</v>
      </c>
      <c r="I817" s="4">
        <v>0</v>
      </c>
    </row>
    <row r="818" spans="1:9" x14ac:dyDescent="0.2">
      <c r="A818" s="2">
        <v>12</v>
      </c>
      <c r="B818" s="1" t="s">
        <v>98</v>
      </c>
      <c r="C818" s="4">
        <v>4</v>
      </c>
      <c r="D818" s="8">
        <v>2.5499999999999998</v>
      </c>
      <c r="E818" s="4">
        <v>2</v>
      </c>
      <c r="F818" s="8">
        <v>2</v>
      </c>
      <c r="G818" s="4">
        <v>2</v>
      </c>
      <c r="H818" s="8">
        <v>3.64</v>
      </c>
      <c r="I818" s="4">
        <v>0</v>
      </c>
    </row>
    <row r="819" spans="1:9" x14ac:dyDescent="0.2">
      <c r="A819" s="2">
        <v>12</v>
      </c>
      <c r="B819" s="1" t="s">
        <v>101</v>
      </c>
      <c r="C819" s="4">
        <v>4</v>
      </c>
      <c r="D819" s="8">
        <v>2.5499999999999998</v>
      </c>
      <c r="E819" s="4">
        <v>4</v>
      </c>
      <c r="F819" s="8">
        <v>4</v>
      </c>
      <c r="G819" s="4">
        <v>0</v>
      </c>
      <c r="H819" s="8">
        <v>0</v>
      </c>
      <c r="I819" s="4">
        <v>0</v>
      </c>
    </row>
    <row r="820" spans="1:9" x14ac:dyDescent="0.2">
      <c r="A820" s="2">
        <v>12</v>
      </c>
      <c r="B820" s="1" t="s">
        <v>75</v>
      </c>
      <c r="C820" s="4">
        <v>4</v>
      </c>
      <c r="D820" s="8">
        <v>2.5499999999999998</v>
      </c>
      <c r="E820" s="4">
        <v>2</v>
      </c>
      <c r="F820" s="8">
        <v>2</v>
      </c>
      <c r="G820" s="4">
        <v>2</v>
      </c>
      <c r="H820" s="8">
        <v>3.64</v>
      </c>
      <c r="I820" s="4">
        <v>0</v>
      </c>
    </row>
    <row r="821" spans="1:9" x14ac:dyDescent="0.2">
      <c r="A821" s="2">
        <v>15</v>
      </c>
      <c r="B821" s="1" t="s">
        <v>74</v>
      </c>
      <c r="C821" s="4">
        <v>3</v>
      </c>
      <c r="D821" s="8">
        <v>1.91</v>
      </c>
      <c r="E821" s="4">
        <v>2</v>
      </c>
      <c r="F821" s="8">
        <v>2</v>
      </c>
      <c r="G821" s="4">
        <v>1</v>
      </c>
      <c r="H821" s="8">
        <v>1.82</v>
      </c>
      <c r="I821" s="4">
        <v>0</v>
      </c>
    </row>
    <row r="822" spans="1:9" x14ac:dyDescent="0.2">
      <c r="A822" s="2">
        <v>15</v>
      </c>
      <c r="B822" s="1" t="s">
        <v>77</v>
      </c>
      <c r="C822" s="4">
        <v>3</v>
      </c>
      <c r="D822" s="8">
        <v>1.91</v>
      </c>
      <c r="E822" s="4">
        <v>1</v>
      </c>
      <c r="F822" s="8">
        <v>1</v>
      </c>
      <c r="G822" s="4">
        <v>2</v>
      </c>
      <c r="H822" s="8">
        <v>3.64</v>
      </c>
      <c r="I822" s="4">
        <v>0</v>
      </c>
    </row>
    <row r="823" spans="1:9" x14ac:dyDescent="0.2">
      <c r="A823" s="2">
        <v>15</v>
      </c>
      <c r="B823" s="1" t="s">
        <v>84</v>
      </c>
      <c r="C823" s="4">
        <v>3</v>
      </c>
      <c r="D823" s="8">
        <v>1.91</v>
      </c>
      <c r="E823" s="4">
        <v>3</v>
      </c>
      <c r="F823" s="8">
        <v>3</v>
      </c>
      <c r="G823" s="4">
        <v>0</v>
      </c>
      <c r="H823" s="8">
        <v>0</v>
      </c>
      <c r="I823" s="4">
        <v>0</v>
      </c>
    </row>
    <row r="824" spans="1:9" x14ac:dyDescent="0.2">
      <c r="A824" s="2">
        <v>15</v>
      </c>
      <c r="B824" s="1" t="s">
        <v>88</v>
      </c>
      <c r="C824" s="4">
        <v>3</v>
      </c>
      <c r="D824" s="8">
        <v>1.91</v>
      </c>
      <c r="E824" s="4">
        <v>2</v>
      </c>
      <c r="F824" s="8">
        <v>2</v>
      </c>
      <c r="G824" s="4">
        <v>1</v>
      </c>
      <c r="H824" s="8">
        <v>1.82</v>
      </c>
      <c r="I824" s="4">
        <v>0</v>
      </c>
    </row>
    <row r="825" spans="1:9" x14ac:dyDescent="0.2">
      <c r="A825" s="2">
        <v>19</v>
      </c>
      <c r="B825" s="1" t="s">
        <v>91</v>
      </c>
      <c r="C825" s="4">
        <v>2</v>
      </c>
      <c r="D825" s="8">
        <v>1.27</v>
      </c>
      <c r="E825" s="4">
        <v>0</v>
      </c>
      <c r="F825" s="8">
        <v>0</v>
      </c>
      <c r="G825" s="4">
        <v>2</v>
      </c>
      <c r="H825" s="8">
        <v>3.64</v>
      </c>
      <c r="I825" s="4">
        <v>0</v>
      </c>
    </row>
    <row r="826" spans="1:9" x14ac:dyDescent="0.2">
      <c r="A826" s="2">
        <v>19</v>
      </c>
      <c r="B826" s="1" t="s">
        <v>69</v>
      </c>
      <c r="C826" s="4">
        <v>2</v>
      </c>
      <c r="D826" s="8">
        <v>1.27</v>
      </c>
      <c r="E826" s="4">
        <v>0</v>
      </c>
      <c r="F826" s="8">
        <v>0</v>
      </c>
      <c r="G826" s="4">
        <v>2</v>
      </c>
      <c r="H826" s="8">
        <v>3.64</v>
      </c>
      <c r="I826" s="4">
        <v>0</v>
      </c>
    </row>
    <row r="827" spans="1:9" x14ac:dyDescent="0.2">
      <c r="A827" s="2">
        <v>19</v>
      </c>
      <c r="B827" s="1" t="s">
        <v>93</v>
      </c>
      <c r="C827" s="4">
        <v>2</v>
      </c>
      <c r="D827" s="8">
        <v>1.27</v>
      </c>
      <c r="E827" s="4">
        <v>2</v>
      </c>
      <c r="F827" s="8">
        <v>2</v>
      </c>
      <c r="G827" s="4">
        <v>0</v>
      </c>
      <c r="H827" s="8">
        <v>0</v>
      </c>
      <c r="I827" s="4">
        <v>0</v>
      </c>
    </row>
    <row r="828" spans="1:9" x14ac:dyDescent="0.2">
      <c r="A828" s="2">
        <v>19</v>
      </c>
      <c r="B828" s="1" t="s">
        <v>104</v>
      </c>
      <c r="C828" s="4">
        <v>2</v>
      </c>
      <c r="D828" s="8">
        <v>1.27</v>
      </c>
      <c r="E828" s="4">
        <v>1</v>
      </c>
      <c r="F828" s="8">
        <v>1</v>
      </c>
      <c r="G828" s="4">
        <v>1</v>
      </c>
      <c r="H828" s="8">
        <v>1.82</v>
      </c>
      <c r="I828" s="4">
        <v>0</v>
      </c>
    </row>
    <row r="829" spans="1:9" x14ac:dyDescent="0.2">
      <c r="A829" s="2">
        <v>19</v>
      </c>
      <c r="B829" s="1" t="s">
        <v>73</v>
      </c>
      <c r="C829" s="4">
        <v>2</v>
      </c>
      <c r="D829" s="8">
        <v>1.27</v>
      </c>
      <c r="E829" s="4">
        <v>0</v>
      </c>
      <c r="F829" s="8">
        <v>0</v>
      </c>
      <c r="G829" s="4">
        <v>1</v>
      </c>
      <c r="H829" s="8">
        <v>1.82</v>
      </c>
      <c r="I829" s="4">
        <v>1</v>
      </c>
    </row>
    <row r="830" spans="1:9" x14ac:dyDescent="0.2">
      <c r="A830" s="2">
        <v>19</v>
      </c>
      <c r="B830" s="1" t="s">
        <v>102</v>
      </c>
      <c r="C830" s="4">
        <v>2</v>
      </c>
      <c r="D830" s="8">
        <v>1.27</v>
      </c>
      <c r="E830" s="4">
        <v>1</v>
      </c>
      <c r="F830" s="8">
        <v>1</v>
      </c>
      <c r="G830" s="4">
        <v>1</v>
      </c>
      <c r="H830" s="8">
        <v>1.82</v>
      </c>
      <c r="I830" s="4">
        <v>0</v>
      </c>
    </row>
    <row r="831" spans="1:9" x14ac:dyDescent="0.2">
      <c r="A831" s="2">
        <v>19</v>
      </c>
      <c r="B831" s="1" t="s">
        <v>78</v>
      </c>
      <c r="C831" s="4">
        <v>2</v>
      </c>
      <c r="D831" s="8">
        <v>1.27</v>
      </c>
      <c r="E831" s="4">
        <v>2</v>
      </c>
      <c r="F831" s="8">
        <v>2</v>
      </c>
      <c r="G831" s="4">
        <v>0</v>
      </c>
      <c r="H831" s="8">
        <v>0</v>
      </c>
      <c r="I831" s="4">
        <v>0</v>
      </c>
    </row>
    <row r="832" spans="1:9" x14ac:dyDescent="0.2">
      <c r="A832" s="2">
        <v>19</v>
      </c>
      <c r="B832" s="1" t="s">
        <v>90</v>
      </c>
      <c r="C832" s="4">
        <v>2</v>
      </c>
      <c r="D832" s="8">
        <v>1.27</v>
      </c>
      <c r="E832" s="4">
        <v>1</v>
      </c>
      <c r="F832" s="8">
        <v>1</v>
      </c>
      <c r="G832" s="4">
        <v>1</v>
      </c>
      <c r="H832" s="8">
        <v>1.82</v>
      </c>
      <c r="I832" s="4">
        <v>0</v>
      </c>
    </row>
    <row r="833" spans="1:9" x14ac:dyDescent="0.2">
      <c r="A833" s="1"/>
      <c r="C833" s="4"/>
      <c r="D833" s="8"/>
      <c r="E833" s="4"/>
      <c r="F833" s="8"/>
      <c r="G833" s="4"/>
      <c r="H833" s="8"/>
      <c r="I833" s="4"/>
    </row>
    <row r="834" spans="1:9" x14ac:dyDescent="0.2">
      <c r="A834" s="1" t="s">
        <v>36</v>
      </c>
      <c r="C834" s="4"/>
      <c r="D834" s="8"/>
      <c r="E834" s="4"/>
      <c r="F834" s="8"/>
      <c r="G834" s="4"/>
      <c r="H834" s="8"/>
      <c r="I834" s="4"/>
    </row>
    <row r="835" spans="1:9" x14ac:dyDescent="0.2">
      <c r="A835" s="2">
        <v>1</v>
      </c>
      <c r="B835" s="1" t="s">
        <v>67</v>
      </c>
      <c r="C835" s="4">
        <v>22</v>
      </c>
      <c r="D835" s="8">
        <v>8.3699999999999992</v>
      </c>
      <c r="E835" s="4">
        <v>15</v>
      </c>
      <c r="F835" s="8">
        <v>9.15</v>
      </c>
      <c r="G835" s="4">
        <v>7</v>
      </c>
      <c r="H835" s="8">
        <v>7.37</v>
      </c>
      <c r="I835" s="4">
        <v>0</v>
      </c>
    </row>
    <row r="836" spans="1:9" x14ac:dyDescent="0.2">
      <c r="A836" s="2">
        <v>1</v>
      </c>
      <c r="B836" s="1" t="s">
        <v>81</v>
      </c>
      <c r="C836" s="4">
        <v>22</v>
      </c>
      <c r="D836" s="8">
        <v>8.3699999999999992</v>
      </c>
      <c r="E836" s="4">
        <v>19</v>
      </c>
      <c r="F836" s="8">
        <v>11.59</v>
      </c>
      <c r="G836" s="4">
        <v>3</v>
      </c>
      <c r="H836" s="8">
        <v>3.16</v>
      </c>
      <c r="I836" s="4">
        <v>0</v>
      </c>
    </row>
    <row r="837" spans="1:9" x14ac:dyDescent="0.2">
      <c r="A837" s="2">
        <v>1</v>
      </c>
      <c r="B837" s="1" t="s">
        <v>82</v>
      </c>
      <c r="C837" s="4">
        <v>22</v>
      </c>
      <c r="D837" s="8">
        <v>8.3699999999999992</v>
      </c>
      <c r="E837" s="4">
        <v>21</v>
      </c>
      <c r="F837" s="8">
        <v>12.8</v>
      </c>
      <c r="G837" s="4">
        <v>1</v>
      </c>
      <c r="H837" s="8">
        <v>1.05</v>
      </c>
      <c r="I837" s="4">
        <v>0</v>
      </c>
    </row>
    <row r="838" spans="1:9" x14ac:dyDescent="0.2">
      <c r="A838" s="2">
        <v>4</v>
      </c>
      <c r="B838" s="1" t="s">
        <v>77</v>
      </c>
      <c r="C838" s="4">
        <v>19</v>
      </c>
      <c r="D838" s="8">
        <v>7.22</v>
      </c>
      <c r="E838" s="4">
        <v>12</v>
      </c>
      <c r="F838" s="8">
        <v>7.32</v>
      </c>
      <c r="G838" s="4">
        <v>7</v>
      </c>
      <c r="H838" s="8">
        <v>7.37</v>
      </c>
      <c r="I838" s="4">
        <v>0</v>
      </c>
    </row>
    <row r="839" spans="1:9" x14ac:dyDescent="0.2">
      <c r="A839" s="2">
        <v>5</v>
      </c>
      <c r="B839" s="1" t="s">
        <v>75</v>
      </c>
      <c r="C839" s="4">
        <v>17</v>
      </c>
      <c r="D839" s="8">
        <v>6.46</v>
      </c>
      <c r="E839" s="4">
        <v>12</v>
      </c>
      <c r="F839" s="8">
        <v>7.32</v>
      </c>
      <c r="G839" s="4">
        <v>4</v>
      </c>
      <c r="H839" s="8">
        <v>4.21</v>
      </c>
      <c r="I839" s="4">
        <v>1</v>
      </c>
    </row>
    <row r="840" spans="1:9" x14ac:dyDescent="0.2">
      <c r="A840" s="2">
        <v>6</v>
      </c>
      <c r="B840" s="1" t="s">
        <v>66</v>
      </c>
      <c r="C840" s="4">
        <v>14</v>
      </c>
      <c r="D840" s="8">
        <v>5.32</v>
      </c>
      <c r="E840" s="4">
        <v>2</v>
      </c>
      <c r="F840" s="8">
        <v>1.22</v>
      </c>
      <c r="G840" s="4">
        <v>12</v>
      </c>
      <c r="H840" s="8">
        <v>12.63</v>
      </c>
      <c r="I840" s="4">
        <v>0</v>
      </c>
    </row>
    <row r="841" spans="1:9" x14ac:dyDescent="0.2">
      <c r="A841" s="2">
        <v>7</v>
      </c>
      <c r="B841" s="1" t="s">
        <v>83</v>
      </c>
      <c r="C841" s="4">
        <v>13</v>
      </c>
      <c r="D841" s="8">
        <v>4.9400000000000004</v>
      </c>
      <c r="E841" s="4">
        <v>11</v>
      </c>
      <c r="F841" s="8">
        <v>6.71</v>
      </c>
      <c r="G841" s="4">
        <v>1</v>
      </c>
      <c r="H841" s="8">
        <v>1.05</v>
      </c>
      <c r="I841" s="4">
        <v>0</v>
      </c>
    </row>
    <row r="842" spans="1:9" x14ac:dyDescent="0.2">
      <c r="A842" s="2">
        <v>8</v>
      </c>
      <c r="B842" s="1" t="s">
        <v>84</v>
      </c>
      <c r="C842" s="4">
        <v>11</v>
      </c>
      <c r="D842" s="8">
        <v>4.18</v>
      </c>
      <c r="E842" s="4">
        <v>10</v>
      </c>
      <c r="F842" s="8">
        <v>6.1</v>
      </c>
      <c r="G842" s="4">
        <v>1</v>
      </c>
      <c r="H842" s="8">
        <v>1.05</v>
      </c>
      <c r="I842" s="4">
        <v>0</v>
      </c>
    </row>
    <row r="843" spans="1:9" x14ac:dyDescent="0.2">
      <c r="A843" s="2">
        <v>9</v>
      </c>
      <c r="B843" s="1" t="s">
        <v>71</v>
      </c>
      <c r="C843" s="4">
        <v>9</v>
      </c>
      <c r="D843" s="8">
        <v>3.42</v>
      </c>
      <c r="E843" s="4">
        <v>1</v>
      </c>
      <c r="F843" s="8">
        <v>0.61</v>
      </c>
      <c r="G843" s="4">
        <v>8</v>
      </c>
      <c r="H843" s="8">
        <v>8.42</v>
      </c>
      <c r="I843" s="4">
        <v>0</v>
      </c>
    </row>
    <row r="844" spans="1:9" x14ac:dyDescent="0.2">
      <c r="A844" s="2">
        <v>9</v>
      </c>
      <c r="B844" s="1" t="s">
        <v>79</v>
      </c>
      <c r="C844" s="4">
        <v>9</v>
      </c>
      <c r="D844" s="8">
        <v>3.42</v>
      </c>
      <c r="E844" s="4">
        <v>7</v>
      </c>
      <c r="F844" s="8">
        <v>4.2699999999999996</v>
      </c>
      <c r="G844" s="4">
        <v>2</v>
      </c>
      <c r="H844" s="8">
        <v>2.11</v>
      </c>
      <c r="I844" s="4">
        <v>0</v>
      </c>
    </row>
    <row r="845" spans="1:9" x14ac:dyDescent="0.2">
      <c r="A845" s="2">
        <v>11</v>
      </c>
      <c r="B845" s="1" t="s">
        <v>68</v>
      </c>
      <c r="C845" s="4">
        <v>8</v>
      </c>
      <c r="D845" s="8">
        <v>3.04</v>
      </c>
      <c r="E845" s="4">
        <v>2</v>
      </c>
      <c r="F845" s="8">
        <v>1.22</v>
      </c>
      <c r="G845" s="4">
        <v>6</v>
      </c>
      <c r="H845" s="8">
        <v>6.32</v>
      </c>
      <c r="I845" s="4">
        <v>0</v>
      </c>
    </row>
    <row r="846" spans="1:9" x14ac:dyDescent="0.2">
      <c r="A846" s="2">
        <v>12</v>
      </c>
      <c r="B846" s="1" t="s">
        <v>76</v>
      </c>
      <c r="C846" s="4">
        <v>7</v>
      </c>
      <c r="D846" s="8">
        <v>2.66</v>
      </c>
      <c r="E846" s="4">
        <v>4</v>
      </c>
      <c r="F846" s="8">
        <v>2.44</v>
      </c>
      <c r="G846" s="4">
        <v>3</v>
      </c>
      <c r="H846" s="8">
        <v>3.16</v>
      </c>
      <c r="I846" s="4">
        <v>0</v>
      </c>
    </row>
    <row r="847" spans="1:9" x14ac:dyDescent="0.2">
      <c r="A847" s="2">
        <v>13</v>
      </c>
      <c r="B847" s="1" t="s">
        <v>74</v>
      </c>
      <c r="C847" s="4">
        <v>6</v>
      </c>
      <c r="D847" s="8">
        <v>2.2799999999999998</v>
      </c>
      <c r="E847" s="4">
        <v>5</v>
      </c>
      <c r="F847" s="8">
        <v>3.05</v>
      </c>
      <c r="G847" s="4">
        <v>1</v>
      </c>
      <c r="H847" s="8">
        <v>1.05</v>
      </c>
      <c r="I847" s="4">
        <v>0</v>
      </c>
    </row>
    <row r="848" spans="1:9" x14ac:dyDescent="0.2">
      <c r="A848" s="2">
        <v>13</v>
      </c>
      <c r="B848" s="1" t="s">
        <v>78</v>
      </c>
      <c r="C848" s="4">
        <v>6</v>
      </c>
      <c r="D848" s="8">
        <v>2.2799999999999998</v>
      </c>
      <c r="E848" s="4">
        <v>3</v>
      </c>
      <c r="F848" s="8">
        <v>1.83</v>
      </c>
      <c r="G848" s="4">
        <v>3</v>
      </c>
      <c r="H848" s="8">
        <v>3.16</v>
      </c>
      <c r="I848" s="4">
        <v>0</v>
      </c>
    </row>
    <row r="849" spans="1:9" x14ac:dyDescent="0.2">
      <c r="A849" s="2">
        <v>15</v>
      </c>
      <c r="B849" s="1" t="s">
        <v>69</v>
      </c>
      <c r="C849" s="4">
        <v>5</v>
      </c>
      <c r="D849" s="8">
        <v>1.9</v>
      </c>
      <c r="E849" s="4">
        <v>4</v>
      </c>
      <c r="F849" s="8">
        <v>2.44</v>
      </c>
      <c r="G849" s="4">
        <v>1</v>
      </c>
      <c r="H849" s="8">
        <v>1.05</v>
      </c>
      <c r="I849" s="4">
        <v>0</v>
      </c>
    </row>
    <row r="850" spans="1:9" x14ac:dyDescent="0.2">
      <c r="A850" s="2">
        <v>15</v>
      </c>
      <c r="B850" s="1" t="s">
        <v>93</v>
      </c>
      <c r="C850" s="4">
        <v>5</v>
      </c>
      <c r="D850" s="8">
        <v>1.9</v>
      </c>
      <c r="E850" s="4">
        <v>4</v>
      </c>
      <c r="F850" s="8">
        <v>2.44</v>
      </c>
      <c r="G850" s="4">
        <v>1</v>
      </c>
      <c r="H850" s="8">
        <v>1.05</v>
      </c>
      <c r="I850" s="4">
        <v>0</v>
      </c>
    </row>
    <row r="851" spans="1:9" x14ac:dyDescent="0.2">
      <c r="A851" s="2">
        <v>15</v>
      </c>
      <c r="B851" s="1" t="s">
        <v>98</v>
      </c>
      <c r="C851" s="4">
        <v>5</v>
      </c>
      <c r="D851" s="8">
        <v>1.9</v>
      </c>
      <c r="E851" s="4">
        <v>3</v>
      </c>
      <c r="F851" s="8">
        <v>1.83</v>
      </c>
      <c r="G851" s="4">
        <v>2</v>
      </c>
      <c r="H851" s="8">
        <v>2.11</v>
      </c>
      <c r="I851" s="4">
        <v>0</v>
      </c>
    </row>
    <row r="852" spans="1:9" x14ac:dyDescent="0.2">
      <c r="A852" s="2">
        <v>15</v>
      </c>
      <c r="B852" s="1" t="s">
        <v>72</v>
      </c>
      <c r="C852" s="4">
        <v>5</v>
      </c>
      <c r="D852" s="8">
        <v>1.9</v>
      </c>
      <c r="E852" s="4">
        <v>2</v>
      </c>
      <c r="F852" s="8">
        <v>1.22</v>
      </c>
      <c r="G852" s="4">
        <v>3</v>
      </c>
      <c r="H852" s="8">
        <v>3.16</v>
      </c>
      <c r="I852" s="4">
        <v>0</v>
      </c>
    </row>
    <row r="853" spans="1:9" x14ac:dyDescent="0.2">
      <c r="A853" s="2">
        <v>15</v>
      </c>
      <c r="B853" s="1" t="s">
        <v>85</v>
      </c>
      <c r="C853" s="4">
        <v>5</v>
      </c>
      <c r="D853" s="8">
        <v>1.9</v>
      </c>
      <c r="E853" s="4">
        <v>4</v>
      </c>
      <c r="F853" s="8">
        <v>2.44</v>
      </c>
      <c r="G853" s="4">
        <v>1</v>
      </c>
      <c r="H853" s="8">
        <v>1.05</v>
      </c>
      <c r="I853" s="4">
        <v>0</v>
      </c>
    </row>
    <row r="854" spans="1:9" x14ac:dyDescent="0.2">
      <c r="A854" s="2">
        <v>20</v>
      </c>
      <c r="B854" s="1" t="s">
        <v>97</v>
      </c>
      <c r="C854" s="4">
        <v>4</v>
      </c>
      <c r="D854" s="8">
        <v>1.52</v>
      </c>
      <c r="E854" s="4">
        <v>0</v>
      </c>
      <c r="F854" s="8">
        <v>0</v>
      </c>
      <c r="G854" s="4">
        <v>4</v>
      </c>
      <c r="H854" s="8">
        <v>4.21</v>
      </c>
      <c r="I854" s="4">
        <v>0</v>
      </c>
    </row>
    <row r="855" spans="1:9" x14ac:dyDescent="0.2">
      <c r="A855" s="1"/>
      <c r="C855" s="4"/>
      <c r="D855" s="8"/>
      <c r="E855" s="4"/>
      <c r="F855" s="8"/>
      <c r="G855" s="4"/>
      <c r="H855" s="8"/>
      <c r="I855" s="4"/>
    </row>
    <row r="856" spans="1:9" x14ac:dyDescent="0.2">
      <c r="A856" s="1" t="s">
        <v>37</v>
      </c>
      <c r="C856" s="4"/>
      <c r="D856" s="8"/>
      <c r="E856" s="4"/>
      <c r="F856" s="8"/>
      <c r="G856" s="4"/>
      <c r="H856" s="8"/>
      <c r="I856" s="4"/>
    </row>
    <row r="857" spans="1:9" x14ac:dyDescent="0.2">
      <c r="A857" s="2">
        <v>1</v>
      </c>
      <c r="B857" s="1" t="s">
        <v>67</v>
      </c>
      <c r="C857" s="4">
        <v>17</v>
      </c>
      <c r="D857" s="8">
        <v>13.08</v>
      </c>
      <c r="E857" s="4">
        <v>13</v>
      </c>
      <c r="F857" s="8">
        <v>14.61</v>
      </c>
      <c r="G857" s="4">
        <v>4</v>
      </c>
      <c r="H857" s="8">
        <v>10.53</v>
      </c>
      <c r="I857" s="4">
        <v>0</v>
      </c>
    </row>
    <row r="858" spans="1:9" x14ac:dyDescent="0.2">
      <c r="A858" s="2">
        <v>2</v>
      </c>
      <c r="B858" s="1" t="s">
        <v>66</v>
      </c>
      <c r="C858" s="4">
        <v>15</v>
      </c>
      <c r="D858" s="8">
        <v>11.54</v>
      </c>
      <c r="E858" s="4">
        <v>6</v>
      </c>
      <c r="F858" s="8">
        <v>6.74</v>
      </c>
      <c r="G858" s="4">
        <v>9</v>
      </c>
      <c r="H858" s="8">
        <v>23.68</v>
      </c>
      <c r="I858" s="4">
        <v>0</v>
      </c>
    </row>
    <row r="859" spans="1:9" x14ac:dyDescent="0.2">
      <c r="A859" s="2">
        <v>3</v>
      </c>
      <c r="B859" s="1" t="s">
        <v>75</v>
      </c>
      <c r="C859" s="4">
        <v>11</v>
      </c>
      <c r="D859" s="8">
        <v>8.4600000000000009</v>
      </c>
      <c r="E859" s="4">
        <v>10</v>
      </c>
      <c r="F859" s="8">
        <v>11.24</v>
      </c>
      <c r="G859" s="4">
        <v>1</v>
      </c>
      <c r="H859" s="8">
        <v>2.63</v>
      </c>
      <c r="I859" s="4">
        <v>0</v>
      </c>
    </row>
    <row r="860" spans="1:9" x14ac:dyDescent="0.2">
      <c r="A860" s="2">
        <v>3</v>
      </c>
      <c r="B860" s="1" t="s">
        <v>81</v>
      </c>
      <c r="C860" s="4">
        <v>11</v>
      </c>
      <c r="D860" s="8">
        <v>8.4600000000000009</v>
      </c>
      <c r="E860" s="4">
        <v>8</v>
      </c>
      <c r="F860" s="8">
        <v>8.99</v>
      </c>
      <c r="G860" s="4">
        <v>3</v>
      </c>
      <c r="H860" s="8">
        <v>7.89</v>
      </c>
      <c r="I860" s="4">
        <v>0</v>
      </c>
    </row>
    <row r="861" spans="1:9" x14ac:dyDescent="0.2">
      <c r="A861" s="2">
        <v>3</v>
      </c>
      <c r="B861" s="1" t="s">
        <v>82</v>
      </c>
      <c r="C861" s="4">
        <v>11</v>
      </c>
      <c r="D861" s="8">
        <v>8.4600000000000009</v>
      </c>
      <c r="E861" s="4">
        <v>11</v>
      </c>
      <c r="F861" s="8">
        <v>12.36</v>
      </c>
      <c r="G861" s="4">
        <v>0</v>
      </c>
      <c r="H861" s="8">
        <v>0</v>
      </c>
      <c r="I861" s="4">
        <v>0</v>
      </c>
    </row>
    <row r="862" spans="1:9" x14ac:dyDescent="0.2">
      <c r="A862" s="2">
        <v>6</v>
      </c>
      <c r="B862" s="1" t="s">
        <v>77</v>
      </c>
      <c r="C862" s="4">
        <v>9</v>
      </c>
      <c r="D862" s="8">
        <v>6.92</v>
      </c>
      <c r="E862" s="4">
        <v>6</v>
      </c>
      <c r="F862" s="8">
        <v>6.74</v>
      </c>
      <c r="G862" s="4">
        <v>3</v>
      </c>
      <c r="H862" s="8">
        <v>7.89</v>
      </c>
      <c r="I862" s="4">
        <v>0</v>
      </c>
    </row>
    <row r="863" spans="1:9" x14ac:dyDescent="0.2">
      <c r="A863" s="2">
        <v>7</v>
      </c>
      <c r="B863" s="1" t="s">
        <v>68</v>
      </c>
      <c r="C863" s="4">
        <v>7</v>
      </c>
      <c r="D863" s="8">
        <v>5.38</v>
      </c>
      <c r="E863" s="4">
        <v>6</v>
      </c>
      <c r="F863" s="8">
        <v>6.74</v>
      </c>
      <c r="G863" s="4">
        <v>1</v>
      </c>
      <c r="H863" s="8">
        <v>2.63</v>
      </c>
      <c r="I863" s="4">
        <v>0</v>
      </c>
    </row>
    <row r="864" spans="1:9" x14ac:dyDescent="0.2">
      <c r="A864" s="2">
        <v>8</v>
      </c>
      <c r="B864" s="1" t="s">
        <v>76</v>
      </c>
      <c r="C864" s="4">
        <v>6</v>
      </c>
      <c r="D864" s="8">
        <v>4.62</v>
      </c>
      <c r="E864" s="4">
        <v>4</v>
      </c>
      <c r="F864" s="8">
        <v>4.49</v>
      </c>
      <c r="G864" s="4">
        <v>2</v>
      </c>
      <c r="H864" s="8">
        <v>5.26</v>
      </c>
      <c r="I864" s="4">
        <v>0</v>
      </c>
    </row>
    <row r="865" spans="1:9" x14ac:dyDescent="0.2">
      <c r="A865" s="2">
        <v>9</v>
      </c>
      <c r="B865" s="1" t="s">
        <v>103</v>
      </c>
      <c r="C865" s="4">
        <v>4</v>
      </c>
      <c r="D865" s="8">
        <v>3.08</v>
      </c>
      <c r="E865" s="4">
        <v>3</v>
      </c>
      <c r="F865" s="8">
        <v>3.37</v>
      </c>
      <c r="G865" s="4">
        <v>1</v>
      </c>
      <c r="H865" s="8">
        <v>2.63</v>
      </c>
      <c r="I865" s="4">
        <v>0</v>
      </c>
    </row>
    <row r="866" spans="1:9" x14ac:dyDescent="0.2">
      <c r="A866" s="2">
        <v>10</v>
      </c>
      <c r="B866" s="1" t="s">
        <v>92</v>
      </c>
      <c r="C866" s="4">
        <v>3</v>
      </c>
      <c r="D866" s="8">
        <v>2.31</v>
      </c>
      <c r="E866" s="4">
        <v>1</v>
      </c>
      <c r="F866" s="8">
        <v>1.1200000000000001</v>
      </c>
      <c r="G866" s="4">
        <v>2</v>
      </c>
      <c r="H866" s="8">
        <v>5.26</v>
      </c>
      <c r="I866" s="4">
        <v>0</v>
      </c>
    </row>
    <row r="867" spans="1:9" x14ac:dyDescent="0.2">
      <c r="A867" s="2">
        <v>10</v>
      </c>
      <c r="B867" s="1" t="s">
        <v>93</v>
      </c>
      <c r="C867" s="4">
        <v>3</v>
      </c>
      <c r="D867" s="8">
        <v>2.31</v>
      </c>
      <c r="E867" s="4">
        <v>3</v>
      </c>
      <c r="F867" s="8">
        <v>3.37</v>
      </c>
      <c r="G867" s="4">
        <v>0</v>
      </c>
      <c r="H867" s="8">
        <v>0</v>
      </c>
      <c r="I867" s="4">
        <v>0</v>
      </c>
    </row>
    <row r="868" spans="1:9" x14ac:dyDescent="0.2">
      <c r="A868" s="2">
        <v>12</v>
      </c>
      <c r="B868" s="1" t="s">
        <v>91</v>
      </c>
      <c r="C868" s="4">
        <v>2</v>
      </c>
      <c r="D868" s="8">
        <v>1.54</v>
      </c>
      <c r="E868" s="4">
        <v>1</v>
      </c>
      <c r="F868" s="8">
        <v>1.1200000000000001</v>
      </c>
      <c r="G868" s="4">
        <v>1</v>
      </c>
      <c r="H868" s="8">
        <v>2.63</v>
      </c>
      <c r="I868" s="4">
        <v>0</v>
      </c>
    </row>
    <row r="869" spans="1:9" x14ac:dyDescent="0.2">
      <c r="A869" s="2">
        <v>12</v>
      </c>
      <c r="B869" s="1" t="s">
        <v>72</v>
      </c>
      <c r="C869" s="4">
        <v>2</v>
      </c>
      <c r="D869" s="8">
        <v>1.54</v>
      </c>
      <c r="E869" s="4">
        <v>1</v>
      </c>
      <c r="F869" s="8">
        <v>1.1200000000000001</v>
      </c>
      <c r="G869" s="4">
        <v>1</v>
      </c>
      <c r="H869" s="8">
        <v>2.63</v>
      </c>
      <c r="I869" s="4">
        <v>0</v>
      </c>
    </row>
    <row r="870" spans="1:9" x14ac:dyDescent="0.2">
      <c r="A870" s="2">
        <v>12</v>
      </c>
      <c r="B870" s="1" t="s">
        <v>113</v>
      </c>
      <c r="C870" s="4">
        <v>2</v>
      </c>
      <c r="D870" s="8">
        <v>1.54</v>
      </c>
      <c r="E870" s="4">
        <v>2</v>
      </c>
      <c r="F870" s="8">
        <v>2.25</v>
      </c>
      <c r="G870" s="4">
        <v>0</v>
      </c>
      <c r="H870" s="8">
        <v>0</v>
      </c>
      <c r="I870" s="4">
        <v>0</v>
      </c>
    </row>
    <row r="871" spans="1:9" x14ac:dyDescent="0.2">
      <c r="A871" s="2">
        <v>12</v>
      </c>
      <c r="B871" s="1" t="s">
        <v>74</v>
      </c>
      <c r="C871" s="4">
        <v>2</v>
      </c>
      <c r="D871" s="8">
        <v>1.54</v>
      </c>
      <c r="E871" s="4">
        <v>2</v>
      </c>
      <c r="F871" s="8">
        <v>2.25</v>
      </c>
      <c r="G871" s="4">
        <v>0</v>
      </c>
      <c r="H871" s="8">
        <v>0</v>
      </c>
      <c r="I871" s="4">
        <v>0</v>
      </c>
    </row>
    <row r="872" spans="1:9" x14ac:dyDescent="0.2">
      <c r="A872" s="2">
        <v>12</v>
      </c>
      <c r="B872" s="1" t="s">
        <v>112</v>
      </c>
      <c r="C872" s="4">
        <v>2</v>
      </c>
      <c r="D872" s="8">
        <v>1.54</v>
      </c>
      <c r="E872" s="4">
        <v>1</v>
      </c>
      <c r="F872" s="8">
        <v>1.1200000000000001</v>
      </c>
      <c r="G872" s="4">
        <v>1</v>
      </c>
      <c r="H872" s="8">
        <v>2.63</v>
      </c>
      <c r="I872" s="4">
        <v>0</v>
      </c>
    </row>
    <row r="873" spans="1:9" x14ac:dyDescent="0.2">
      <c r="A873" s="2">
        <v>12</v>
      </c>
      <c r="B873" s="1" t="s">
        <v>109</v>
      </c>
      <c r="C873" s="4">
        <v>2</v>
      </c>
      <c r="D873" s="8">
        <v>1.54</v>
      </c>
      <c r="E873" s="4">
        <v>1</v>
      </c>
      <c r="F873" s="8">
        <v>1.1200000000000001</v>
      </c>
      <c r="G873" s="4">
        <v>0</v>
      </c>
      <c r="H873" s="8">
        <v>0</v>
      </c>
      <c r="I873" s="4">
        <v>0</v>
      </c>
    </row>
    <row r="874" spans="1:9" x14ac:dyDescent="0.2">
      <c r="A874" s="2">
        <v>12</v>
      </c>
      <c r="B874" s="1" t="s">
        <v>83</v>
      </c>
      <c r="C874" s="4">
        <v>2</v>
      </c>
      <c r="D874" s="8">
        <v>1.54</v>
      </c>
      <c r="E874" s="4">
        <v>0</v>
      </c>
      <c r="F874" s="8">
        <v>0</v>
      </c>
      <c r="G874" s="4">
        <v>1</v>
      </c>
      <c r="H874" s="8">
        <v>2.63</v>
      </c>
      <c r="I874" s="4">
        <v>0</v>
      </c>
    </row>
    <row r="875" spans="1:9" x14ac:dyDescent="0.2">
      <c r="A875" s="2">
        <v>12</v>
      </c>
      <c r="B875" s="1" t="s">
        <v>84</v>
      </c>
      <c r="C875" s="4">
        <v>2</v>
      </c>
      <c r="D875" s="8">
        <v>1.54</v>
      </c>
      <c r="E875" s="4">
        <v>2</v>
      </c>
      <c r="F875" s="8">
        <v>2.25</v>
      </c>
      <c r="G875" s="4">
        <v>0</v>
      </c>
      <c r="H875" s="8">
        <v>0</v>
      </c>
      <c r="I875" s="4">
        <v>0</v>
      </c>
    </row>
    <row r="876" spans="1:9" x14ac:dyDescent="0.2">
      <c r="A876" s="2">
        <v>12</v>
      </c>
      <c r="B876" s="1" t="s">
        <v>85</v>
      </c>
      <c r="C876" s="4">
        <v>2</v>
      </c>
      <c r="D876" s="8">
        <v>1.54</v>
      </c>
      <c r="E876" s="4">
        <v>2</v>
      </c>
      <c r="F876" s="8">
        <v>2.25</v>
      </c>
      <c r="G876" s="4">
        <v>0</v>
      </c>
      <c r="H876" s="8">
        <v>0</v>
      </c>
      <c r="I876" s="4">
        <v>0</v>
      </c>
    </row>
    <row r="877" spans="1:9" x14ac:dyDescent="0.2">
      <c r="A877" s="1"/>
      <c r="C877" s="4"/>
      <c r="D877" s="8"/>
      <c r="E877" s="4"/>
      <c r="F877" s="8"/>
      <c r="G877" s="4"/>
      <c r="H877" s="8"/>
      <c r="I877" s="4"/>
    </row>
    <row r="878" spans="1:9" x14ac:dyDescent="0.2">
      <c r="A878" s="1" t="s">
        <v>38</v>
      </c>
      <c r="C878" s="4"/>
      <c r="D878" s="8"/>
      <c r="E878" s="4"/>
      <c r="F878" s="8"/>
      <c r="G878" s="4"/>
      <c r="H878" s="8"/>
      <c r="I878" s="4"/>
    </row>
    <row r="879" spans="1:9" x14ac:dyDescent="0.2">
      <c r="A879" s="2">
        <v>1</v>
      </c>
      <c r="B879" s="1" t="s">
        <v>66</v>
      </c>
      <c r="C879" s="4">
        <v>25</v>
      </c>
      <c r="D879" s="8">
        <v>8.25</v>
      </c>
      <c r="E879" s="4">
        <v>15</v>
      </c>
      <c r="F879" s="8">
        <v>7.21</v>
      </c>
      <c r="G879" s="4">
        <v>10</v>
      </c>
      <c r="H879" s="8">
        <v>10.99</v>
      </c>
      <c r="I879" s="4">
        <v>0</v>
      </c>
    </row>
    <row r="880" spans="1:9" x14ac:dyDescent="0.2">
      <c r="A880" s="2">
        <v>2</v>
      </c>
      <c r="B880" s="1" t="s">
        <v>75</v>
      </c>
      <c r="C880" s="4">
        <v>24</v>
      </c>
      <c r="D880" s="8">
        <v>7.92</v>
      </c>
      <c r="E880" s="4">
        <v>18</v>
      </c>
      <c r="F880" s="8">
        <v>8.65</v>
      </c>
      <c r="G880" s="4">
        <v>6</v>
      </c>
      <c r="H880" s="8">
        <v>6.59</v>
      </c>
      <c r="I880" s="4">
        <v>0</v>
      </c>
    </row>
    <row r="881" spans="1:9" x14ac:dyDescent="0.2">
      <c r="A881" s="2">
        <v>3</v>
      </c>
      <c r="B881" s="1" t="s">
        <v>81</v>
      </c>
      <c r="C881" s="4">
        <v>23</v>
      </c>
      <c r="D881" s="8">
        <v>7.59</v>
      </c>
      <c r="E881" s="4">
        <v>21</v>
      </c>
      <c r="F881" s="8">
        <v>10.1</v>
      </c>
      <c r="G881" s="4">
        <v>2</v>
      </c>
      <c r="H881" s="8">
        <v>2.2000000000000002</v>
      </c>
      <c r="I881" s="4">
        <v>0</v>
      </c>
    </row>
    <row r="882" spans="1:9" x14ac:dyDescent="0.2">
      <c r="A882" s="2">
        <v>3</v>
      </c>
      <c r="B882" s="1" t="s">
        <v>82</v>
      </c>
      <c r="C882" s="4">
        <v>23</v>
      </c>
      <c r="D882" s="8">
        <v>7.59</v>
      </c>
      <c r="E882" s="4">
        <v>22</v>
      </c>
      <c r="F882" s="8">
        <v>10.58</v>
      </c>
      <c r="G882" s="4">
        <v>1</v>
      </c>
      <c r="H882" s="8">
        <v>1.1000000000000001</v>
      </c>
      <c r="I882" s="4">
        <v>0</v>
      </c>
    </row>
    <row r="883" spans="1:9" x14ac:dyDescent="0.2">
      <c r="A883" s="2">
        <v>5</v>
      </c>
      <c r="B883" s="1" t="s">
        <v>77</v>
      </c>
      <c r="C883" s="4">
        <v>22</v>
      </c>
      <c r="D883" s="8">
        <v>7.26</v>
      </c>
      <c r="E883" s="4">
        <v>15</v>
      </c>
      <c r="F883" s="8">
        <v>7.21</v>
      </c>
      <c r="G883" s="4">
        <v>7</v>
      </c>
      <c r="H883" s="8">
        <v>7.69</v>
      </c>
      <c r="I883" s="4">
        <v>0</v>
      </c>
    </row>
    <row r="884" spans="1:9" x14ac:dyDescent="0.2">
      <c r="A884" s="2">
        <v>6</v>
      </c>
      <c r="B884" s="1" t="s">
        <v>67</v>
      </c>
      <c r="C884" s="4">
        <v>16</v>
      </c>
      <c r="D884" s="8">
        <v>5.28</v>
      </c>
      <c r="E884" s="4">
        <v>15</v>
      </c>
      <c r="F884" s="8">
        <v>7.21</v>
      </c>
      <c r="G884" s="4">
        <v>1</v>
      </c>
      <c r="H884" s="8">
        <v>1.1000000000000001</v>
      </c>
      <c r="I884" s="4">
        <v>0</v>
      </c>
    </row>
    <row r="885" spans="1:9" x14ac:dyDescent="0.2">
      <c r="A885" s="2">
        <v>6</v>
      </c>
      <c r="B885" s="1" t="s">
        <v>68</v>
      </c>
      <c r="C885" s="4">
        <v>16</v>
      </c>
      <c r="D885" s="8">
        <v>5.28</v>
      </c>
      <c r="E885" s="4">
        <v>10</v>
      </c>
      <c r="F885" s="8">
        <v>4.8099999999999996</v>
      </c>
      <c r="G885" s="4">
        <v>6</v>
      </c>
      <c r="H885" s="8">
        <v>6.59</v>
      </c>
      <c r="I885" s="4">
        <v>0</v>
      </c>
    </row>
    <row r="886" spans="1:9" x14ac:dyDescent="0.2">
      <c r="A886" s="2">
        <v>8</v>
      </c>
      <c r="B886" s="1" t="s">
        <v>71</v>
      </c>
      <c r="C886" s="4">
        <v>15</v>
      </c>
      <c r="D886" s="8">
        <v>4.95</v>
      </c>
      <c r="E886" s="4">
        <v>10</v>
      </c>
      <c r="F886" s="8">
        <v>4.8099999999999996</v>
      </c>
      <c r="G886" s="4">
        <v>5</v>
      </c>
      <c r="H886" s="8">
        <v>5.49</v>
      </c>
      <c r="I886" s="4">
        <v>0</v>
      </c>
    </row>
    <row r="887" spans="1:9" x14ac:dyDescent="0.2">
      <c r="A887" s="2">
        <v>9</v>
      </c>
      <c r="B887" s="1" t="s">
        <v>91</v>
      </c>
      <c r="C887" s="4">
        <v>14</v>
      </c>
      <c r="D887" s="8">
        <v>4.62</v>
      </c>
      <c r="E887" s="4">
        <v>11</v>
      </c>
      <c r="F887" s="8">
        <v>5.29</v>
      </c>
      <c r="G887" s="4">
        <v>3</v>
      </c>
      <c r="H887" s="8">
        <v>3.3</v>
      </c>
      <c r="I887" s="4">
        <v>0</v>
      </c>
    </row>
    <row r="888" spans="1:9" x14ac:dyDescent="0.2">
      <c r="A888" s="2">
        <v>9</v>
      </c>
      <c r="B888" s="1" t="s">
        <v>76</v>
      </c>
      <c r="C888" s="4">
        <v>14</v>
      </c>
      <c r="D888" s="8">
        <v>4.62</v>
      </c>
      <c r="E888" s="4">
        <v>9</v>
      </c>
      <c r="F888" s="8">
        <v>4.33</v>
      </c>
      <c r="G888" s="4">
        <v>5</v>
      </c>
      <c r="H888" s="8">
        <v>5.49</v>
      </c>
      <c r="I888" s="4">
        <v>0</v>
      </c>
    </row>
    <row r="889" spans="1:9" x14ac:dyDescent="0.2">
      <c r="A889" s="2">
        <v>11</v>
      </c>
      <c r="B889" s="1" t="s">
        <v>74</v>
      </c>
      <c r="C889" s="4">
        <v>11</v>
      </c>
      <c r="D889" s="8">
        <v>3.63</v>
      </c>
      <c r="E889" s="4">
        <v>11</v>
      </c>
      <c r="F889" s="8">
        <v>5.29</v>
      </c>
      <c r="G889" s="4">
        <v>0</v>
      </c>
      <c r="H889" s="8">
        <v>0</v>
      </c>
      <c r="I889" s="4">
        <v>0</v>
      </c>
    </row>
    <row r="890" spans="1:9" x14ac:dyDescent="0.2">
      <c r="A890" s="2">
        <v>12</v>
      </c>
      <c r="B890" s="1" t="s">
        <v>83</v>
      </c>
      <c r="C890" s="4">
        <v>7</v>
      </c>
      <c r="D890" s="8">
        <v>2.31</v>
      </c>
      <c r="E890" s="4">
        <v>4</v>
      </c>
      <c r="F890" s="8">
        <v>1.92</v>
      </c>
      <c r="G890" s="4">
        <v>1</v>
      </c>
      <c r="H890" s="8">
        <v>1.1000000000000001</v>
      </c>
      <c r="I890" s="4">
        <v>0</v>
      </c>
    </row>
    <row r="891" spans="1:9" x14ac:dyDescent="0.2">
      <c r="A891" s="2">
        <v>13</v>
      </c>
      <c r="B891" s="1" t="s">
        <v>72</v>
      </c>
      <c r="C891" s="4">
        <v>6</v>
      </c>
      <c r="D891" s="8">
        <v>1.98</v>
      </c>
      <c r="E891" s="4">
        <v>3</v>
      </c>
      <c r="F891" s="8">
        <v>1.44</v>
      </c>
      <c r="G891" s="4">
        <v>3</v>
      </c>
      <c r="H891" s="8">
        <v>3.3</v>
      </c>
      <c r="I891" s="4">
        <v>0</v>
      </c>
    </row>
    <row r="892" spans="1:9" x14ac:dyDescent="0.2">
      <c r="A892" s="2">
        <v>13</v>
      </c>
      <c r="B892" s="1" t="s">
        <v>97</v>
      </c>
      <c r="C892" s="4">
        <v>6</v>
      </c>
      <c r="D892" s="8">
        <v>1.98</v>
      </c>
      <c r="E892" s="4">
        <v>0</v>
      </c>
      <c r="F892" s="8">
        <v>0</v>
      </c>
      <c r="G892" s="4">
        <v>5</v>
      </c>
      <c r="H892" s="8">
        <v>5.49</v>
      </c>
      <c r="I892" s="4">
        <v>0</v>
      </c>
    </row>
    <row r="893" spans="1:9" x14ac:dyDescent="0.2">
      <c r="A893" s="2">
        <v>15</v>
      </c>
      <c r="B893" s="1" t="s">
        <v>69</v>
      </c>
      <c r="C893" s="4">
        <v>5</v>
      </c>
      <c r="D893" s="8">
        <v>1.65</v>
      </c>
      <c r="E893" s="4">
        <v>3</v>
      </c>
      <c r="F893" s="8">
        <v>1.44</v>
      </c>
      <c r="G893" s="4">
        <v>2</v>
      </c>
      <c r="H893" s="8">
        <v>2.2000000000000002</v>
      </c>
      <c r="I893" s="4">
        <v>0</v>
      </c>
    </row>
    <row r="894" spans="1:9" x14ac:dyDescent="0.2">
      <c r="A894" s="2">
        <v>15</v>
      </c>
      <c r="B894" s="1" t="s">
        <v>98</v>
      </c>
      <c r="C894" s="4">
        <v>5</v>
      </c>
      <c r="D894" s="8">
        <v>1.65</v>
      </c>
      <c r="E894" s="4">
        <v>1</v>
      </c>
      <c r="F894" s="8">
        <v>0.48</v>
      </c>
      <c r="G894" s="4">
        <v>4</v>
      </c>
      <c r="H894" s="8">
        <v>4.4000000000000004</v>
      </c>
      <c r="I894" s="4">
        <v>0</v>
      </c>
    </row>
    <row r="895" spans="1:9" x14ac:dyDescent="0.2">
      <c r="A895" s="2">
        <v>15</v>
      </c>
      <c r="B895" s="1" t="s">
        <v>78</v>
      </c>
      <c r="C895" s="4">
        <v>5</v>
      </c>
      <c r="D895" s="8">
        <v>1.65</v>
      </c>
      <c r="E895" s="4">
        <v>1</v>
      </c>
      <c r="F895" s="8">
        <v>0.48</v>
      </c>
      <c r="G895" s="4">
        <v>4</v>
      </c>
      <c r="H895" s="8">
        <v>4.4000000000000004</v>
      </c>
      <c r="I895" s="4">
        <v>0</v>
      </c>
    </row>
    <row r="896" spans="1:9" x14ac:dyDescent="0.2">
      <c r="A896" s="2">
        <v>15</v>
      </c>
      <c r="B896" s="1" t="s">
        <v>79</v>
      </c>
      <c r="C896" s="4">
        <v>5</v>
      </c>
      <c r="D896" s="8">
        <v>1.65</v>
      </c>
      <c r="E896" s="4">
        <v>5</v>
      </c>
      <c r="F896" s="8">
        <v>2.4</v>
      </c>
      <c r="G896" s="4">
        <v>0</v>
      </c>
      <c r="H896" s="8">
        <v>0</v>
      </c>
      <c r="I896" s="4">
        <v>0</v>
      </c>
    </row>
    <row r="897" spans="1:9" x14ac:dyDescent="0.2">
      <c r="A897" s="2">
        <v>15</v>
      </c>
      <c r="B897" s="1" t="s">
        <v>84</v>
      </c>
      <c r="C897" s="4">
        <v>5</v>
      </c>
      <c r="D897" s="8">
        <v>1.65</v>
      </c>
      <c r="E897" s="4">
        <v>5</v>
      </c>
      <c r="F897" s="8">
        <v>2.4</v>
      </c>
      <c r="G897" s="4">
        <v>0</v>
      </c>
      <c r="H897" s="8">
        <v>0</v>
      </c>
      <c r="I897" s="4">
        <v>0</v>
      </c>
    </row>
    <row r="898" spans="1:9" x14ac:dyDescent="0.2">
      <c r="A898" s="2">
        <v>20</v>
      </c>
      <c r="B898" s="1" t="s">
        <v>92</v>
      </c>
      <c r="C898" s="4">
        <v>4</v>
      </c>
      <c r="D898" s="8">
        <v>1.32</v>
      </c>
      <c r="E898" s="4">
        <v>2</v>
      </c>
      <c r="F898" s="8">
        <v>0.96</v>
      </c>
      <c r="G898" s="4">
        <v>2</v>
      </c>
      <c r="H898" s="8">
        <v>2.2000000000000002</v>
      </c>
      <c r="I898" s="4">
        <v>0</v>
      </c>
    </row>
    <row r="899" spans="1:9" x14ac:dyDescent="0.2">
      <c r="A899" s="2">
        <v>20</v>
      </c>
      <c r="B899" s="1" t="s">
        <v>93</v>
      </c>
      <c r="C899" s="4">
        <v>4</v>
      </c>
      <c r="D899" s="8">
        <v>1.32</v>
      </c>
      <c r="E899" s="4">
        <v>4</v>
      </c>
      <c r="F899" s="8">
        <v>1.92</v>
      </c>
      <c r="G899" s="4">
        <v>0</v>
      </c>
      <c r="H899" s="8">
        <v>0</v>
      </c>
      <c r="I899" s="4">
        <v>0</v>
      </c>
    </row>
    <row r="900" spans="1:9" x14ac:dyDescent="0.2">
      <c r="A900" s="1"/>
      <c r="C900" s="4"/>
      <c r="D900" s="8"/>
      <c r="E900" s="4"/>
      <c r="F900" s="8"/>
      <c r="G900" s="4"/>
      <c r="H900" s="8"/>
      <c r="I900" s="4"/>
    </row>
    <row r="901" spans="1:9" x14ac:dyDescent="0.2">
      <c r="A901" s="1" t="s">
        <v>39</v>
      </c>
      <c r="C901" s="4"/>
      <c r="D901" s="8"/>
      <c r="E901" s="4"/>
      <c r="F901" s="8"/>
      <c r="G901" s="4"/>
      <c r="H901" s="8"/>
      <c r="I901" s="4"/>
    </row>
    <row r="902" spans="1:9" x14ac:dyDescent="0.2">
      <c r="A902" s="2">
        <v>1</v>
      </c>
      <c r="B902" s="1" t="s">
        <v>66</v>
      </c>
      <c r="C902" s="4">
        <v>54</v>
      </c>
      <c r="D902" s="8">
        <v>16.93</v>
      </c>
      <c r="E902" s="4">
        <v>17</v>
      </c>
      <c r="F902" s="8">
        <v>8.9</v>
      </c>
      <c r="G902" s="4">
        <v>37</v>
      </c>
      <c r="H902" s="8">
        <v>29.37</v>
      </c>
      <c r="I902" s="4">
        <v>0</v>
      </c>
    </row>
    <row r="903" spans="1:9" x14ac:dyDescent="0.2">
      <c r="A903" s="2">
        <v>2</v>
      </c>
      <c r="B903" s="1" t="s">
        <v>67</v>
      </c>
      <c r="C903" s="4">
        <v>34</v>
      </c>
      <c r="D903" s="8">
        <v>10.66</v>
      </c>
      <c r="E903" s="4">
        <v>26</v>
      </c>
      <c r="F903" s="8">
        <v>13.61</v>
      </c>
      <c r="G903" s="4">
        <v>8</v>
      </c>
      <c r="H903" s="8">
        <v>6.35</v>
      </c>
      <c r="I903" s="4">
        <v>0</v>
      </c>
    </row>
    <row r="904" spans="1:9" x14ac:dyDescent="0.2">
      <c r="A904" s="2">
        <v>3</v>
      </c>
      <c r="B904" s="1" t="s">
        <v>82</v>
      </c>
      <c r="C904" s="4">
        <v>30</v>
      </c>
      <c r="D904" s="8">
        <v>9.4</v>
      </c>
      <c r="E904" s="4">
        <v>30</v>
      </c>
      <c r="F904" s="8">
        <v>15.71</v>
      </c>
      <c r="G904" s="4">
        <v>0</v>
      </c>
      <c r="H904" s="8">
        <v>0</v>
      </c>
      <c r="I904" s="4">
        <v>0</v>
      </c>
    </row>
    <row r="905" spans="1:9" x14ac:dyDescent="0.2">
      <c r="A905" s="2">
        <v>4</v>
      </c>
      <c r="B905" s="1" t="s">
        <v>81</v>
      </c>
      <c r="C905" s="4">
        <v>22</v>
      </c>
      <c r="D905" s="8">
        <v>6.9</v>
      </c>
      <c r="E905" s="4">
        <v>20</v>
      </c>
      <c r="F905" s="8">
        <v>10.47</v>
      </c>
      <c r="G905" s="4">
        <v>2</v>
      </c>
      <c r="H905" s="8">
        <v>1.59</v>
      </c>
      <c r="I905" s="4">
        <v>0</v>
      </c>
    </row>
    <row r="906" spans="1:9" x14ac:dyDescent="0.2">
      <c r="A906" s="2">
        <v>5</v>
      </c>
      <c r="B906" s="1" t="s">
        <v>77</v>
      </c>
      <c r="C906" s="4">
        <v>21</v>
      </c>
      <c r="D906" s="8">
        <v>6.58</v>
      </c>
      <c r="E906" s="4">
        <v>18</v>
      </c>
      <c r="F906" s="8">
        <v>9.42</v>
      </c>
      <c r="G906" s="4">
        <v>3</v>
      </c>
      <c r="H906" s="8">
        <v>2.38</v>
      </c>
      <c r="I906" s="4">
        <v>0</v>
      </c>
    </row>
    <row r="907" spans="1:9" x14ac:dyDescent="0.2">
      <c r="A907" s="2">
        <v>6</v>
      </c>
      <c r="B907" s="1" t="s">
        <v>68</v>
      </c>
      <c r="C907" s="4">
        <v>18</v>
      </c>
      <c r="D907" s="8">
        <v>5.64</v>
      </c>
      <c r="E907" s="4">
        <v>9</v>
      </c>
      <c r="F907" s="8">
        <v>4.71</v>
      </c>
      <c r="G907" s="4">
        <v>9</v>
      </c>
      <c r="H907" s="8">
        <v>7.14</v>
      </c>
      <c r="I907" s="4">
        <v>0</v>
      </c>
    </row>
    <row r="908" spans="1:9" x14ac:dyDescent="0.2">
      <c r="A908" s="2">
        <v>7</v>
      </c>
      <c r="B908" s="1" t="s">
        <v>75</v>
      </c>
      <c r="C908" s="4">
        <v>17</v>
      </c>
      <c r="D908" s="8">
        <v>5.33</v>
      </c>
      <c r="E908" s="4">
        <v>14</v>
      </c>
      <c r="F908" s="8">
        <v>7.33</v>
      </c>
      <c r="G908" s="4">
        <v>3</v>
      </c>
      <c r="H908" s="8">
        <v>2.38</v>
      </c>
      <c r="I908" s="4">
        <v>0</v>
      </c>
    </row>
    <row r="909" spans="1:9" x14ac:dyDescent="0.2">
      <c r="A909" s="2">
        <v>8</v>
      </c>
      <c r="B909" s="1" t="s">
        <v>93</v>
      </c>
      <c r="C909" s="4">
        <v>15</v>
      </c>
      <c r="D909" s="8">
        <v>4.7</v>
      </c>
      <c r="E909" s="4">
        <v>12</v>
      </c>
      <c r="F909" s="8">
        <v>6.28</v>
      </c>
      <c r="G909" s="4">
        <v>3</v>
      </c>
      <c r="H909" s="8">
        <v>2.38</v>
      </c>
      <c r="I909" s="4">
        <v>0</v>
      </c>
    </row>
    <row r="910" spans="1:9" x14ac:dyDescent="0.2">
      <c r="A910" s="2">
        <v>9</v>
      </c>
      <c r="B910" s="1" t="s">
        <v>76</v>
      </c>
      <c r="C910" s="4">
        <v>11</v>
      </c>
      <c r="D910" s="8">
        <v>3.45</v>
      </c>
      <c r="E910" s="4">
        <v>3</v>
      </c>
      <c r="F910" s="8">
        <v>1.57</v>
      </c>
      <c r="G910" s="4">
        <v>8</v>
      </c>
      <c r="H910" s="8">
        <v>6.35</v>
      </c>
      <c r="I910" s="4">
        <v>0</v>
      </c>
    </row>
    <row r="911" spans="1:9" x14ac:dyDescent="0.2">
      <c r="A911" s="2">
        <v>10</v>
      </c>
      <c r="B911" s="1" t="s">
        <v>92</v>
      </c>
      <c r="C911" s="4">
        <v>9</v>
      </c>
      <c r="D911" s="8">
        <v>2.82</v>
      </c>
      <c r="E911" s="4">
        <v>4</v>
      </c>
      <c r="F911" s="8">
        <v>2.09</v>
      </c>
      <c r="G911" s="4">
        <v>5</v>
      </c>
      <c r="H911" s="8">
        <v>3.97</v>
      </c>
      <c r="I911" s="4">
        <v>0</v>
      </c>
    </row>
    <row r="912" spans="1:9" x14ac:dyDescent="0.2">
      <c r="A912" s="2">
        <v>11</v>
      </c>
      <c r="B912" s="1" t="s">
        <v>91</v>
      </c>
      <c r="C912" s="4">
        <v>6</v>
      </c>
      <c r="D912" s="8">
        <v>1.88</v>
      </c>
      <c r="E912" s="4">
        <v>2</v>
      </c>
      <c r="F912" s="8">
        <v>1.05</v>
      </c>
      <c r="G912" s="4">
        <v>3</v>
      </c>
      <c r="H912" s="8">
        <v>2.38</v>
      </c>
      <c r="I912" s="4">
        <v>1</v>
      </c>
    </row>
    <row r="913" spans="1:9" x14ac:dyDescent="0.2">
      <c r="A913" s="2">
        <v>11</v>
      </c>
      <c r="B913" s="1" t="s">
        <v>78</v>
      </c>
      <c r="C913" s="4">
        <v>6</v>
      </c>
      <c r="D913" s="8">
        <v>1.88</v>
      </c>
      <c r="E913" s="4">
        <v>0</v>
      </c>
      <c r="F913" s="8">
        <v>0</v>
      </c>
      <c r="G913" s="4">
        <v>6</v>
      </c>
      <c r="H913" s="8">
        <v>4.76</v>
      </c>
      <c r="I913" s="4">
        <v>0</v>
      </c>
    </row>
    <row r="914" spans="1:9" x14ac:dyDescent="0.2">
      <c r="A914" s="2">
        <v>13</v>
      </c>
      <c r="B914" s="1" t="s">
        <v>107</v>
      </c>
      <c r="C914" s="4">
        <v>5</v>
      </c>
      <c r="D914" s="8">
        <v>1.57</v>
      </c>
      <c r="E914" s="4">
        <v>0</v>
      </c>
      <c r="F914" s="8">
        <v>0</v>
      </c>
      <c r="G914" s="4">
        <v>5</v>
      </c>
      <c r="H914" s="8">
        <v>3.97</v>
      </c>
      <c r="I914" s="4">
        <v>0</v>
      </c>
    </row>
    <row r="915" spans="1:9" x14ac:dyDescent="0.2">
      <c r="A915" s="2">
        <v>13</v>
      </c>
      <c r="B915" s="1" t="s">
        <v>111</v>
      </c>
      <c r="C915" s="4">
        <v>5</v>
      </c>
      <c r="D915" s="8">
        <v>1.57</v>
      </c>
      <c r="E915" s="4">
        <v>3</v>
      </c>
      <c r="F915" s="8">
        <v>1.57</v>
      </c>
      <c r="G915" s="4">
        <v>2</v>
      </c>
      <c r="H915" s="8">
        <v>1.59</v>
      </c>
      <c r="I915" s="4">
        <v>0</v>
      </c>
    </row>
    <row r="916" spans="1:9" x14ac:dyDescent="0.2">
      <c r="A916" s="2">
        <v>13</v>
      </c>
      <c r="B916" s="1" t="s">
        <v>83</v>
      </c>
      <c r="C916" s="4">
        <v>5</v>
      </c>
      <c r="D916" s="8">
        <v>1.57</v>
      </c>
      <c r="E916" s="4">
        <v>3</v>
      </c>
      <c r="F916" s="8">
        <v>1.57</v>
      </c>
      <c r="G916" s="4">
        <v>2</v>
      </c>
      <c r="H916" s="8">
        <v>1.59</v>
      </c>
      <c r="I916" s="4">
        <v>0</v>
      </c>
    </row>
    <row r="917" spans="1:9" x14ac:dyDescent="0.2">
      <c r="A917" s="2">
        <v>16</v>
      </c>
      <c r="B917" s="1" t="s">
        <v>95</v>
      </c>
      <c r="C917" s="4">
        <v>4</v>
      </c>
      <c r="D917" s="8">
        <v>1.25</v>
      </c>
      <c r="E917" s="4">
        <v>3</v>
      </c>
      <c r="F917" s="8">
        <v>1.57</v>
      </c>
      <c r="G917" s="4">
        <v>1</v>
      </c>
      <c r="H917" s="8">
        <v>0.79</v>
      </c>
      <c r="I917" s="4">
        <v>0</v>
      </c>
    </row>
    <row r="918" spans="1:9" x14ac:dyDescent="0.2">
      <c r="A918" s="2">
        <v>16</v>
      </c>
      <c r="B918" s="1" t="s">
        <v>84</v>
      </c>
      <c r="C918" s="4">
        <v>4</v>
      </c>
      <c r="D918" s="8">
        <v>1.25</v>
      </c>
      <c r="E918" s="4">
        <v>4</v>
      </c>
      <c r="F918" s="8">
        <v>2.09</v>
      </c>
      <c r="G918" s="4">
        <v>0</v>
      </c>
      <c r="H918" s="8">
        <v>0</v>
      </c>
      <c r="I918" s="4">
        <v>0</v>
      </c>
    </row>
    <row r="919" spans="1:9" x14ac:dyDescent="0.2">
      <c r="A919" s="2">
        <v>18</v>
      </c>
      <c r="B919" s="1" t="s">
        <v>71</v>
      </c>
      <c r="C919" s="4">
        <v>3</v>
      </c>
      <c r="D919" s="8">
        <v>0.94</v>
      </c>
      <c r="E919" s="4">
        <v>1</v>
      </c>
      <c r="F919" s="8">
        <v>0.52</v>
      </c>
      <c r="G919" s="4">
        <v>2</v>
      </c>
      <c r="H919" s="8">
        <v>1.59</v>
      </c>
      <c r="I919" s="4">
        <v>0</v>
      </c>
    </row>
    <row r="920" spans="1:9" x14ac:dyDescent="0.2">
      <c r="A920" s="2">
        <v>18</v>
      </c>
      <c r="B920" s="1" t="s">
        <v>94</v>
      </c>
      <c r="C920" s="4">
        <v>3</v>
      </c>
      <c r="D920" s="8">
        <v>0.94</v>
      </c>
      <c r="E920" s="4">
        <v>1</v>
      </c>
      <c r="F920" s="8">
        <v>0.52</v>
      </c>
      <c r="G920" s="4">
        <v>2</v>
      </c>
      <c r="H920" s="8">
        <v>1.59</v>
      </c>
      <c r="I920" s="4">
        <v>0</v>
      </c>
    </row>
    <row r="921" spans="1:9" x14ac:dyDescent="0.2">
      <c r="A921" s="2">
        <v>18</v>
      </c>
      <c r="B921" s="1" t="s">
        <v>114</v>
      </c>
      <c r="C921" s="4">
        <v>3</v>
      </c>
      <c r="D921" s="8">
        <v>0.94</v>
      </c>
      <c r="E921" s="4">
        <v>0</v>
      </c>
      <c r="F921" s="8">
        <v>0</v>
      </c>
      <c r="G921" s="4">
        <v>3</v>
      </c>
      <c r="H921" s="8">
        <v>2.38</v>
      </c>
      <c r="I921" s="4">
        <v>0</v>
      </c>
    </row>
    <row r="922" spans="1:9" x14ac:dyDescent="0.2">
      <c r="A922" s="2">
        <v>18</v>
      </c>
      <c r="B922" s="1" t="s">
        <v>79</v>
      </c>
      <c r="C922" s="4">
        <v>3</v>
      </c>
      <c r="D922" s="8">
        <v>0.94</v>
      </c>
      <c r="E922" s="4">
        <v>3</v>
      </c>
      <c r="F922" s="8">
        <v>1.57</v>
      </c>
      <c r="G922" s="4">
        <v>0</v>
      </c>
      <c r="H922" s="8">
        <v>0</v>
      </c>
      <c r="I922" s="4">
        <v>0</v>
      </c>
    </row>
    <row r="923" spans="1:9" x14ac:dyDescent="0.2">
      <c r="A923" s="2">
        <v>18</v>
      </c>
      <c r="B923" s="1" t="s">
        <v>109</v>
      </c>
      <c r="C923" s="4">
        <v>3</v>
      </c>
      <c r="D923" s="8">
        <v>0.94</v>
      </c>
      <c r="E923" s="4">
        <v>0</v>
      </c>
      <c r="F923" s="8">
        <v>0</v>
      </c>
      <c r="G923" s="4">
        <v>3</v>
      </c>
      <c r="H923" s="8">
        <v>2.38</v>
      </c>
      <c r="I923" s="4">
        <v>0</v>
      </c>
    </row>
    <row r="924" spans="1:9" x14ac:dyDescent="0.2">
      <c r="A924" s="2">
        <v>18</v>
      </c>
      <c r="B924" s="1" t="s">
        <v>85</v>
      </c>
      <c r="C924" s="4">
        <v>3</v>
      </c>
      <c r="D924" s="8">
        <v>0.94</v>
      </c>
      <c r="E924" s="4">
        <v>2</v>
      </c>
      <c r="F924" s="8">
        <v>1.05</v>
      </c>
      <c r="G924" s="4">
        <v>1</v>
      </c>
      <c r="H924" s="8">
        <v>0.79</v>
      </c>
      <c r="I924" s="4">
        <v>0</v>
      </c>
    </row>
    <row r="925" spans="1:9" x14ac:dyDescent="0.2">
      <c r="A925" s="2">
        <v>18</v>
      </c>
      <c r="B925" s="1" t="s">
        <v>106</v>
      </c>
      <c r="C925" s="4">
        <v>3</v>
      </c>
      <c r="D925" s="8">
        <v>0.94</v>
      </c>
      <c r="E925" s="4">
        <v>3</v>
      </c>
      <c r="F925" s="8">
        <v>1.57</v>
      </c>
      <c r="G925" s="4">
        <v>0</v>
      </c>
      <c r="H925" s="8">
        <v>0</v>
      </c>
      <c r="I925" s="4">
        <v>0</v>
      </c>
    </row>
    <row r="926" spans="1:9" x14ac:dyDescent="0.2">
      <c r="A926" s="1"/>
      <c r="C926" s="4"/>
      <c r="D926" s="8"/>
      <c r="E926" s="4"/>
      <c r="F926" s="8"/>
      <c r="G926" s="4"/>
      <c r="H926" s="8"/>
      <c r="I926" s="4"/>
    </row>
    <row r="927" spans="1:9" x14ac:dyDescent="0.2">
      <c r="A927" s="1" t="s">
        <v>40</v>
      </c>
      <c r="C927" s="4"/>
      <c r="D927" s="8"/>
      <c r="E927" s="4"/>
      <c r="F927" s="8"/>
      <c r="G927" s="4"/>
      <c r="H927" s="8"/>
      <c r="I927" s="4"/>
    </row>
    <row r="928" spans="1:9" x14ac:dyDescent="0.2">
      <c r="A928" s="2">
        <v>1</v>
      </c>
      <c r="B928" s="1" t="s">
        <v>66</v>
      </c>
      <c r="C928" s="4">
        <v>20</v>
      </c>
      <c r="D928" s="8">
        <v>17.39</v>
      </c>
      <c r="E928" s="4">
        <v>11</v>
      </c>
      <c r="F928" s="8">
        <v>14.67</v>
      </c>
      <c r="G928" s="4">
        <v>9</v>
      </c>
      <c r="H928" s="8">
        <v>23.68</v>
      </c>
      <c r="I928" s="4">
        <v>0</v>
      </c>
    </row>
    <row r="929" spans="1:9" x14ac:dyDescent="0.2">
      <c r="A929" s="2">
        <v>2</v>
      </c>
      <c r="B929" s="1" t="s">
        <v>67</v>
      </c>
      <c r="C929" s="4">
        <v>15</v>
      </c>
      <c r="D929" s="8">
        <v>13.04</v>
      </c>
      <c r="E929" s="4">
        <v>13</v>
      </c>
      <c r="F929" s="8">
        <v>17.329999999999998</v>
      </c>
      <c r="G929" s="4">
        <v>2</v>
      </c>
      <c r="H929" s="8">
        <v>5.26</v>
      </c>
      <c r="I929" s="4">
        <v>0</v>
      </c>
    </row>
    <row r="930" spans="1:9" x14ac:dyDescent="0.2">
      <c r="A930" s="2">
        <v>3</v>
      </c>
      <c r="B930" s="1" t="s">
        <v>82</v>
      </c>
      <c r="C930" s="4">
        <v>11</v>
      </c>
      <c r="D930" s="8">
        <v>9.57</v>
      </c>
      <c r="E930" s="4">
        <v>10</v>
      </c>
      <c r="F930" s="8">
        <v>13.33</v>
      </c>
      <c r="G930" s="4">
        <v>1</v>
      </c>
      <c r="H930" s="8">
        <v>2.63</v>
      </c>
      <c r="I930" s="4">
        <v>0</v>
      </c>
    </row>
    <row r="931" spans="1:9" x14ac:dyDescent="0.2">
      <c r="A931" s="2">
        <v>4</v>
      </c>
      <c r="B931" s="1" t="s">
        <v>75</v>
      </c>
      <c r="C931" s="4">
        <v>10</v>
      </c>
      <c r="D931" s="8">
        <v>8.6999999999999993</v>
      </c>
      <c r="E931" s="4">
        <v>9</v>
      </c>
      <c r="F931" s="8">
        <v>12</v>
      </c>
      <c r="G931" s="4">
        <v>1</v>
      </c>
      <c r="H931" s="8">
        <v>2.63</v>
      </c>
      <c r="I931" s="4">
        <v>0</v>
      </c>
    </row>
    <row r="932" spans="1:9" x14ac:dyDescent="0.2">
      <c r="A932" s="2">
        <v>5</v>
      </c>
      <c r="B932" s="1" t="s">
        <v>92</v>
      </c>
      <c r="C932" s="4">
        <v>9</v>
      </c>
      <c r="D932" s="8">
        <v>7.83</v>
      </c>
      <c r="E932" s="4">
        <v>3</v>
      </c>
      <c r="F932" s="8">
        <v>4</v>
      </c>
      <c r="G932" s="4">
        <v>6</v>
      </c>
      <c r="H932" s="8">
        <v>15.79</v>
      </c>
      <c r="I932" s="4">
        <v>0</v>
      </c>
    </row>
    <row r="933" spans="1:9" x14ac:dyDescent="0.2">
      <c r="A933" s="2">
        <v>6</v>
      </c>
      <c r="B933" s="1" t="s">
        <v>107</v>
      </c>
      <c r="C933" s="4">
        <v>5</v>
      </c>
      <c r="D933" s="8">
        <v>4.3499999999999996</v>
      </c>
      <c r="E933" s="4">
        <v>3</v>
      </c>
      <c r="F933" s="8">
        <v>4</v>
      </c>
      <c r="G933" s="4">
        <v>2</v>
      </c>
      <c r="H933" s="8">
        <v>5.26</v>
      </c>
      <c r="I933" s="4">
        <v>0</v>
      </c>
    </row>
    <row r="934" spans="1:9" x14ac:dyDescent="0.2">
      <c r="A934" s="2">
        <v>6</v>
      </c>
      <c r="B934" s="1" t="s">
        <v>77</v>
      </c>
      <c r="C934" s="4">
        <v>5</v>
      </c>
      <c r="D934" s="8">
        <v>4.3499999999999996</v>
      </c>
      <c r="E934" s="4">
        <v>4</v>
      </c>
      <c r="F934" s="8">
        <v>5.33</v>
      </c>
      <c r="G934" s="4">
        <v>1</v>
      </c>
      <c r="H934" s="8">
        <v>2.63</v>
      </c>
      <c r="I934" s="4">
        <v>0</v>
      </c>
    </row>
    <row r="935" spans="1:9" x14ac:dyDescent="0.2">
      <c r="A935" s="2">
        <v>8</v>
      </c>
      <c r="B935" s="1" t="s">
        <v>81</v>
      </c>
      <c r="C935" s="4">
        <v>4</v>
      </c>
      <c r="D935" s="8">
        <v>3.48</v>
      </c>
      <c r="E935" s="4">
        <v>3</v>
      </c>
      <c r="F935" s="8">
        <v>4</v>
      </c>
      <c r="G935" s="4">
        <v>0</v>
      </c>
      <c r="H935" s="8">
        <v>0</v>
      </c>
      <c r="I935" s="4">
        <v>1</v>
      </c>
    </row>
    <row r="936" spans="1:9" x14ac:dyDescent="0.2">
      <c r="A936" s="2">
        <v>9</v>
      </c>
      <c r="B936" s="1" t="s">
        <v>68</v>
      </c>
      <c r="C936" s="4">
        <v>3</v>
      </c>
      <c r="D936" s="8">
        <v>2.61</v>
      </c>
      <c r="E936" s="4">
        <v>1</v>
      </c>
      <c r="F936" s="8">
        <v>1.33</v>
      </c>
      <c r="G936" s="4">
        <v>2</v>
      </c>
      <c r="H936" s="8">
        <v>5.26</v>
      </c>
      <c r="I936" s="4">
        <v>0</v>
      </c>
    </row>
    <row r="937" spans="1:9" x14ac:dyDescent="0.2">
      <c r="A937" s="2">
        <v>9</v>
      </c>
      <c r="B937" s="1" t="s">
        <v>91</v>
      </c>
      <c r="C937" s="4">
        <v>3</v>
      </c>
      <c r="D937" s="8">
        <v>2.61</v>
      </c>
      <c r="E937" s="4">
        <v>2</v>
      </c>
      <c r="F937" s="8">
        <v>2.67</v>
      </c>
      <c r="G937" s="4">
        <v>1</v>
      </c>
      <c r="H937" s="8">
        <v>2.63</v>
      </c>
      <c r="I937" s="4">
        <v>0</v>
      </c>
    </row>
    <row r="938" spans="1:9" x14ac:dyDescent="0.2">
      <c r="A938" s="2">
        <v>9</v>
      </c>
      <c r="B938" s="1" t="s">
        <v>76</v>
      </c>
      <c r="C938" s="4">
        <v>3</v>
      </c>
      <c r="D938" s="8">
        <v>2.61</v>
      </c>
      <c r="E938" s="4">
        <v>3</v>
      </c>
      <c r="F938" s="8">
        <v>4</v>
      </c>
      <c r="G938" s="4">
        <v>0</v>
      </c>
      <c r="H938" s="8">
        <v>0</v>
      </c>
      <c r="I938" s="4">
        <v>0</v>
      </c>
    </row>
    <row r="939" spans="1:9" x14ac:dyDescent="0.2">
      <c r="A939" s="2">
        <v>9</v>
      </c>
      <c r="B939" s="1" t="s">
        <v>79</v>
      </c>
      <c r="C939" s="4">
        <v>3</v>
      </c>
      <c r="D939" s="8">
        <v>2.61</v>
      </c>
      <c r="E939" s="4">
        <v>1</v>
      </c>
      <c r="F939" s="8">
        <v>1.33</v>
      </c>
      <c r="G939" s="4">
        <v>2</v>
      </c>
      <c r="H939" s="8">
        <v>5.26</v>
      </c>
      <c r="I939" s="4">
        <v>0</v>
      </c>
    </row>
    <row r="940" spans="1:9" x14ac:dyDescent="0.2">
      <c r="A940" s="2">
        <v>13</v>
      </c>
      <c r="B940" s="1" t="s">
        <v>93</v>
      </c>
      <c r="C940" s="4">
        <v>2</v>
      </c>
      <c r="D940" s="8">
        <v>1.74</v>
      </c>
      <c r="E940" s="4">
        <v>2</v>
      </c>
      <c r="F940" s="8">
        <v>2.67</v>
      </c>
      <c r="G940" s="4">
        <v>0</v>
      </c>
      <c r="H940" s="8">
        <v>0</v>
      </c>
      <c r="I940" s="4">
        <v>0</v>
      </c>
    </row>
    <row r="941" spans="1:9" x14ac:dyDescent="0.2">
      <c r="A941" s="2">
        <v>13</v>
      </c>
      <c r="B941" s="1" t="s">
        <v>71</v>
      </c>
      <c r="C941" s="4">
        <v>2</v>
      </c>
      <c r="D941" s="8">
        <v>1.74</v>
      </c>
      <c r="E941" s="4">
        <v>0</v>
      </c>
      <c r="F941" s="8">
        <v>0</v>
      </c>
      <c r="G941" s="4">
        <v>2</v>
      </c>
      <c r="H941" s="8">
        <v>5.26</v>
      </c>
      <c r="I941" s="4">
        <v>0</v>
      </c>
    </row>
    <row r="942" spans="1:9" x14ac:dyDescent="0.2">
      <c r="A942" s="2">
        <v>13</v>
      </c>
      <c r="B942" s="1" t="s">
        <v>94</v>
      </c>
      <c r="C942" s="4">
        <v>2</v>
      </c>
      <c r="D942" s="8">
        <v>1.74</v>
      </c>
      <c r="E942" s="4">
        <v>2</v>
      </c>
      <c r="F942" s="8">
        <v>2.67</v>
      </c>
      <c r="G942" s="4">
        <v>0</v>
      </c>
      <c r="H942" s="8">
        <v>0</v>
      </c>
      <c r="I942" s="4">
        <v>0</v>
      </c>
    </row>
    <row r="943" spans="1:9" x14ac:dyDescent="0.2">
      <c r="A943" s="2">
        <v>13</v>
      </c>
      <c r="B943" s="1" t="s">
        <v>115</v>
      </c>
      <c r="C943" s="4">
        <v>2</v>
      </c>
      <c r="D943" s="8">
        <v>1.74</v>
      </c>
      <c r="E943" s="4">
        <v>0</v>
      </c>
      <c r="F943" s="8">
        <v>0</v>
      </c>
      <c r="G943" s="4">
        <v>2</v>
      </c>
      <c r="H943" s="8">
        <v>5.26</v>
      </c>
      <c r="I943" s="4">
        <v>0</v>
      </c>
    </row>
    <row r="944" spans="1:9" x14ac:dyDescent="0.2">
      <c r="A944" s="2">
        <v>13</v>
      </c>
      <c r="B944" s="1" t="s">
        <v>89</v>
      </c>
      <c r="C944" s="4">
        <v>2</v>
      </c>
      <c r="D944" s="8">
        <v>1.74</v>
      </c>
      <c r="E944" s="4">
        <v>0</v>
      </c>
      <c r="F944" s="8">
        <v>0</v>
      </c>
      <c r="G944" s="4">
        <v>2</v>
      </c>
      <c r="H944" s="8">
        <v>5.26</v>
      </c>
      <c r="I944" s="4">
        <v>0</v>
      </c>
    </row>
    <row r="945" spans="1:9" x14ac:dyDescent="0.2">
      <c r="A945" s="2">
        <v>13</v>
      </c>
      <c r="B945" s="1" t="s">
        <v>95</v>
      </c>
      <c r="C945" s="4">
        <v>2</v>
      </c>
      <c r="D945" s="8">
        <v>1.74</v>
      </c>
      <c r="E945" s="4">
        <v>2</v>
      </c>
      <c r="F945" s="8">
        <v>2.67</v>
      </c>
      <c r="G945" s="4">
        <v>0</v>
      </c>
      <c r="H945" s="8">
        <v>0</v>
      </c>
      <c r="I945" s="4">
        <v>0</v>
      </c>
    </row>
    <row r="946" spans="1:9" x14ac:dyDescent="0.2">
      <c r="A946" s="2">
        <v>13</v>
      </c>
      <c r="B946" s="1" t="s">
        <v>100</v>
      </c>
      <c r="C946" s="4">
        <v>2</v>
      </c>
      <c r="D946" s="8">
        <v>1.74</v>
      </c>
      <c r="E946" s="4">
        <v>0</v>
      </c>
      <c r="F946" s="8">
        <v>0</v>
      </c>
      <c r="G946" s="4">
        <v>2</v>
      </c>
      <c r="H946" s="8">
        <v>5.26</v>
      </c>
      <c r="I946" s="4">
        <v>0</v>
      </c>
    </row>
    <row r="947" spans="1:9" x14ac:dyDescent="0.2">
      <c r="A947" s="2">
        <v>13</v>
      </c>
      <c r="B947" s="1" t="s">
        <v>83</v>
      </c>
      <c r="C947" s="4">
        <v>2</v>
      </c>
      <c r="D947" s="8">
        <v>1.74</v>
      </c>
      <c r="E947" s="4">
        <v>1</v>
      </c>
      <c r="F947" s="8">
        <v>1.33</v>
      </c>
      <c r="G947" s="4">
        <v>1</v>
      </c>
      <c r="H947" s="8">
        <v>2.63</v>
      </c>
      <c r="I947" s="4">
        <v>0</v>
      </c>
    </row>
    <row r="948" spans="1:9" x14ac:dyDescent="0.2">
      <c r="A948" s="1"/>
      <c r="C948" s="4"/>
      <c r="D948" s="8"/>
      <c r="E948" s="4"/>
      <c r="F948" s="8"/>
      <c r="G948" s="4"/>
      <c r="H948" s="8"/>
      <c r="I948" s="4"/>
    </row>
    <row r="949" spans="1:9" x14ac:dyDescent="0.2">
      <c r="A949" s="1" t="s">
        <v>41</v>
      </c>
      <c r="C949" s="4"/>
      <c r="D949" s="8"/>
      <c r="E949" s="4"/>
      <c r="F949" s="8"/>
      <c r="G949" s="4"/>
      <c r="H949" s="8"/>
      <c r="I949" s="4"/>
    </row>
    <row r="950" spans="1:9" x14ac:dyDescent="0.2">
      <c r="A950" s="2">
        <v>1</v>
      </c>
      <c r="B950" s="1" t="s">
        <v>82</v>
      </c>
      <c r="C950" s="4">
        <v>47</v>
      </c>
      <c r="D950" s="8">
        <v>12.02</v>
      </c>
      <c r="E950" s="4">
        <v>44</v>
      </c>
      <c r="F950" s="8">
        <v>19.91</v>
      </c>
      <c r="G950" s="4">
        <v>3</v>
      </c>
      <c r="H950" s="8">
        <v>1.89</v>
      </c>
      <c r="I950" s="4">
        <v>0</v>
      </c>
    </row>
    <row r="951" spans="1:9" x14ac:dyDescent="0.2">
      <c r="A951" s="2">
        <v>2</v>
      </c>
      <c r="B951" s="1" t="s">
        <v>66</v>
      </c>
      <c r="C951" s="4">
        <v>38</v>
      </c>
      <c r="D951" s="8">
        <v>9.7200000000000006</v>
      </c>
      <c r="E951" s="4">
        <v>14</v>
      </c>
      <c r="F951" s="8">
        <v>6.33</v>
      </c>
      <c r="G951" s="4">
        <v>24</v>
      </c>
      <c r="H951" s="8">
        <v>15.09</v>
      </c>
      <c r="I951" s="4">
        <v>0</v>
      </c>
    </row>
    <row r="952" spans="1:9" x14ac:dyDescent="0.2">
      <c r="A952" s="2">
        <v>2</v>
      </c>
      <c r="B952" s="1" t="s">
        <v>81</v>
      </c>
      <c r="C952" s="4">
        <v>38</v>
      </c>
      <c r="D952" s="8">
        <v>9.7200000000000006</v>
      </c>
      <c r="E952" s="4">
        <v>29</v>
      </c>
      <c r="F952" s="8">
        <v>13.12</v>
      </c>
      <c r="G952" s="4">
        <v>9</v>
      </c>
      <c r="H952" s="8">
        <v>5.66</v>
      </c>
      <c r="I952" s="4">
        <v>0</v>
      </c>
    </row>
    <row r="953" spans="1:9" x14ac:dyDescent="0.2">
      <c r="A953" s="2">
        <v>4</v>
      </c>
      <c r="B953" s="1" t="s">
        <v>77</v>
      </c>
      <c r="C953" s="4">
        <v>27</v>
      </c>
      <c r="D953" s="8">
        <v>6.91</v>
      </c>
      <c r="E953" s="4">
        <v>15</v>
      </c>
      <c r="F953" s="8">
        <v>6.79</v>
      </c>
      <c r="G953" s="4">
        <v>12</v>
      </c>
      <c r="H953" s="8">
        <v>7.55</v>
      </c>
      <c r="I953" s="4">
        <v>0</v>
      </c>
    </row>
    <row r="954" spans="1:9" x14ac:dyDescent="0.2">
      <c r="A954" s="2">
        <v>5</v>
      </c>
      <c r="B954" s="1" t="s">
        <v>75</v>
      </c>
      <c r="C954" s="4">
        <v>21</v>
      </c>
      <c r="D954" s="8">
        <v>5.37</v>
      </c>
      <c r="E954" s="4">
        <v>10</v>
      </c>
      <c r="F954" s="8">
        <v>4.5199999999999996</v>
      </c>
      <c r="G954" s="4">
        <v>11</v>
      </c>
      <c r="H954" s="8">
        <v>6.92</v>
      </c>
      <c r="I954" s="4">
        <v>0</v>
      </c>
    </row>
    <row r="955" spans="1:9" x14ac:dyDescent="0.2">
      <c r="A955" s="2">
        <v>6</v>
      </c>
      <c r="B955" s="1" t="s">
        <v>83</v>
      </c>
      <c r="C955" s="4">
        <v>20</v>
      </c>
      <c r="D955" s="8">
        <v>5.12</v>
      </c>
      <c r="E955" s="4">
        <v>12</v>
      </c>
      <c r="F955" s="8">
        <v>5.43</v>
      </c>
      <c r="G955" s="4">
        <v>2</v>
      </c>
      <c r="H955" s="8">
        <v>1.26</v>
      </c>
      <c r="I955" s="4">
        <v>0</v>
      </c>
    </row>
    <row r="956" spans="1:9" x14ac:dyDescent="0.2">
      <c r="A956" s="2">
        <v>7</v>
      </c>
      <c r="B956" s="1" t="s">
        <v>67</v>
      </c>
      <c r="C956" s="4">
        <v>17</v>
      </c>
      <c r="D956" s="8">
        <v>4.3499999999999996</v>
      </c>
      <c r="E956" s="4">
        <v>12</v>
      </c>
      <c r="F956" s="8">
        <v>5.43</v>
      </c>
      <c r="G956" s="4">
        <v>5</v>
      </c>
      <c r="H956" s="8">
        <v>3.14</v>
      </c>
      <c r="I956" s="4">
        <v>0</v>
      </c>
    </row>
    <row r="957" spans="1:9" x14ac:dyDescent="0.2">
      <c r="A957" s="2">
        <v>8</v>
      </c>
      <c r="B957" s="1" t="s">
        <v>76</v>
      </c>
      <c r="C957" s="4">
        <v>13</v>
      </c>
      <c r="D957" s="8">
        <v>3.32</v>
      </c>
      <c r="E957" s="4">
        <v>6</v>
      </c>
      <c r="F957" s="8">
        <v>2.71</v>
      </c>
      <c r="G957" s="4">
        <v>7</v>
      </c>
      <c r="H957" s="8">
        <v>4.4000000000000004</v>
      </c>
      <c r="I957" s="4">
        <v>0</v>
      </c>
    </row>
    <row r="958" spans="1:9" x14ac:dyDescent="0.2">
      <c r="A958" s="2">
        <v>8</v>
      </c>
      <c r="B958" s="1" t="s">
        <v>84</v>
      </c>
      <c r="C958" s="4">
        <v>13</v>
      </c>
      <c r="D958" s="8">
        <v>3.32</v>
      </c>
      <c r="E958" s="4">
        <v>11</v>
      </c>
      <c r="F958" s="8">
        <v>4.9800000000000004</v>
      </c>
      <c r="G958" s="4">
        <v>2</v>
      </c>
      <c r="H958" s="8">
        <v>1.26</v>
      </c>
      <c r="I958" s="4">
        <v>0</v>
      </c>
    </row>
    <row r="959" spans="1:9" x14ac:dyDescent="0.2">
      <c r="A959" s="2">
        <v>10</v>
      </c>
      <c r="B959" s="1" t="s">
        <v>74</v>
      </c>
      <c r="C959" s="4">
        <v>11</v>
      </c>
      <c r="D959" s="8">
        <v>2.81</v>
      </c>
      <c r="E959" s="4">
        <v>5</v>
      </c>
      <c r="F959" s="8">
        <v>2.2599999999999998</v>
      </c>
      <c r="G959" s="4">
        <v>6</v>
      </c>
      <c r="H959" s="8">
        <v>3.77</v>
      </c>
      <c r="I959" s="4">
        <v>0</v>
      </c>
    </row>
    <row r="960" spans="1:9" x14ac:dyDescent="0.2">
      <c r="A960" s="2">
        <v>10</v>
      </c>
      <c r="B960" s="1" t="s">
        <v>85</v>
      </c>
      <c r="C960" s="4">
        <v>11</v>
      </c>
      <c r="D960" s="8">
        <v>2.81</v>
      </c>
      <c r="E960" s="4">
        <v>9</v>
      </c>
      <c r="F960" s="8">
        <v>4.07</v>
      </c>
      <c r="G960" s="4">
        <v>2</v>
      </c>
      <c r="H960" s="8">
        <v>1.26</v>
      </c>
      <c r="I960" s="4">
        <v>0</v>
      </c>
    </row>
    <row r="961" spans="1:9" x14ac:dyDescent="0.2">
      <c r="A961" s="2">
        <v>12</v>
      </c>
      <c r="B961" s="1" t="s">
        <v>68</v>
      </c>
      <c r="C961" s="4">
        <v>9</v>
      </c>
      <c r="D961" s="8">
        <v>2.2999999999999998</v>
      </c>
      <c r="E961" s="4">
        <v>4</v>
      </c>
      <c r="F961" s="8">
        <v>1.81</v>
      </c>
      <c r="G961" s="4">
        <v>5</v>
      </c>
      <c r="H961" s="8">
        <v>3.14</v>
      </c>
      <c r="I961" s="4">
        <v>0</v>
      </c>
    </row>
    <row r="962" spans="1:9" x14ac:dyDescent="0.2">
      <c r="A962" s="2">
        <v>12</v>
      </c>
      <c r="B962" s="1" t="s">
        <v>80</v>
      </c>
      <c r="C962" s="4">
        <v>9</v>
      </c>
      <c r="D962" s="8">
        <v>2.2999999999999998</v>
      </c>
      <c r="E962" s="4">
        <v>6</v>
      </c>
      <c r="F962" s="8">
        <v>2.71</v>
      </c>
      <c r="G962" s="4">
        <v>3</v>
      </c>
      <c r="H962" s="8">
        <v>1.89</v>
      </c>
      <c r="I962" s="4">
        <v>0</v>
      </c>
    </row>
    <row r="963" spans="1:9" x14ac:dyDescent="0.2">
      <c r="A963" s="2">
        <v>12</v>
      </c>
      <c r="B963" s="1" t="s">
        <v>97</v>
      </c>
      <c r="C963" s="4">
        <v>9</v>
      </c>
      <c r="D963" s="8">
        <v>2.2999999999999998</v>
      </c>
      <c r="E963" s="4">
        <v>0</v>
      </c>
      <c r="F963" s="8">
        <v>0</v>
      </c>
      <c r="G963" s="4">
        <v>6</v>
      </c>
      <c r="H963" s="8">
        <v>3.77</v>
      </c>
      <c r="I963" s="4">
        <v>0</v>
      </c>
    </row>
    <row r="964" spans="1:9" x14ac:dyDescent="0.2">
      <c r="A964" s="2">
        <v>15</v>
      </c>
      <c r="B964" s="1" t="s">
        <v>78</v>
      </c>
      <c r="C964" s="4">
        <v>7</v>
      </c>
      <c r="D964" s="8">
        <v>1.79</v>
      </c>
      <c r="E964" s="4">
        <v>3</v>
      </c>
      <c r="F964" s="8">
        <v>1.36</v>
      </c>
      <c r="G964" s="4">
        <v>4</v>
      </c>
      <c r="H964" s="8">
        <v>2.52</v>
      </c>
      <c r="I964" s="4">
        <v>0</v>
      </c>
    </row>
    <row r="965" spans="1:9" x14ac:dyDescent="0.2">
      <c r="A965" s="2">
        <v>16</v>
      </c>
      <c r="B965" s="1" t="s">
        <v>89</v>
      </c>
      <c r="C965" s="4">
        <v>6</v>
      </c>
      <c r="D965" s="8">
        <v>1.53</v>
      </c>
      <c r="E965" s="4">
        <v>0</v>
      </c>
      <c r="F965" s="8">
        <v>0</v>
      </c>
      <c r="G965" s="4">
        <v>6</v>
      </c>
      <c r="H965" s="8">
        <v>3.77</v>
      </c>
      <c r="I965" s="4">
        <v>0</v>
      </c>
    </row>
    <row r="966" spans="1:9" x14ac:dyDescent="0.2">
      <c r="A966" s="2">
        <v>16</v>
      </c>
      <c r="B966" s="1" t="s">
        <v>102</v>
      </c>
      <c r="C966" s="4">
        <v>6</v>
      </c>
      <c r="D966" s="8">
        <v>1.53</v>
      </c>
      <c r="E966" s="4">
        <v>1</v>
      </c>
      <c r="F966" s="8">
        <v>0.45</v>
      </c>
      <c r="G966" s="4">
        <v>5</v>
      </c>
      <c r="H966" s="8">
        <v>3.14</v>
      </c>
      <c r="I966" s="4">
        <v>0</v>
      </c>
    </row>
    <row r="967" spans="1:9" x14ac:dyDescent="0.2">
      <c r="A967" s="2">
        <v>16</v>
      </c>
      <c r="B967" s="1" t="s">
        <v>100</v>
      </c>
      <c r="C967" s="4">
        <v>6</v>
      </c>
      <c r="D967" s="8">
        <v>1.53</v>
      </c>
      <c r="E967" s="4">
        <v>1</v>
      </c>
      <c r="F967" s="8">
        <v>0.45</v>
      </c>
      <c r="G967" s="4">
        <v>4</v>
      </c>
      <c r="H967" s="8">
        <v>2.52</v>
      </c>
      <c r="I967" s="4">
        <v>0</v>
      </c>
    </row>
    <row r="968" spans="1:9" x14ac:dyDescent="0.2">
      <c r="A968" s="2">
        <v>16</v>
      </c>
      <c r="B968" s="1" t="s">
        <v>90</v>
      </c>
      <c r="C968" s="4">
        <v>6</v>
      </c>
      <c r="D968" s="8">
        <v>1.53</v>
      </c>
      <c r="E968" s="4">
        <v>3</v>
      </c>
      <c r="F968" s="8">
        <v>1.36</v>
      </c>
      <c r="G968" s="4">
        <v>3</v>
      </c>
      <c r="H968" s="8">
        <v>1.89</v>
      </c>
      <c r="I968" s="4">
        <v>0</v>
      </c>
    </row>
    <row r="969" spans="1:9" x14ac:dyDescent="0.2">
      <c r="A969" s="2">
        <v>20</v>
      </c>
      <c r="B969" s="1" t="s">
        <v>93</v>
      </c>
      <c r="C969" s="4">
        <v>5</v>
      </c>
      <c r="D969" s="8">
        <v>1.28</v>
      </c>
      <c r="E969" s="4">
        <v>5</v>
      </c>
      <c r="F969" s="8">
        <v>2.2599999999999998</v>
      </c>
      <c r="G969" s="4">
        <v>0</v>
      </c>
      <c r="H969" s="8">
        <v>0</v>
      </c>
      <c r="I969" s="4">
        <v>0</v>
      </c>
    </row>
    <row r="970" spans="1:9" x14ac:dyDescent="0.2">
      <c r="A970" s="2">
        <v>20</v>
      </c>
      <c r="B970" s="1" t="s">
        <v>98</v>
      </c>
      <c r="C970" s="4">
        <v>5</v>
      </c>
      <c r="D970" s="8">
        <v>1.28</v>
      </c>
      <c r="E970" s="4">
        <v>1</v>
      </c>
      <c r="F970" s="8">
        <v>0.45</v>
      </c>
      <c r="G970" s="4">
        <v>4</v>
      </c>
      <c r="H970" s="8">
        <v>2.52</v>
      </c>
      <c r="I970" s="4">
        <v>0</v>
      </c>
    </row>
    <row r="971" spans="1:9" x14ac:dyDescent="0.2">
      <c r="A971" s="2">
        <v>20</v>
      </c>
      <c r="B971" s="1" t="s">
        <v>72</v>
      </c>
      <c r="C971" s="4">
        <v>5</v>
      </c>
      <c r="D971" s="8">
        <v>1.28</v>
      </c>
      <c r="E971" s="4">
        <v>1</v>
      </c>
      <c r="F971" s="8">
        <v>0.45</v>
      </c>
      <c r="G971" s="4">
        <v>4</v>
      </c>
      <c r="H971" s="8">
        <v>2.52</v>
      </c>
      <c r="I971" s="4">
        <v>0</v>
      </c>
    </row>
    <row r="972" spans="1:9" x14ac:dyDescent="0.2">
      <c r="A972" s="2">
        <v>20</v>
      </c>
      <c r="B972" s="1" t="s">
        <v>79</v>
      </c>
      <c r="C972" s="4">
        <v>5</v>
      </c>
      <c r="D972" s="8">
        <v>1.28</v>
      </c>
      <c r="E972" s="4">
        <v>4</v>
      </c>
      <c r="F972" s="8">
        <v>1.81</v>
      </c>
      <c r="G972" s="4">
        <v>1</v>
      </c>
      <c r="H972" s="8">
        <v>0.63</v>
      </c>
      <c r="I972" s="4">
        <v>0</v>
      </c>
    </row>
    <row r="973" spans="1:9" x14ac:dyDescent="0.2">
      <c r="A973" s="2">
        <v>20</v>
      </c>
      <c r="B973" s="1" t="s">
        <v>106</v>
      </c>
      <c r="C973" s="4">
        <v>5</v>
      </c>
      <c r="D973" s="8">
        <v>1.28</v>
      </c>
      <c r="E973" s="4">
        <v>3</v>
      </c>
      <c r="F973" s="8">
        <v>1.36</v>
      </c>
      <c r="G973" s="4">
        <v>2</v>
      </c>
      <c r="H973" s="8">
        <v>1.26</v>
      </c>
      <c r="I973" s="4">
        <v>0</v>
      </c>
    </row>
    <row r="974" spans="1:9" x14ac:dyDescent="0.2">
      <c r="A974" s="1"/>
      <c r="C974" s="4"/>
      <c r="D974" s="8"/>
      <c r="E974" s="4"/>
      <c r="F974" s="8"/>
      <c r="G974" s="4"/>
      <c r="H974" s="8"/>
      <c r="I974" s="4"/>
    </row>
    <row r="975" spans="1:9" x14ac:dyDescent="0.2">
      <c r="A975" s="1" t="s">
        <v>42</v>
      </c>
      <c r="C975" s="4"/>
      <c r="D975" s="8"/>
      <c r="E975" s="4"/>
      <c r="F975" s="8"/>
      <c r="G975" s="4"/>
      <c r="H975" s="8"/>
      <c r="I975" s="4"/>
    </row>
    <row r="976" spans="1:9" x14ac:dyDescent="0.2">
      <c r="A976" s="2">
        <v>1</v>
      </c>
      <c r="B976" s="1" t="s">
        <v>95</v>
      </c>
      <c r="C976" s="4">
        <v>36</v>
      </c>
      <c r="D976" s="8">
        <v>24.16</v>
      </c>
      <c r="E976" s="4">
        <v>33</v>
      </c>
      <c r="F976" s="8">
        <v>31.73</v>
      </c>
      <c r="G976" s="4">
        <v>3</v>
      </c>
      <c r="H976" s="8">
        <v>6.98</v>
      </c>
      <c r="I976" s="4">
        <v>0</v>
      </c>
    </row>
    <row r="977" spans="1:9" x14ac:dyDescent="0.2">
      <c r="A977" s="2">
        <v>2</v>
      </c>
      <c r="B977" s="1" t="s">
        <v>81</v>
      </c>
      <c r="C977" s="4">
        <v>30</v>
      </c>
      <c r="D977" s="8">
        <v>20.13</v>
      </c>
      <c r="E977" s="4">
        <v>27</v>
      </c>
      <c r="F977" s="8">
        <v>25.96</v>
      </c>
      <c r="G977" s="4">
        <v>3</v>
      </c>
      <c r="H977" s="8">
        <v>6.98</v>
      </c>
      <c r="I977" s="4">
        <v>0</v>
      </c>
    </row>
    <row r="978" spans="1:9" x14ac:dyDescent="0.2">
      <c r="A978" s="2">
        <v>3</v>
      </c>
      <c r="B978" s="1" t="s">
        <v>75</v>
      </c>
      <c r="C978" s="4">
        <v>19</v>
      </c>
      <c r="D978" s="8">
        <v>12.75</v>
      </c>
      <c r="E978" s="4">
        <v>9</v>
      </c>
      <c r="F978" s="8">
        <v>8.65</v>
      </c>
      <c r="G978" s="4">
        <v>10</v>
      </c>
      <c r="H978" s="8">
        <v>23.26</v>
      </c>
      <c r="I978" s="4">
        <v>0</v>
      </c>
    </row>
    <row r="979" spans="1:9" x14ac:dyDescent="0.2">
      <c r="A979" s="2">
        <v>4</v>
      </c>
      <c r="B979" s="1" t="s">
        <v>77</v>
      </c>
      <c r="C979" s="4">
        <v>11</v>
      </c>
      <c r="D979" s="8">
        <v>7.38</v>
      </c>
      <c r="E979" s="4">
        <v>6</v>
      </c>
      <c r="F979" s="8">
        <v>5.77</v>
      </c>
      <c r="G979" s="4">
        <v>5</v>
      </c>
      <c r="H979" s="8">
        <v>11.63</v>
      </c>
      <c r="I979" s="4">
        <v>0</v>
      </c>
    </row>
    <row r="980" spans="1:9" x14ac:dyDescent="0.2">
      <c r="A980" s="2">
        <v>5</v>
      </c>
      <c r="B980" s="1" t="s">
        <v>83</v>
      </c>
      <c r="C980" s="4">
        <v>8</v>
      </c>
      <c r="D980" s="8">
        <v>5.37</v>
      </c>
      <c r="E980" s="4">
        <v>4</v>
      </c>
      <c r="F980" s="8">
        <v>3.85</v>
      </c>
      <c r="G980" s="4">
        <v>4</v>
      </c>
      <c r="H980" s="8">
        <v>9.3000000000000007</v>
      </c>
      <c r="I980" s="4">
        <v>0</v>
      </c>
    </row>
    <row r="981" spans="1:9" x14ac:dyDescent="0.2">
      <c r="A981" s="2">
        <v>6</v>
      </c>
      <c r="B981" s="1" t="s">
        <v>66</v>
      </c>
      <c r="C981" s="4">
        <v>7</v>
      </c>
      <c r="D981" s="8">
        <v>4.7</v>
      </c>
      <c r="E981" s="4">
        <v>5</v>
      </c>
      <c r="F981" s="8">
        <v>4.8099999999999996</v>
      </c>
      <c r="G981" s="4">
        <v>2</v>
      </c>
      <c r="H981" s="8">
        <v>4.6500000000000004</v>
      </c>
      <c r="I981" s="4">
        <v>0</v>
      </c>
    </row>
    <row r="982" spans="1:9" x14ac:dyDescent="0.2">
      <c r="A982" s="2">
        <v>7</v>
      </c>
      <c r="B982" s="1" t="s">
        <v>91</v>
      </c>
      <c r="C982" s="4">
        <v>3</v>
      </c>
      <c r="D982" s="8">
        <v>2.0099999999999998</v>
      </c>
      <c r="E982" s="4">
        <v>2</v>
      </c>
      <c r="F982" s="8">
        <v>1.92</v>
      </c>
      <c r="G982" s="4">
        <v>0</v>
      </c>
      <c r="H982" s="8">
        <v>0</v>
      </c>
      <c r="I982" s="4">
        <v>1</v>
      </c>
    </row>
    <row r="983" spans="1:9" x14ac:dyDescent="0.2">
      <c r="A983" s="2">
        <v>7</v>
      </c>
      <c r="B983" s="1" t="s">
        <v>100</v>
      </c>
      <c r="C983" s="4">
        <v>3</v>
      </c>
      <c r="D983" s="8">
        <v>2.0099999999999998</v>
      </c>
      <c r="E983" s="4">
        <v>3</v>
      </c>
      <c r="F983" s="8">
        <v>2.88</v>
      </c>
      <c r="G983" s="4">
        <v>0</v>
      </c>
      <c r="H983" s="8">
        <v>0</v>
      </c>
      <c r="I983" s="4">
        <v>0</v>
      </c>
    </row>
    <row r="984" spans="1:9" x14ac:dyDescent="0.2">
      <c r="A984" s="2">
        <v>7</v>
      </c>
      <c r="B984" s="1" t="s">
        <v>82</v>
      </c>
      <c r="C984" s="4">
        <v>3</v>
      </c>
      <c r="D984" s="8">
        <v>2.0099999999999998</v>
      </c>
      <c r="E984" s="4">
        <v>3</v>
      </c>
      <c r="F984" s="8">
        <v>2.88</v>
      </c>
      <c r="G984" s="4">
        <v>0</v>
      </c>
      <c r="H984" s="8">
        <v>0</v>
      </c>
      <c r="I984" s="4">
        <v>0</v>
      </c>
    </row>
    <row r="985" spans="1:9" x14ac:dyDescent="0.2">
      <c r="A985" s="2">
        <v>7</v>
      </c>
      <c r="B985" s="1" t="s">
        <v>84</v>
      </c>
      <c r="C985" s="4">
        <v>3</v>
      </c>
      <c r="D985" s="8">
        <v>2.0099999999999998</v>
      </c>
      <c r="E985" s="4">
        <v>2</v>
      </c>
      <c r="F985" s="8">
        <v>1.92</v>
      </c>
      <c r="G985" s="4">
        <v>1</v>
      </c>
      <c r="H985" s="8">
        <v>2.33</v>
      </c>
      <c r="I985" s="4">
        <v>0</v>
      </c>
    </row>
    <row r="986" spans="1:9" x14ac:dyDescent="0.2">
      <c r="A986" s="2">
        <v>7</v>
      </c>
      <c r="B986" s="1" t="s">
        <v>97</v>
      </c>
      <c r="C986" s="4">
        <v>3</v>
      </c>
      <c r="D986" s="8">
        <v>2.0099999999999998</v>
      </c>
      <c r="E986" s="4">
        <v>0</v>
      </c>
      <c r="F986" s="8">
        <v>0</v>
      </c>
      <c r="G986" s="4">
        <v>3</v>
      </c>
      <c r="H986" s="8">
        <v>6.98</v>
      </c>
      <c r="I986" s="4">
        <v>0</v>
      </c>
    </row>
    <row r="987" spans="1:9" x14ac:dyDescent="0.2">
      <c r="A987" s="2">
        <v>7</v>
      </c>
      <c r="B987" s="1" t="s">
        <v>85</v>
      </c>
      <c r="C987" s="4">
        <v>3</v>
      </c>
      <c r="D987" s="8">
        <v>2.0099999999999998</v>
      </c>
      <c r="E987" s="4">
        <v>3</v>
      </c>
      <c r="F987" s="8">
        <v>2.88</v>
      </c>
      <c r="G987" s="4">
        <v>0</v>
      </c>
      <c r="H987" s="8">
        <v>0</v>
      </c>
      <c r="I987" s="4">
        <v>0</v>
      </c>
    </row>
    <row r="988" spans="1:9" x14ac:dyDescent="0.2">
      <c r="A988" s="2">
        <v>13</v>
      </c>
      <c r="B988" s="1" t="s">
        <v>67</v>
      </c>
      <c r="C988" s="4">
        <v>2</v>
      </c>
      <c r="D988" s="8">
        <v>1.34</v>
      </c>
      <c r="E988" s="4">
        <v>1</v>
      </c>
      <c r="F988" s="8">
        <v>0.96</v>
      </c>
      <c r="G988" s="4">
        <v>1</v>
      </c>
      <c r="H988" s="8">
        <v>2.33</v>
      </c>
      <c r="I988" s="4">
        <v>0</v>
      </c>
    </row>
    <row r="989" spans="1:9" x14ac:dyDescent="0.2">
      <c r="A989" s="2">
        <v>13</v>
      </c>
      <c r="B989" s="1" t="s">
        <v>70</v>
      </c>
      <c r="C989" s="4">
        <v>2</v>
      </c>
      <c r="D989" s="8">
        <v>1.34</v>
      </c>
      <c r="E989" s="4">
        <v>0</v>
      </c>
      <c r="F989" s="8">
        <v>0</v>
      </c>
      <c r="G989" s="4">
        <v>2</v>
      </c>
      <c r="H989" s="8">
        <v>4.6500000000000004</v>
      </c>
      <c r="I989" s="4">
        <v>0</v>
      </c>
    </row>
    <row r="990" spans="1:9" x14ac:dyDescent="0.2">
      <c r="A990" s="2">
        <v>13</v>
      </c>
      <c r="B990" s="1" t="s">
        <v>76</v>
      </c>
      <c r="C990" s="4">
        <v>2</v>
      </c>
      <c r="D990" s="8">
        <v>1.34</v>
      </c>
      <c r="E990" s="4">
        <v>2</v>
      </c>
      <c r="F990" s="8">
        <v>1.92</v>
      </c>
      <c r="G990" s="4">
        <v>0</v>
      </c>
      <c r="H990" s="8">
        <v>0</v>
      </c>
      <c r="I990" s="4">
        <v>0</v>
      </c>
    </row>
    <row r="991" spans="1:9" x14ac:dyDescent="0.2">
      <c r="A991" s="2">
        <v>16</v>
      </c>
      <c r="B991" s="1" t="s">
        <v>68</v>
      </c>
      <c r="C991" s="4">
        <v>1</v>
      </c>
      <c r="D991" s="8">
        <v>0.67</v>
      </c>
      <c r="E991" s="4">
        <v>0</v>
      </c>
      <c r="F991" s="8">
        <v>0</v>
      </c>
      <c r="G991" s="4">
        <v>1</v>
      </c>
      <c r="H991" s="8">
        <v>2.33</v>
      </c>
      <c r="I991" s="4">
        <v>0</v>
      </c>
    </row>
    <row r="992" spans="1:9" x14ac:dyDescent="0.2">
      <c r="A992" s="2">
        <v>16</v>
      </c>
      <c r="B992" s="1" t="s">
        <v>107</v>
      </c>
      <c r="C992" s="4">
        <v>1</v>
      </c>
      <c r="D992" s="8">
        <v>0.67</v>
      </c>
      <c r="E992" s="4">
        <v>0</v>
      </c>
      <c r="F992" s="8">
        <v>0</v>
      </c>
      <c r="G992" s="4">
        <v>1</v>
      </c>
      <c r="H992" s="8">
        <v>2.33</v>
      </c>
      <c r="I992" s="4">
        <v>0</v>
      </c>
    </row>
    <row r="993" spans="1:9" x14ac:dyDescent="0.2">
      <c r="A993" s="2">
        <v>16</v>
      </c>
      <c r="B993" s="1" t="s">
        <v>93</v>
      </c>
      <c r="C993" s="4">
        <v>1</v>
      </c>
      <c r="D993" s="8">
        <v>0.67</v>
      </c>
      <c r="E993" s="4">
        <v>1</v>
      </c>
      <c r="F993" s="8">
        <v>0.96</v>
      </c>
      <c r="G993" s="4">
        <v>0</v>
      </c>
      <c r="H993" s="8">
        <v>0</v>
      </c>
      <c r="I993" s="4">
        <v>0</v>
      </c>
    </row>
    <row r="994" spans="1:9" x14ac:dyDescent="0.2">
      <c r="A994" s="2">
        <v>16</v>
      </c>
      <c r="B994" s="1" t="s">
        <v>116</v>
      </c>
      <c r="C994" s="4">
        <v>1</v>
      </c>
      <c r="D994" s="8">
        <v>0.67</v>
      </c>
      <c r="E994" s="4">
        <v>0</v>
      </c>
      <c r="F994" s="8">
        <v>0</v>
      </c>
      <c r="G994" s="4">
        <v>1</v>
      </c>
      <c r="H994" s="8">
        <v>2.33</v>
      </c>
      <c r="I994" s="4">
        <v>0</v>
      </c>
    </row>
    <row r="995" spans="1:9" x14ac:dyDescent="0.2">
      <c r="A995" s="2">
        <v>16</v>
      </c>
      <c r="B995" s="1" t="s">
        <v>114</v>
      </c>
      <c r="C995" s="4">
        <v>1</v>
      </c>
      <c r="D995" s="8">
        <v>0.67</v>
      </c>
      <c r="E995" s="4">
        <v>0</v>
      </c>
      <c r="F995" s="8">
        <v>0</v>
      </c>
      <c r="G995" s="4">
        <v>1</v>
      </c>
      <c r="H995" s="8">
        <v>2.33</v>
      </c>
      <c r="I995" s="4">
        <v>0</v>
      </c>
    </row>
    <row r="996" spans="1:9" x14ac:dyDescent="0.2">
      <c r="A996" s="2">
        <v>16</v>
      </c>
      <c r="B996" s="1" t="s">
        <v>115</v>
      </c>
      <c r="C996" s="4">
        <v>1</v>
      </c>
      <c r="D996" s="8">
        <v>0.67</v>
      </c>
      <c r="E996" s="4">
        <v>0</v>
      </c>
      <c r="F996" s="8">
        <v>0</v>
      </c>
      <c r="G996" s="4">
        <v>0</v>
      </c>
      <c r="H996" s="8">
        <v>0</v>
      </c>
      <c r="I996" s="4">
        <v>0</v>
      </c>
    </row>
    <row r="997" spans="1:9" x14ac:dyDescent="0.2">
      <c r="A997" s="2">
        <v>16</v>
      </c>
      <c r="B997" s="1" t="s">
        <v>117</v>
      </c>
      <c r="C997" s="4">
        <v>1</v>
      </c>
      <c r="D997" s="8">
        <v>0.67</v>
      </c>
      <c r="E997" s="4">
        <v>0</v>
      </c>
      <c r="F997" s="8">
        <v>0</v>
      </c>
      <c r="G997" s="4">
        <v>1</v>
      </c>
      <c r="H997" s="8">
        <v>2.33</v>
      </c>
      <c r="I997" s="4">
        <v>0</v>
      </c>
    </row>
    <row r="998" spans="1:9" x14ac:dyDescent="0.2">
      <c r="A998" s="2">
        <v>16</v>
      </c>
      <c r="B998" s="1" t="s">
        <v>118</v>
      </c>
      <c r="C998" s="4">
        <v>1</v>
      </c>
      <c r="D998" s="8">
        <v>0.67</v>
      </c>
      <c r="E998" s="4">
        <v>0</v>
      </c>
      <c r="F998" s="8">
        <v>0</v>
      </c>
      <c r="G998" s="4">
        <v>1</v>
      </c>
      <c r="H998" s="8">
        <v>2.33</v>
      </c>
      <c r="I998" s="4">
        <v>0</v>
      </c>
    </row>
    <row r="999" spans="1:9" x14ac:dyDescent="0.2">
      <c r="A999" s="2">
        <v>16</v>
      </c>
      <c r="B999" s="1" t="s">
        <v>105</v>
      </c>
      <c r="C999" s="4">
        <v>1</v>
      </c>
      <c r="D999" s="8">
        <v>0.67</v>
      </c>
      <c r="E999" s="4">
        <v>0</v>
      </c>
      <c r="F999" s="8">
        <v>0</v>
      </c>
      <c r="G999" s="4">
        <v>1</v>
      </c>
      <c r="H999" s="8">
        <v>2.33</v>
      </c>
      <c r="I999" s="4">
        <v>0</v>
      </c>
    </row>
    <row r="1000" spans="1:9" x14ac:dyDescent="0.2">
      <c r="A1000" s="2">
        <v>16</v>
      </c>
      <c r="B1000" s="1" t="s">
        <v>73</v>
      </c>
      <c r="C1000" s="4">
        <v>1</v>
      </c>
      <c r="D1000" s="8">
        <v>0.67</v>
      </c>
      <c r="E1000" s="4">
        <v>1</v>
      </c>
      <c r="F1000" s="8">
        <v>0.96</v>
      </c>
      <c r="G1000" s="4">
        <v>0</v>
      </c>
      <c r="H1000" s="8">
        <v>0</v>
      </c>
      <c r="I1000" s="4">
        <v>0</v>
      </c>
    </row>
    <row r="1001" spans="1:9" x14ac:dyDescent="0.2">
      <c r="A1001" s="2">
        <v>16</v>
      </c>
      <c r="B1001" s="1" t="s">
        <v>79</v>
      </c>
      <c r="C1001" s="4">
        <v>1</v>
      </c>
      <c r="D1001" s="8">
        <v>0.67</v>
      </c>
      <c r="E1001" s="4">
        <v>1</v>
      </c>
      <c r="F1001" s="8">
        <v>0.96</v>
      </c>
      <c r="G1001" s="4">
        <v>0</v>
      </c>
      <c r="H1001" s="8">
        <v>0</v>
      </c>
      <c r="I1001" s="4">
        <v>0</v>
      </c>
    </row>
    <row r="1002" spans="1:9" x14ac:dyDescent="0.2">
      <c r="A1002" s="2">
        <v>16</v>
      </c>
      <c r="B1002" s="1" t="s">
        <v>106</v>
      </c>
      <c r="C1002" s="4">
        <v>1</v>
      </c>
      <c r="D1002" s="8">
        <v>0.67</v>
      </c>
      <c r="E1002" s="4">
        <v>1</v>
      </c>
      <c r="F1002" s="8">
        <v>0.96</v>
      </c>
      <c r="G1002" s="4">
        <v>0</v>
      </c>
      <c r="H1002" s="8">
        <v>0</v>
      </c>
      <c r="I1002" s="4">
        <v>0</v>
      </c>
    </row>
    <row r="1003" spans="1:9" x14ac:dyDescent="0.2">
      <c r="A1003" s="2">
        <v>16</v>
      </c>
      <c r="B1003" s="1" t="s">
        <v>119</v>
      </c>
      <c r="C1003" s="4">
        <v>1</v>
      </c>
      <c r="D1003" s="8">
        <v>0.67</v>
      </c>
      <c r="E1003" s="4">
        <v>0</v>
      </c>
      <c r="F1003" s="8">
        <v>0</v>
      </c>
      <c r="G1003" s="4">
        <v>1</v>
      </c>
      <c r="H1003" s="8">
        <v>2.33</v>
      </c>
      <c r="I1003" s="4">
        <v>0</v>
      </c>
    </row>
    <row r="1004" spans="1:9" x14ac:dyDescent="0.2">
      <c r="A1004" s="2">
        <v>16</v>
      </c>
      <c r="B1004" s="1" t="s">
        <v>88</v>
      </c>
      <c r="C1004" s="4">
        <v>1</v>
      </c>
      <c r="D1004" s="8">
        <v>0.67</v>
      </c>
      <c r="E1004" s="4">
        <v>0</v>
      </c>
      <c r="F1004" s="8">
        <v>0</v>
      </c>
      <c r="G1004" s="4">
        <v>1</v>
      </c>
      <c r="H1004" s="8">
        <v>2.33</v>
      </c>
      <c r="I1004" s="4">
        <v>0</v>
      </c>
    </row>
    <row r="1005" spans="1:9" x14ac:dyDescent="0.2">
      <c r="A1005" s="1"/>
      <c r="C1005" s="4"/>
      <c r="D1005" s="8"/>
      <c r="E1005" s="4"/>
      <c r="F1005" s="8"/>
      <c r="G1005" s="4"/>
      <c r="H1005" s="8"/>
      <c r="I1005" s="4"/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r:id="rId2"/>
  <headerFooter>
    <oddHeader>&amp;C自治体別 事業所数 産業中分類トップ２０</oddHeader>
    <oddFooter>&amp;C&amp;P /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F6ED4-9B8C-4C74-AFC1-4F2915798467}">
  <sheetPr>
    <pageSetUpPr fitToPage="1"/>
  </sheetPr>
  <dimension ref="B2:I71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260</v>
      </c>
    </row>
    <row r="4" spans="2:9" ht="33" customHeight="1" x14ac:dyDescent="0.2">
      <c r="B4" t="s">
        <v>231</v>
      </c>
      <c r="C4" s="10" t="s">
        <v>59</v>
      </c>
      <c r="D4" s="10" t="s">
        <v>60</v>
      </c>
      <c r="E4" s="10" t="s">
        <v>61</v>
      </c>
      <c r="F4" s="10" t="s">
        <v>62</v>
      </c>
      <c r="G4" s="10" t="s">
        <v>63</v>
      </c>
      <c r="H4" s="10" t="s">
        <v>64</v>
      </c>
      <c r="I4" s="10" t="s">
        <v>65</v>
      </c>
    </row>
    <row r="5" spans="2:9" ht="15" customHeight="1" x14ac:dyDescent="0.2">
      <c r="B5" t="s">
        <v>43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44</v>
      </c>
      <c r="C6" s="12">
        <v>89</v>
      </c>
      <c r="D6" s="8">
        <v>17.489999999999998</v>
      </c>
      <c r="E6" s="12">
        <v>33</v>
      </c>
      <c r="F6" s="8">
        <v>12</v>
      </c>
      <c r="G6" s="12">
        <v>56</v>
      </c>
      <c r="H6" s="8">
        <v>26.05</v>
      </c>
      <c r="I6" s="12">
        <v>0</v>
      </c>
    </row>
    <row r="7" spans="2:9" ht="15" customHeight="1" x14ac:dyDescent="0.2">
      <c r="B7" t="s">
        <v>45</v>
      </c>
      <c r="C7" s="12">
        <v>77</v>
      </c>
      <c r="D7" s="8">
        <v>15.13</v>
      </c>
      <c r="E7" s="12">
        <v>27</v>
      </c>
      <c r="F7" s="8">
        <v>9.82</v>
      </c>
      <c r="G7" s="12">
        <v>50</v>
      </c>
      <c r="H7" s="8">
        <v>23.26</v>
      </c>
      <c r="I7" s="12">
        <v>0</v>
      </c>
    </row>
    <row r="8" spans="2:9" ht="15" customHeight="1" x14ac:dyDescent="0.2">
      <c r="B8" t="s">
        <v>46</v>
      </c>
      <c r="C8" s="12">
        <v>1</v>
      </c>
      <c r="D8" s="8">
        <v>0.2</v>
      </c>
      <c r="E8" s="12">
        <v>0</v>
      </c>
      <c r="F8" s="8">
        <v>0</v>
      </c>
      <c r="G8" s="12">
        <v>0</v>
      </c>
      <c r="H8" s="8">
        <v>0</v>
      </c>
      <c r="I8" s="12">
        <v>1</v>
      </c>
    </row>
    <row r="9" spans="2:9" ht="15" customHeight="1" x14ac:dyDescent="0.2">
      <c r="B9" t="s">
        <v>47</v>
      </c>
      <c r="C9" s="12">
        <v>1</v>
      </c>
      <c r="D9" s="8">
        <v>0.2</v>
      </c>
      <c r="E9" s="12">
        <v>0</v>
      </c>
      <c r="F9" s="8">
        <v>0</v>
      </c>
      <c r="G9" s="12">
        <v>1</v>
      </c>
      <c r="H9" s="8">
        <v>0.47</v>
      </c>
      <c r="I9" s="12">
        <v>0</v>
      </c>
    </row>
    <row r="10" spans="2:9" ht="15" customHeight="1" x14ac:dyDescent="0.2">
      <c r="B10" t="s">
        <v>48</v>
      </c>
      <c r="C10" s="12">
        <v>5</v>
      </c>
      <c r="D10" s="8">
        <v>0.98</v>
      </c>
      <c r="E10" s="12">
        <v>0</v>
      </c>
      <c r="F10" s="8">
        <v>0</v>
      </c>
      <c r="G10" s="12">
        <v>5</v>
      </c>
      <c r="H10" s="8">
        <v>2.33</v>
      </c>
      <c r="I10" s="12">
        <v>0</v>
      </c>
    </row>
    <row r="11" spans="2:9" ht="15" customHeight="1" x14ac:dyDescent="0.2">
      <c r="B11" t="s">
        <v>49</v>
      </c>
      <c r="C11" s="12">
        <v>100</v>
      </c>
      <c r="D11" s="8">
        <v>19.649999999999999</v>
      </c>
      <c r="E11" s="12">
        <v>49</v>
      </c>
      <c r="F11" s="8">
        <v>17.82</v>
      </c>
      <c r="G11" s="12">
        <v>49</v>
      </c>
      <c r="H11" s="8">
        <v>22.79</v>
      </c>
      <c r="I11" s="12">
        <v>2</v>
      </c>
    </row>
    <row r="12" spans="2:9" ht="15" customHeight="1" x14ac:dyDescent="0.2">
      <c r="B12" t="s">
        <v>50</v>
      </c>
      <c r="C12" s="12">
        <v>2</v>
      </c>
      <c r="D12" s="8">
        <v>0.39</v>
      </c>
      <c r="E12" s="12">
        <v>0</v>
      </c>
      <c r="F12" s="8">
        <v>0</v>
      </c>
      <c r="G12" s="12">
        <v>2</v>
      </c>
      <c r="H12" s="8">
        <v>0.93</v>
      </c>
      <c r="I12" s="12">
        <v>0</v>
      </c>
    </row>
    <row r="13" spans="2:9" ht="15" customHeight="1" x14ac:dyDescent="0.2">
      <c r="B13" t="s">
        <v>51</v>
      </c>
      <c r="C13" s="12">
        <v>13</v>
      </c>
      <c r="D13" s="8">
        <v>2.5499999999999998</v>
      </c>
      <c r="E13" s="12">
        <v>4</v>
      </c>
      <c r="F13" s="8">
        <v>1.45</v>
      </c>
      <c r="G13" s="12">
        <v>9</v>
      </c>
      <c r="H13" s="8">
        <v>4.1900000000000004</v>
      </c>
      <c r="I13" s="12">
        <v>0</v>
      </c>
    </row>
    <row r="14" spans="2:9" ht="15" customHeight="1" x14ac:dyDescent="0.2">
      <c r="B14" t="s">
        <v>52</v>
      </c>
      <c r="C14" s="12">
        <v>26</v>
      </c>
      <c r="D14" s="8">
        <v>5.1100000000000003</v>
      </c>
      <c r="E14" s="12">
        <v>17</v>
      </c>
      <c r="F14" s="8">
        <v>6.18</v>
      </c>
      <c r="G14" s="12">
        <v>9</v>
      </c>
      <c r="H14" s="8">
        <v>4.1900000000000004</v>
      </c>
      <c r="I14" s="12">
        <v>0</v>
      </c>
    </row>
    <row r="15" spans="2:9" ht="15" customHeight="1" x14ac:dyDescent="0.2">
      <c r="B15" t="s">
        <v>53</v>
      </c>
      <c r="C15" s="12">
        <v>47</v>
      </c>
      <c r="D15" s="8">
        <v>9.23</v>
      </c>
      <c r="E15" s="12">
        <v>41</v>
      </c>
      <c r="F15" s="8">
        <v>14.91</v>
      </c>
      <c r="G15" s="12">
        <v>6</v>
      </c>
      <c r="H15" s="8">
        <v>2.79</v>
      </c>
      <c r="I15" s="12">
        <v>0</v>
      </c>
    </row>
    <row r="16" spans="2:9" ht="15" customHeight="1" x14ac:dyDescent="0.2">
      <c r="B16" t="s">
        <v>54</v>
      </c>
      <c r="C16" s="12">
        <v>78</v>
      </c>
      <c r="D16" s="8">
        <v>15.32</v>
      </c>
      <c r="E16" s="12">
        <v>66</v>
      </c>
      <c r="F16" s="8">
        <v>24</v>
      </c>
      <c r="G16" s="12">
        <v>10</v>
      </c>
      <c r="H16" s="8">
        <v>4.6500000000000004</v>
      </c>
      <c r="I16" s="12">
        <v>0</v>
      </c>
    </row>
    <row r="17" spans="2:9" ht="15" customHeight="1" x14ac:dyDescent="0.2">
      <c r="B17" t="s">
        <v>55</v>
      </c>
      <c r="C17" s="12">
        <v>27</v>
      </c>
      <c r="D17" s="8">
        <v>5.3</v>
      </c>
      <c r="E17" s="12">
        <v>12</v>
      </c>
      <c r="F17" s="8">
        <v>4.3600000000000003</v>
      </c>
      <c r="G17" s="12">
        <v>6</v>
      </c>
      <c r="H17" s="8">
        <v>2.79</v>
      </c>
      <c r="I17" s="12">
        <v>0</v>
      </c>
    </row>
    <row r="18" spans="2:9" ht="15" customHeight="1" x14ac:dyDescent="0.2">
      <c r="B18" t="s">
        <v>56</v>
      </c>
      <c r="C18" s="12">
        <v>24</v>
      </c>
      <c r="D18" s="8">
        <v>4.72</v>
      </c>
      <c r="E18" s="12">
        <v>17</v>
      </c>
      <c r="F18" s="8">
        <v>6.18</v>
      </c>
      <c r="G18" s="12">
        <v>4</v>
      </c>
      <c r="H18" s="8">
        <v>1.86</v>
      </c>
      <c r="I18" s="12">
        <v>0</v>
      </c>
    </row>
    <row r="19" spans="2:9" ht="15" customHeight="1" x14ac:dyDescent="0.2">
      <c r="B19" t="s">
        <v>57</v>
      </c>
      <c r="C19" s="12">
        <v>19</v>
      </c>
      <c r="D19" s="8">
        <v>3.73</v>
      </c>
      <c r="E19" s="12">
        <v>9</v>
      </c>
      <c r="F19" s="8">
        <v>3.27</v>
      </c>
      <c r="G19" s="12">
        <v>8</v>
      </c>
      <c r="H19" s="8">
        <v>3.72</v>
      </c>
      <c r="I19" s="12">
        <v>0</v>
      </c>
    </row>
    <row r="20" spans="2:9" ht="15" customHeight="1" x14ac:dyDescent="0.2">
      <c r="B20" s="9" t="s">
        <v>232</v>
      </c>
      <c r="C20" s="12">
        <f>SUM(LTBL_21361[総数／事業所数])</f>
        <v>509</v>
      </c>
      <c r="E20" s="12">
        <f>SUBTOTAL(109,LTBL_21361[個人／事業所数])</f>
        <v>275</v>
      </c>
      <c r="G20" s="12">
        <f>SUBTOTAL(109,LTBL_21361[法人／事業所数])</f>
        <v>215</v>
      </c>
      <c r="I20" s="12">
        <f>SUBTOTAL(109,LTBL_21361[法人以外の団体／事業所数])</f>
        <v>3</v>
      </c>
    </row>
    <row r="21" spans="2:9" ht="15" customHeight="1" x14ac:dyDescent="0.2">
      <c r="E21" s="11">
        <f>LTBL_21361[[#Totals],[個人／事業所数]]/LTBL_21361[[#Totals],[総数／事業所数]]</f>
        <v>0.54027504911591351</v>
      </c>
      <c r="G21" s="11">
        <f>LTBL_21361[[#Totals],[法人／事業所数]]/LTBL_21361[[#Totals],[総数／事業所数]]</f>
        <v>0.42239685658153242</v>
      </c>
      <c r="I21" s="11">
        <f>LTBL_21361[[#Totals],[法人以外の団体／事業所数]]/LTBL_21361[[#Totals],[総数／事業所数]]</f>
        <v>5.893909626719057E-3</v>
      </c>
    </row>
    <row r="23" spans="2:9" ht="33" customHeight="1" x14ac:dyDescent="0.2">
      <c r="B23" t="s">
        <v>233</v>
      </c>
      <c r="C23" s="10" t="s">
        <v>59</v>
      </c>
      <c r="D23" s="10" t="s">
        <v>60</v>
      </c>
      <c r="E23" s="10" t="s">
        <v>61</v>
      </c>
      <c r="F23" s="10" t="s">
        <v>62</v>
      </c>
      <c r="G23" s="10" t="s">
        <v>63</v>
      </c>
      <c r="H23" s="10" t="s">
        <v>64</v>
      </c>
      <c r="I23" s="10" t="s">
        <v>65</v>
      </c>
    </row>
    <row r="24" spans="2:9" ht="15" customHeight="1" x14ac:dyDescent="0.2">
      <c r="B24" t="s">
        <v>82</v>
      </c>
      <c r="C24" s="12">
        <v>64</v>
      </c>
      <c r="D24" s="8">
        <v>12.57</v>
      </c>
      <c r="E24" s="12">
        <v>60</v>
      </c>
      <c r="F24" s="8">
        <v>21.82</v>
      </c>
      <c r="G24" s="12">
        <v>4</v>
      </c>
      <c r="H24" s="8">
        <v>1.86</v>
      </c>
      <c r="I24" s="12">
        <v>0</v>
      </c>
    </row>
    <row r="25" spans="2:9" ht="15" customHeight="1" x14ac:dyDescent="0.2">
      <c r="B25" t="s">
        <v>66</v>
      </c>
      <c r="C25" s="12">
        <v>52</v>
      </c>
      <c r="D25" s="8">
        <v>10.220000000000001</v>
      </c>
      <c r="E25" s="12">
        <v>10</v>
      </c>
      <c r="F25" s="8">
        <v>3.64</v>
      </c>
      <c r="G25" s="12">
        <v>42</v>
      </c>
      <c r="H25" s="8">
        <v>19.53</v>
      </c>
      <c r="I25" s="12">
        <v>0</v>
      </c>
    </row>
    <row r="26" spans="2:9" ht="15" customHeight="1" x14ac:dyDescent="0.2">
      <c r="B26" t="s">
        <v>81</v>
      </c>
      <c r="C26" s="12">
        <v>39</v>
      </c>
      <c r="D26" s="8">
        <v>7.66</v>
      </c>
      <c r="E26" s="12">
        <v>36</v>
      </c>
      <c r="F26" s="8">
        <v>13.09</v>
      </c>
      <c r="G26" s="12">
        <v>3</v>
      </c>
      <c r="H26" s="8">
        <v>1.4</v>
      </c>
      <c r="I26" s="12">
        <v>0</v>
      </c>
    </row>
    <row r="27" spans="2:9" ht="15" customHeight="1" x14ac:dyDescent="0.2">
      <c r="B27" t="s">
        <v>77</v>
      </c>
      <c r="C27" s="12">
        <v>30</v>
      </c>
      <c r="D27" s="8">
        <v>5.89</v>
      </c>
      <c r="E27" s="12">
        <v>12</v>
      </c>
      <c r="F27" s="8">
        <v>4.3600000000000003</v>
      </c>
      <c r="G27" s="12">
        <v>18</v>
      </c>
      <c r="H27" s="8">
        <v>8.3699999999999992</v>
      </c>
      <c r="I27" s="12">
        <v>0</v>
      </c>
    </row>
    <row r="28" spans="2:9" ht="15" customHeight="1" x14ac:dyDescent="0.2">
      <c r="B28" t="s">
        <v>83</v>
      </c>
      <c r="C28" s="12">
        <v>27</v>
      </c>
      <c r="D28" s="8">
        <v>5.3</v>
      </c>
      <c r="E28" s="12">
        <v>12</v>
      </c>
      <c r="F28" s="8">
        <v>4.3600000000000003</v>
      </c>
      <c r="G28" s="12">
        <v>6</v>
      </c>
      <c r="H28" s="8">
        <v>2.79</v>
      </c>
      <c r="I28" s="12">
        <v>0</v>
      </c>
    </row>
    <row r="29" spans="2:9" ht="15" customHeight="1" x14ac:dyDescent="0.2">
      <c r="B29" t="s">
        <v>75</v>
      </c>
      <c r="C29" s="12">
        <v>23</v>
      </c>
      <c r="D29" s="8">
        <v>4.5199999999999996</v>
      </c>
      <c r="E29" s="12">
        <v>17</v>
      </c>
      <c r="F29" s="8">
        <v>6.18</v>
      </c>
      <c r="G29" s="12">
        <v>5</v>
      </c>
      <c r="H29" s="8">
        <v>2.33</v>
      </c>
      <c r="I29" s="12">
        <v>1</v>
      </c>
    </row>
    <row r="30" spans="2:9" ht="15" customHeight="1" x14ac:dyDescent="0.2">
      <c r="B30" t="s">
        <v>67</v>
      </c>
      <c r="C30" s="12">
        <v>20</v>
      </c>
      <c r="D30" s="8">
        <v>3.93</v>
      </c>
      <c r="E30" s="12">
        <v>15</v>
      </c>
      <c r="F30" s="8">
        <v>5.45</v>
      </c>
      <c r="G30" s="12">
        <v>5</v>
      </c>
      <c r="H30" s="8">
        <v>2.33</v>
      </c>
      <c r="I30" s="12">
        <v>0</v>
      </c>
    </row>
    <row r="31" spans="2:9" ht="15" customHeight="1" x14ac:dyDescent="0.2">
      <c r="B31" t="s">
        <v>76</v>
      </c>
      <c r="C31" s="12">
        <v>18</v>
      </c>
      <c r="D31" s="8">
        <v>3.54</v>
      </c>
      <c r="E31" s="12">
        <v>9</v>
      </c>
      <c r="F31" s="8">
        <v>3.27</v>
      </c>
      <c r="G31" s="12">
        <v>9</v>
      </c>
      <c r="H31" s="8">
        <v>4.1900000000000004</v>
      </c>
      <c r="I31" s="12">
        <v>0</v>
      </c>
    </row>
    <row r="32" spans="2:9" ht="15" customHeight="1" x14ac:dyDescent="0.2">
      <c r="B32" t="s">
        <v>84</v>
      </c>
      <c r="C32" s="12">
        <v>18</v>
      </c>
      <c r="D32" s="8">
        <v>3.54</v>
      </c>
      <c r="E32" s="12">
        <v>17</v>
      </c>
      <c r="F32" s="8">
        <v>6.18</v>
      </c>
      <c r="G32" s="12">
        <v>1</v>
      </c>
      <c r="H32" s="8">
        <v>0.47</v>
      </c>
      <c r="I32" s="12">
        <v>0</v>
      </c>
    </row>
    <row r="33" spans="2:9" ht="15" customHeight="1" x14ac:dyDescent="0.2">
      <c r="B33" t="s">
        <v>68</v>
      </c>
      <c r="C33" s="12">
        <v>17</v>
      </c>
      <c r="D33" s="8">
        <v>3.34</v>
      </c>
      <c r="E33" s="12">
        <v>8</v>
      </c>
      <c r="F33" s="8">
        <v>2.91</v>
      </c>
      <c r="G33" s="12">
        <v>9</v>
      </c>
      <c r="H33" s="8">
        <v>4.1900000000000004</v>
      </c>
      <c r="I33" s="12">
        <v>0</v>
      </c>
    </row>
    <row r="34" spans="2:9" ht="15" customHeight="1" x14ac:dyDescent="0.2">
      <c r="B34" t="s">
        <v>79</v>
      </c>
      <c r="C34" s="12">
        <v>17</v>
      </c>
      <c r="D34" s="8">
        <v>3.34</v>
      </c>
      <c r="E34" s="12">
        <v>14</v>
      </c>
      <c r="F34" s="8">
        <v>5.09</v>
      </c>
      <c r="G34" s="12">
        <v>3</v>
      </c>
      <c r="H34" s="8">
        <v>1.4</v>
      </c>
      <c r="I34" s="12">
        <v>0</v>
      </c>
    </row>
    <row r="35" spans="2:9" ht="15" customHeight="1" x14ac:dyDescent="0.2">
      <c r="B35" t="s">
        <v>71</v>
      </c>
      <c r="C35" s="12">
        <v>16</v>
      </c>
      <c r="D35" s="8">
        <v>3.14</v>
      </c>
      <c r="E35" s="12">
        <v>3</v>
      </c>
      <c r="F35" s="8">
        <v>1.0900000000000001</v>
      </c>
      <c r="G35" s="12">
        <v>13</v>
      </c>
      <c r="H35" s="8">
        <v>6.05</v>
      </c>
      <c r="I35" s="12">
        <v>0</v>
      </c>
    </row>
    <row r="36" spans="2:9" ht="15" customHeight="1" x14ac:dyDescent="0.2">
      <c r="B36" t="s">
        <v>93</v>
      </c>
      <c r="C36" s="12">
        <v>13</v>
      </c>
      <c r="D36" s="8">
        <v>2.5499999999999998</v>
      </c>
      <c r="E36" s="12">
        <v>7</v>
      </c>
      <c r="F36" s="8">
        <v>2.5499999999999998</v>
      </c>
      <c r="G36" s="12">
        <v>6</v>
      </c>
      <c r="H36" s="8">
        <v>2.79</v>
      </c>
      <c r="I36" s="12">
        <v>0</v>
      </c>
    </row>
    <row r="37" spans="2:9" ht="15" customHeight="1" x14ac:dyDescent="0.2">
      <c r="B37" t="s">
        <v>69</v>
      </c>
      <c r="C37" s="12">
        <v>12</v>
      </c>
      <c r="D37" s="8">
        <v>2.36</v>
      </c>
      <c r="E37" s="12">
        <v>1</v>
      </c>
      <c r="F37" s="8">
        <v>0.36</v>
      </c>
      <c r="G37" s="12">
        <v>11</v>
      </c>
      <c r="H37" s="8">
        <v>5.12</v>
      </c>
      <c r="I37" s="12">
        <v>0</v>
      </c>
    </row>
    <row r="38" spans="2:9" ht="15" customHeight="1" x14ac:dyDescent="0.2">
      <c r="B38" t="s">
        <v>74</v>
      </c>
      <c r="C38" s="12">
        <v>11</v>
      </c>
      <c r="D38" s="8">
        <v>2.16</v>
      </c>
      <c r="E38" s="12">
        <v>5</v>
      </c>
      <c r="F38" s="8">
        <v>1.82</v>
      </c>
      <c r="G38" s="12">
        <v>6</v>
      </c>
      <c r="H38" s="8">
        <v>2.79</v>
      </c>
      <c r="I38" s="12">
        <v>0</v>
      </c>
    </row>
    <row r="39" spans="2:9" ht="15" customHeight="1" x14ac:dyDescent="0.2">
      <c r="B39" t="s">
        <v>90</v>
      </c>
      <c r="C39" s="12">
        <v>10</v>
      </c>
      <c r="D39" s="8">
        <v>1.96</v>
      </c>
      <c r="E39" s="12">
        <v>5</v>
      </c>
      <c r="F39" s="8">
        <v>1.82</v>
      </c>
      <c r="G39" s="12">
        <v>4</v>
      </c>
      <c r="H39" s="8">
        <v>1.86</v>
      </c>
      <c r="I39" s="12">
        <v>0</v>
      </c>
    </row>
    <row r="40" spans="2:9" ht="15" customHeight="1" x14ac:dyDescent="0.2">
      <c r="B40" t="s">
        <v>80</v>
      </c>
      <c r="C40" s="12">
        <v>9</v>
      </c>
      <c r="D40" s="8">
        <v>1.77</v>
      </c>
      <c r="E40" s="12">
        <v>3</v>
      </c>
      <c r="F40" s="8">
        <v>1.0900000000000001</v>
      </c>
      <c r="G40" s="12">
        <v>6</v>
      </c>
      <c r="H40" s="8">
        <v>2.79</v>
      </c>
      <c r="I40" s="12">
        <v>0</v>
      </c>
    </row>
    <row r="41" spans="2:9" ht="15" customHeight="1" x14ac:dyDescent="0.2">
      <c r="B41" t="s">
        <v>72</v>
      </c>
      <c r="C41" s="12">
        <v>8</v>
      </c>
      <c r="D41" s="8">
        <v>1.57</v>
      </c>
      <c r="E41" s="12">
        <v>3</v>
      </c>
      <c r="F41" s="8">
        <v>1.0900000000000001</v>
      </c>
      <c r="G41" s="12">
        <v>5</v>
      </c>
      <c r="H41" s="8">
        <v>2.33</v>
      </c>
      <c r="I41" s="12">
        <v>0</v>
      </c>
    </row>
    <row r="42" spans="2:9" ht="15" customHeight="1" x14ac:dyDescent="0.2">
      <c r="B42" t="s">
        <v>73</v>
      </c>
      <c r="C42" s="12">
        <v>7</v>
      </c>
      <c r="D42" s="8">
        <v>1.38</v>
      </c>
      <c r="E42" s="12">
        <v>3</v>
      </c>
      <c r="F42" s="8">
        <v>1.0900000000000001</v>
      </c>
      <c r="G42" s="12">
        <v>3</v>
      </c>
      <c r="H42" s="8">
        <v>1.4</v>
      </c>
      <c r="I42" s="12">
        <v>1</v>
      </c>
    </row>
    <row r="43" spans="2:9" ht="15" customHeight="1" x14ac:dyDescent="0.2">
      <c r="B43" t="s">
        <v>100</v>
      </c>
      <c r="C43" s="12">
        <v>6</v>
      </c>
      <c r="D43" s="8">
        <v>1.18</v>
      </c>
      <c r="E43" s="12">
        <v>3</v>
      </c>
      <c r="F43" s="8">
        <v>1.0900000000000001</v>
      </c>
      <c r="G43" s="12">
        <v>3</v>
      </c>
      <c r="H43" s="8">
        <v>1.4</v>
      </c>
      <c r="I43" s="12">
        <v>0</v>
      </c>
    </row>
    <row r="44" spans="2:9" ht="15" customHeight="1" x14ac:dyDescent="0.2">
      <c r="B44" t="s">
        <v>97</v>
      </c>
      <c r="C44" s="12">
        <v>6</v>
      </c>
      <c r="D44" s="8">
        <v>1.18</v>
      </c>
      <c r="E44" s="12">
        <v>0</v>
      </c>
      <c r="F44" s="8">
        <v>0</v>
      </c>
      <c r="G44" s="12">
        <v>3</v>
      </c>
      <c r="H44" s="8">
        <v>1.4</v>
      </c>
      <c r="I44" s="12">
        <v>0</v>
      </c>
    </row>
    <row r="45" spans="2:9" ht="15" customHeight="1" x14ac:dyDescent="0.2">
      <c r="B45" t="s">
        <v>85</v>
      </c>
      <c r="C45" s="12">
        <v>6</v>
      </c>
      <c r="D45" s="8">
        <v>1.18</v>
      </c>
      <c r="E45" s="12">
        <v>5</v>
      </c>
      <c r="F45" s="8">
        <v>1.82</v>
      </c>
      <c r="G45" s="12">
        <v>1</v>
      </c>
      <c r="H45" s="8">
        <v>0.47</v>
      </c>
      <c r="I45" s="12">
        <v>0</v>
      </c>
    </row>
    <row r="48" spans="2:9" ht="33" customHeight="1" x14ac:dyDescent="0.2">
      <c r="B48" t="s">
        <v>234</v>
      </c>
      <c r="C48" s="10" t="s">
        <v>59</v>
      </c>
      <c r="D48" s="10" t="s">
        <v>60</v>
      </c>
      <c r="E48" s="10" t="s">
        <v>61</v>
      </c>
      <c r="F48" s="10" t="s">
        <v>62</v>
      </c>
      <c r="G48" s="10" t="s">
        <v>63</v>
      </c>
      <c r="H48" s="10" t="s">
        <v>64</v>
      </c>
      <c r="I48" s="10" t="s">
        <v>65</v>
      </c>
    </row>
    <row r="49" spans="2:9" ht="15" customHeight="1" x14ac:dyDescent="0.2">
      <c r="B49" t="s">
        <v>138</v>
      </c>
      <c r="C49" s="12">
        <v>33</v>
      </c>
      <c r="D49" s="8">
        <v>6.48</v>
      </c>
      <c r="E49" s="12">
        <v>31</v>
      </c>
      <c r="F49" s="8">
        <v>11.27</v>
      </c>
      <c r="G49" s="12">
        <v>2</v>
      </c>
      <c r="H49" s="8">
        <v>0.93</v>
      </c>
      <c r="I49" s="12">
        <v>0</v>
      </c>
    </row>
    <row r="50" spans="2:9" ht="15" customHeight="1" x14ac:dyDescent="0.2">
      <c r="B50" t="s">
        <v>137</v>
      </c>
      <c r="C50" s="12">
        <v>20</v>
      </c>
      <c r="D50" s="8">
        <v>3.93</v>
      </c>
      <c r="E50" s="12">
        <v>20</v>
      </c>
      <c r="F50" s="8">
        <v>7.27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122</v>
      </c>
      <c r="C51" s="12">
        <v>17</v>
      </c>
      <c r="D51" s="8">
        <v>3.34</v>
      </c>
      <c r="E51" s="12">
        <v>2</v>
      </c>
      <c r="F51" s="8">
        <v>0.73</v>
      </c>
      <c r="G51" s="12">
        <v>15</v>
      </c>
      <c r="H51" s="8">
        <v>6.98</v>
      </c>
      <c r="I51" s="12">
        <v>0</v>
      </c>
    </row>
    <row r="52" spans="2:9" ht="15" customHeight="1" x14ac:dyDescent="0.2">
      <c r="B52" t="s">
        <v>128</v>
      </c>
      <c r="C52" s="12">
        <v>16</v>
      </c>
      <c r="D52" s="8">
        <v>3.14</v>
      </c>
      <c r="E52" s="12">
        <v>7</v>
      </c>
      <c r="F52" s="8">
        <v>2.5499999999999998</v>
      </c>
      <c r="G52" s="12">
        <v>9</v>
      </c>
      <c r="H52" s="8">
        <v>4.1900000000000004</v>
      </c>
      <c r="I52" s="12">
        <v>0</v>
      </c>
    </row>
    <row r="53" spans="2:9" ht="15" customHeight="1" x14ac:dyDescent="0.2">
      <c r="B53" t="s">
        <v>136</v>
      </c>
      <c r="C53" s="12">
        <v>16</v>
      </c>
      <c r="D53" s="8">
        <v>3.14</v>
      </c>
      <c r="E53" s="12">
        <v>16</v>
      </c>
      <c r="F53" s="8">
        <v>5.82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123</v>
      </c>
      <c r="C54" s="12">
        <v>15</v>
      </c>
      <c r="D54" s="8">
        <v>2.95</v>
      </c>
      <c r="E54" s="12">
        <v>1</v>
      </c>
      <c r="F54" s="8">
        <v>0.36</v>
      </c>
      <c r="G54" s="12">
        <v>14</v>
      </c>
      <c r="H54" s="8">
        <v>6.51</v>
      </c>
      <c r="I54" s="12">
        <v>0</v>
      </c>
    </row>
    <row r="55" spans="2:9" ht="15" customHeight="1" x14ac:dyDescent="0.2">
      <c r="B55" t="s">
        <v>140</v>
      </c>
      <c r="C55" s="12">
        <v>14</v>
      </c>
      <c r="D55" s="8">
        <v>2.75</v>
      </c>
      <c r="E55" s="12">
        <v>13</v>
      </c>
      <c r="F55" s="8">
        <v>4.7300000000000004</v>
      </c>
      <c r="G55" s="12">
        <v>1</v>
      </c>
      <c r="H55" s="8">
        <v>0.47</v>
      </c>
      <c r="I55" s="12">
        <v>0</v>
      </c>
    </row>
    <row r="56" spans="2:9" ht="15" customHeight="1" x14ac:dyDescent="0.2">
      <c r="B56" t="s">
        <v>153</v>
      </c>
      <c r="C56" s="12">
        <v>13</v>
      </c>
      <c r="D56" s="8">
        <v>2.5499999999999998</v>
      </c>
      <c r="E56" s="12">
        <v>3</v>
      </c>
      <c r="F56" s="8">
        <v>1.0900000000000001</v>
      </c>
      <c r="G56" s="12">
        <v>10</v>
      </c>
      <c r="H56" s="8">
        <v>4.6500000000000004</v>
      </c>
      <c r="I56" s="12">
        <v>0</v>
      </c>
    </row>
    <row r="57" spans="2:9" ht="15" customHeight="1" x14ac:dyDescent="0.2">
      <c r="B57" t="s">
        <v>125</v>
      </c>
      <c r="C57" s="12">
        <v>12</v>
      </c>
      <c r="D57" s="8">
        <v>2.36</v>
      </c>
      <c r="E57" s="12">
        <v>7</v>
      </c>
      <c r="F57" s="8">
        <v>2.5499999999999998</v>
      </c>
      <c r="G57" s="12">
        <v>5</v>
      </c>
      <c r="H57" s="8">
        <v>2.33</v>
      </c>
      <c r="I57" s="12">
        <v>0</v>
      </c>
    </row>
    <row r="58" spans="2:9" ht="15" customHeight="1" x14ac:dyDescent="0.2">
      <c r="B58" t="s">
        <v>124</v>
      </c>
      <c r="C58" s="12">
        <v>11</v>
      </c>
      <c r="D58" s="8">
        <v>2.16</v>
      </c>
      <c r="E58" s="12">
        <v>5</v>
      </c>
      <c r="F58" s="8">
        <v>1.82</v>
      </c>
      <c r="G58" s="12">
        <v>6</v>
      </c>
      <c r="H58" s="8">
        <v>2.79</v>
      </c>
      <c r="I58" s="12">
        <v>0</v>
      </c>
    </row>
    <row r="59" spans="2:9" ht="15" customHeight="1" x14ac:dyDescent="0.2">
      <c r="B59" t="s">
        <v>134</v>
      </c>
      <c r="C59" s="12">
        <v>11</v>
      </c>
      <c r="D59" s="8">
        <v>2.16</v>
      </c>
      <c r="E59" s="12">
        <v>10</v>
      </c>
      <c r="F59" s="8">
        <v>3.64</v>
      </c>
      <c r="G59" s="12">
        <v>1</v>
      </c>
      <c r="H59" s="8">
        <v>0.47</v>
      </c>
      <c r="I59" s="12">
        <v>0</v>
      </c>
    </row>
    <row r="60" spans="2:9" ht="15" customHeight="1" x14ac:dyDescent="0.2">
      <c r="B60" t="s">
        <v>139</v>
      </c>
      <c r="C60" s="12">
        <v>10</v>
      </c>
      <c r="D60" s="8">
        <v>1.96</v>
      </c>
      <c r="E60" s="12">
        <v>6</v>
      </c>
      <c r="F60" s="8">
        <v>2.1800000000000002</v>
      </c>
      <c r="G60" s="12">
        <v>4</v>
      </c>
      <c r="H60" s="8">
        <v>1.86</v>
      </c>
      <c r="I60" s="12">
        <v>0</v>
      </c>
    </row>
    <row r="61" spans="2:9" ht="15" customHeight="1" x14ac:dyDescent="0.2">
      <c r="B61" t="s">
        <v>130</v>
      </c>
      <c r="C61" s="12">
        <v>9</v>
      </c>
      <c r="D61" s="8">
        <v>1.77</v>
      </c>
      <c r="E61" s="12">
        <v>6</v>
      </c>
      <c r="F61" s="8">
        <v>2.1800000000000002</v>
      </c>
      <c r="G61" s="12">
        <v>3</v>
      </c>
      <c r="H61" s="8">
        <v>1.4</v>
      </c>
      <c r="I61" s="12">
        <v>0</v>
      </c>
    </row>
    <row r="62" spans="2:9" ht="15" customHeight="1" x14ac:dyDescent="0.2">
      <c r="B62" t="s">
        <v>144</v>
      </c>
      <c r="C62" s="12">
        <v>9</v>
      </c>
      <c r="D62" s="8">
        <v>1.77</v>
      </c>
      <c r="E62" s="12">
        <v>7</v>
      </c>
      <c r="F62" s="8">
        <v>2.5499999999999998</v>
      </c>
      <c r="G62" s="12">
        <v>2</v>
      </c>
      <c r="H62" s="8">
        <v>0.93</v>
      </c>
      <c r="I62" s="12">
        <v>0</v>
      </c>
    </row>
    <row r="63" spans="2:9" ht="15" customHeight="1" x14ac:dyDescent="0.2">
      <c r="B63" t="s">
        <v>190</v>
      </c>
      <c r="C63" s="12">
        <v>8</v>
      </c>
      <c r="D63" s="8">
        <v>1.57</v>
      </c>
      <c r="E63" s="12">
        <v>1</v>
      </c>
      <c r="F63" s="8">
        <v>0.36</v>
      </c>
      <c r="G63" s="12">
        <v>7</v>
      </c>
      <c r="H63" s="8">
        <v>3.26</v>
      </c>
      <c r="I63" s="12">
        <v>0</v>
      </c>
    </row>
    <row r="64" spans="2:9" ht="15" customHeight="1" x14ac:dyDescent="0.2">
      <c r="B64" t="s">
        <v>191</v>
      </c>
      <c r="C64" s="12">
        <v>8</v>
      </c>
      <c r="D64" s="8">
        <v>1.57</v>
      </c>
      <c r="E64" s="12">
        <v>7</v>
      </c>
      <c r="F64" s="8">
        <v>2.5499999999999998</v>
      </c>
      <c r="G64" s="12">
        <v>1</v>
      </c>
      <c r="H64" s="8">
        <v>0.47</v>
      </c>
      <c r="I64" s="12">
        <v>0</v>
      </c>
    </row>
    <row r="65" spans="2:9" ht="15" customHeight="1" x14ac:dyDescent="0.2">
      <c r="B65" t="s">
        <v>148</v>
      </c>
      <c r="C65" s="12">
        <v>8</v>
      </c>
      <c r="D65" s="8">
        <v>1.57</v>
      </c>
      <c r="E65" s="12">
        <v>5</v>
      </c>
      <c r="F65" s="8">
        <v>1.82</v>
      </c>
      <c r="G65" s="12">
        <v>3</v>
      </c>
      <c r="H65" s="8">
        <v>1.4</v>
      </c>
      <c r="I65" s="12">
        <v>0</v>
      </c>
    </row>
    <row r="66" spans="2:9" ht="15" customHeight="1" x14ac:dyDescent="0.2">
      <c r="B66" t="s">
        <v>184</v>
      </c>
      <c r="C66" s="12">
        <v>8</v>
      </c>
      <c r="D66" s="8">
        <v>1.57</v>
      </c>
      <c r="E66" s="12">
        <v>0</v>
      </c>
      <c r="F66" s="8">
        <v>0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165</v>
      </c>
      <c r="C67" s="12">
        <v>7</v>
      </c>
      <c r="D67" s="8">
        <v>1.38</v>
      </c>
      <c r="E67" s="12">
        <v>4</v>
      </c>
      <c r="F67" s="8">
        <v>1.45</v>
      </c>
      <c r="G67" s="12">
        <v>3</v>
      </c>
      <c r="H67" s="8">
        <v>1.4</v>
      </c>
      <c r="I67" s="12">
        <v>0</v>
      </c>
    </row>
    <row r="68" spans="2:9" ht="15" customHeight="1" x14ac:dyDescent="0.2">
      <c r="B68" t="s">
        <v>133</v>
      </c>
      <c r="C68" s="12">
        <v>7</v>
      </c>
      <c r="D68" s="8">
        <v>1.38</v>
      </c>
      <c r="E68" s="12">
        <v>1</v>
      </c>
      <c r="F68" s="8">
        <v>0.36</v>
      </c>
      <c r="G68" s="12">
        <v>6</v>
      </c>
      <c r="H68" s="8">
        <v>2.79</v>
      </c>
      <c r="I68" s="12">
        <v>0</v>
      </c>
    </row>
    <row r="69" spans="2:9" ht="15" customHeight="1" x14ac:dyDescent="0.2">
      <c r="B69" t="s">
        <v>145</v>
      </c>
      <c r="C69" s="12">
        <v>7</v>
      </c>
      <c r="D69" s="8">
        <v>1.38</v>
      </c>
      <c r="E69" s="12">
        <v>6</v>
      </c>
      <c r="F69" s="8">
        <v>2.1800000000000002</v>
      </c>
      <c r="G69" s="12">
        <v>1</v>
      </c>
      <c r="H69" s="8">
        <v>0.47</v>
      </c>
      <c r="I69" s="12">
        <v>0</v>
      </c>
    </row>
    <row r="71" spans="2:9" ht="15" customHeight="1" x14ac:dyDescent="0.2">
      <c r="B71" t="s">
        <v>235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C1307-EEBD-41EF-B926-CFF29E25F778}">
  <sheetPr>
    <pageSetUpPr fitToPage="1"/>
  </sheetPr>
  <dimension ref="B2:I7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261</v>
      </c>
    </row>
    <row r="4" spans="2:9" ht="33" customHeight="1" x14ac:dyDescent="0.2">
      <c r="B4" t="s">
        <v>231</v>
      </c>
      <c r="C4" s="10" t="s">
        <v>59</v>
      </c>
      <c r="D4" s="10" t="s">
        <v>60</v>
      </c>
      <c r="E4" s="10" t="s">
        <v>61</v>
      </c>
      <c r="F4" s="10" t="s">
        <v>62</v>
      </c>
      <c r="G4" s="10" t="s">
        <v>63</v>
      </c>
      <c r="H4" s="10" t="s">
        <v>64</v>
      </c>
      <c r="I4" s="10" t="s">
        <v>65</v>
      </c>
    </row>
    <row r="5" spans="2:9" ht="15" customHeight="1" x14ac:dyDescent="0.2">
      <c r="B5" t="s">
        <v>43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44</v>
      </c>
      <c r="C6" s="12">
        <v>32</v>
      </c>
      <c r="D6" s="8">
        <v>17.68</v>
      </c>
      <c r="E6" s="12">
        <v>16</v>
      </c>
      <c r="F6" s="8">
        <v>14.41</v>
      </c>
      <c r="G6" s="12">
        <v>16</v>
      </c>
      <c r="H6" s="8">
        <v>25.4</v>
      </c>
      <c r="I6" s="12">
        <v>0</v>
      </c>
    </row>
    <row r="7" spans="2:9" ht="15" customHeight="1" x14ac:dyDescent="0.2">
      <c r="B7" t="s">
        <v>45</v>
      </c>
      <c r="C7" s="12">
        <v>37</v>
      </c>
      <c r="D7" s="8">
        <v>20.440000000000001</v>
      </c>
      <c r="E7" s="12">
        <v>17</v>
      </c>
      <c r="F7" s="8">
        <v>15.32</v>
      </c>
      <c r="G7" s="12">
        <v>20</v>
      </c>
      <c r="H7" s="8">
        <v>31.75</v>
      </c>
      <c r="I7" s="12">
        <v>0</v>
      </c>
    </row>
    <row r="8" spans="2:9" ht="15" customHeight="1" x14ac:dyDescent="0.2">
      <c r="B8" t="s">
        <v>46</v>
      </c>
      <c r="C8" s="12">
        <v>1</v>
      </c>
      <c r="D8" s="8">
        <v>0.55000000000000004</v>
      </c>
      <c r="E8" s="12">
        <v>0</v>
      </c>
      <c r="F8" s="8">
        <v>0</v>
      </c>
      <c r="G8" s="12">
        <v>1</v>
      </c>
      <c r="H8" s="8">
        <v>1.59</v>
      </c>
      <c r="I8" s="12">
        <v>0</v>
      </c>
    </row>
    <row r="9" spans="2:9" ht="15" customHeight="1" x14ac:dyDescent="0.2">
      <c r="B9" t="s">
        <v>47</v>
      </c>
      <c r="C9" s="12">
        <v>1</v>
      </c>
      <c r="D9" s="8">
        <v>0.55000000000000004</v>
      </c>
      <c r="E9" s="12">
        <v>1</v>
      </c>
      <c r="F9" s="8">
        <v>0.9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48</v>
      </c>
      <c r="C10" s="12">
        <v>1</v>
      </c>
      <c r="D10" s="8">
        <v>0.55000000000000004</v>
      </c>
      <c r="E10" s="12">
        <v>0</v>
      </c>
      <c r="F10" s="8">
        <v>0</v>
      </c>
      <c r="G10" s="12">
        <v>1</v>
      </c>
      <c r="H10" s="8">
        <v>1.59</v>
      </c>
      <c r="I10" s="12">
        <v>0</v>
      </c>
    </row>
    <row r="11" spans="2:9" ht="15" customHeight="1" x14ac:dyDescent="0.2">
      <c r="B11" t="s">
        <v>49</v>
      </c>
      <c r="C11" s="12">
        <v>47</v>
      </c>
      <c r="D11" s="8">
        <v>25.97</v>
      </c>
      <c r="E11" s="12">
        <v>33</v>
      </c>
      <c r="F11" s="8">
        <v>29.73</v>
      </c>
      <c r="G11" s="12">
        <v>14</v>
      </c>
      <c r="H11" s="8">
        <v>22.22</v>
      </c>
      <c r="I11" s="12">
        <v>0</v>
      </c>
    </row>
    <row r="12" spans="2:9" ht="15" customHeight="1" x14ac:dyDescent="0.2">
      <c r="B12" t="s">
        <v>50</v>
      </c>
      <c r="C12" s="12">
        <v>1</v>
      </c>
      <c r="D12" s="8">
        <v>0.55000000000000004</v>
      </c>
      <c r="E12" s="12">
        <v>0</v>
      </c>
      <c r="F12" s="8">
        <v>0</v>
      </c>
      <c r="G12" s="12">
        <v>1</v>
      </c>
      <c r="H12" s="8">
        <v>1.59</v>
      </c>
      <c r="I12" s="12">
        <v>0</v>
      </c>
    </row>
    <row r="13" spans="2:9" ht="15" customHeight="1" x14ac:dyDescent="0.2">
      <c r="B13" t="s">
        <v>51</v>
      </c>
      <c r="C13" s="12">
        <v>7</v>
      </c>
      <c r="D13" s="8">
        <v>3.87</v>
      </c>
      <c r="E13" s="12">
        <v>4</v>
      </c>
      <c r="F13" s="8">
        <v>3.6</v>
      </c>
      <c r="G13" s="12">
        <v>3</v>
      </c>
      <c r="H13" s="8">
        <v>4.76</v>
      </c>
      <c r="I13" s="12">
        <v>0</v>
      </c>
    </row>
    <row r="14" spans="2:9" ht="15" customHeight="1" x14ac:dyDescent="0.2">
      <c r="B14" t="s">
        <v>52</v>
      </c>
      <c r="C14" s="12">
        <v>3</v>
      </c>
      <c r="D14" s="8">
        <v>1.66</v>
      </c>
      <c r="E14" s="12">
        <v>2</v>
      </c>
      <c r="F14" s="8">
        <v>1.8</v>
      </c>
      <c r="G14" s="12">
        <v>1</v>
      </c>
      <c r="H14" s="8">
        <v>1.59</v>
      </c>
      <c r="I14" s="12">
        <v>0</v>
      </c>
    </row>
    <row r="15" spans="2:9" ht="15" customHeight="1" x14ac:dyDescent="0.2">
      <c r="B15" t="s">
        <v>53</v>
      </c>
      <c r="C15" s="12">
        <v>14</v>
      </c>
      <c r="D15" s="8">
        <v>7.73</v>
      </c>
      <c r="E15" s="12">
        <v>11</v>
      </c>
      <c r="F15" s="8">
        <v>9.91</v>
      </c>
      <c r="G15" s="12">
        <v>3</v>
      </c>
      <c r="H15" s="8">
        <v>4.76</v>
      </c>
      <c r="I15" s="12">
        <v>0</v>
      </c>
    </row>
    <row r="16" spans="2:9" ht="15" customHeight="1" x14ac:dyDescent="0.2">
      <c r="B16" t="s">
        <v>54</v>
      </c>
      <c r="C16" s="12">
        <v>14</v>
      </c>
      <c r="D16" s="8">
        <v>7.73</v>
      </c>
      <c r="E16" s="12">
        <v>14</v>
      </c>
      <c r="F16" s="8">
        <v>12.61</v>
      </c>
      <c r="G16" s="12">
        <v>0</v>
      </c>
      <c r="H16" s="8">
        <v>0</v>
      </c>
      <c r="I16" s="12">
        <v>0</v>
      </c>
    </row>
    <row r="17" spans="2:9" ht="15" customHeight="1" x14ac:dyDescent="0.2">
      <c r="B17" t="s">
        <v>55</v>
      </c>
      <c r="C17" s="12">
        <v>10</v>
      </c>
      <c r="D17" s="8">
        <v>5.52</v>
      </c>
      <c r="E17" s="12">
        <v>5</v>
      </c>
      <c r="F17" s="8">
        <v>4.5</v>
      </c>
      <c r="G17" s="12">
        <v>0</v>
      </c>
      <c r="H17" s="8">
        <v>0</v>
      </c>
      <c r="I17" s="12">
        <v>1</v>
      </c>
    </row>
    <row r="18" spans="2:9" ht="15" customHeight="1" x14ac:dyDescent="0.2">
      <c r="B18" t="s">
        <v>56</v>
      </c>
      <c r="C18" s="12">
        <v>9</v>
      </c>
      <c r="D18" s="8">
        <v>4.97</v>
      </c>
      <c r="E18" s="12">
        <v>6</v>
      </c>
      <c r="F18" s="8">
        <v>5.41</v>
      </c>
      <c r="G18" s="12">
        <v>2</v>
      </c>
      <c r="H18" s="8">
        <v>3.17</v>
      </c>
      <c r="I18" s="12">
        <v>0</v>
      </c>
    </row>
    <row r="19" spans="2:9" ht="15" customHeight="1" x14ac:dyDescent="0.2">
      <c r="B19" t="s">
        <v>57</v>
      </c>
      <c r="C19" s="12">
        <v>4</v>
      </c>
      <c r="D19" s="8">
        <v>2.21</v>
      </c>
      <c r="E19" s="12">
        <v>2</v>
      </c>
      <c r="F19" s="8">
        <v>1.8</v>
      </c>
      <c r="G19" s="12">
        <v>1</v>
      </c>
      <c r="H19" s="8">
        <v>1.59</v>
      </c>
      <c r="I19" s="12">
        <v>0</v>
      </c>
    </row>
    <row r="20" spans="2:9" ht="15" customHeight="1" x14ac:dyDescent="0.2">
      <c r="B20" s="9" t="s">
        <v>232</v>
      </c>
      <c r="C20" s="12">
        <f>SUM(LTBL_21362[総数／事業所数])</f>
        <v>181</v>
      </c>
      <c r="E20" s="12">
        <f>SUBTOTAL(109,LTBL_21362[個人／事業所数])</f>
        <v>111</v>
      </c>
      <c r="G20" s="12">
        <f>SUBTOTAL(109,LTBL_21362[法人／事業所数])</f>
        <v>63</v>
      </c>
      <c r="I20" s="12">
        <f>SUBTOTAL(109,LTBL_21362[法人以外の団体／事業所数])</f>
        <v>1</v>
      </c>
    </row>
    <row r="21" spans="2:9" ht="15" customHeight="1" x14ac:dyDescent="0.2">
      <c r="E21" s="11">
        <f>LTBL_21362[[#Totals],[個人／事業所数]]/LTBL_21362[[#Totals],[総数／事業所数]]</f>
        <v>0.61325966850828728</v>
      </c>
      <c r="G21" s="11">
        <f>LTBL_21362[[#Totals],[法人／事業所数]]/LTBL_21362[[#Totals],[総数／事業所数]]</f>
        <v>0.34806629834254144</v>
      </c>
      <c r="I21" s="11">
        <f>LTBL_21362[[#Totals],[法人以外の団体／事業所数]]/LTBL_21362[[#Totals],[総数／事業所数]]</f>
        <v>5.5248618784530384E-3</v>
      </c>
    </row>
    <row r="23" spans="2:9" ht="33" customHeight="1" x14ac:dyDescent="0.2">
      <c r="B23" t="s">
        <v>233</v>
      </c>
      <c r="C23" s="10" t="s">
        <v>59</v>
      </c>
      <c r="D23" s="10" t="s">
        <v>60</v>
      </c>
      <c r="E23" s="10" t="s">
        <v>61</v>
      </c>
      <c r="F23" s="10" t="s">
        <v>62</v>
      </c>
      <c r="G23" s="10" t="s">
        <v>63</v>
      </c>
      <c r="H23" s="10" t="s">
        <v>64</v>
      </c>
      <c r="I23" s="10" t="s">
        <v>65</v>
      </c>
    </row>
    <row r="24" spans="2:9" ht="15" customHeight="1" x14ac:dyDescent="0.2">
      <c r="B24" t="s">
        <v>66</v>
      </c>
      <c r="C24" s="12">
        <v>17</v>
      </c>
      <c r="D24" s="8">
        <v>9.39</v>
      </c>
      <c r="E24" s="12">
        <v>8</v>
      </c>
      <c r="F24" s="8">
        <v>7.21</v>
      </c>
      <c r="G24" s="12">
        <v>9</v>
      </c>
      <c r="H24" s="8">
        <v>14.29</v>
      </c>
      <c r="I24" s="12">
        <v>0</v>
      </c>
    </row>
    <row r="25" spans="2:9" ht="15" customHeight="1" x14ac:dyDescent="0.2">
      <c r="B25" t="s">
        <v>77</v>
      </c>
      <c r="C25" s="12">
        <v>16</v>
      </c>
      <c r="D25" s="8">
        <v>8.84</v>
      </c>
      <c r="E25" s="12">
        <v>8</v>
      </c>
      <c r="F25" s="8">
        <v>7.21</v>
      </c>
      <c r="G25" s="12">
        <v>8</v>
      </c>
      <c r="H25" s="8">
        <v>12.7</v>
      </c>
      <c r="I25" s="12">
        <v>0</v>
      </c>
    </row>
    <row r="26" spans="2:9" ht="15" customHeight="1" x14ac:dyDescent="0.2">
      <c r="B26" t="s">
        <v>82</v>
      </c>
      <c r="C26" s="12">
        <v>14</v>
      </c>
      <c r="D26" s="8">
        <v>7.73</v>
      </c>
      <c r="E26" s="12">
        <v>14</v>
      </c>
      <c r="F26" s="8">
        <v>12.61</v>
      </c>
      <c r="G26" s="12">
        <v>0</v>
      </c>
      <c r="H26" s="8">
        <v>0</v>
      </c>
      <c r="I26" s="12">
        <v>0</v>
      </c>
    </row>
    <row r="27" spans="2:9" ht="15" customHeight="1" x14ac:dyDescent="0.2">
      <c r="B27" t="s">
        <v>75</v>
      </c>
      <c r="C27" s="12">
        <v>11</v>
      </c>
      <c r="D27" s="8">
        <v>6.08</v>
      </c>
      <c r="E27" s="12">
        <v>11</v>
      </c>
      <c r="F27" s="8">
        <v>9.91</v>
      </c>
      <c r="G27" s="12">
        <v>0</v>
      </c>
      <c r="H27" s="8">
        <v>0</v>
      </c>
      <c r="I27" s="12">
        <v>0</v>
      </c>
    </row>
    <row r="28" spans="2:9" ht="15" customHeight="1" x14ac:dyDescent="0.2">
      <c r="B28" t="s">
        <v>81</v>
      </c>
      <c r="C28" s="12">
        <v>11</v>
      </c>
      <c r="D28" s="8">
        <v>6.08</v>
      </c>
      <c r="E28" s="12">
        <v>9</v>
      </c>
      <c r="F28" s="8">
        <v>8.11</v>
      </c>
      <c r="G28" s="12">
        <v>2</v>
      </c>
      <c r="H28" s="8">
        <v>3.17</v>
      </c>
      <c r="I28" s="12">
        <v>0</v>
      </c>
    </row>
    <row r="29" spans="2:9" ht="15" customHeight="1" x14ac:dyDescent="0.2">
      <c r="B29" t="s">
        <v>67</v>
      </c>
      <c r="C29" s="12">
        <v>10</v>
      </c>
      <c r="D29" s="8">
        <v>5.52</v>
      </c>
      <c r="E29" s="12">
        <v>7</v>
      </c>
      <c r="F29" s="8">
        <v>6.31</v>
      </c>
      <c r="G29" s="12">
        <v>3</v>
      </c>
      <c r="H29" s="8">
        <v>4.76</v>
      </c>
      <c r="I29" s="12">
        <v>0</v>
      </c>
    </row>
    <row r="30" spans="2:9" ht="15" customHeight="1" x14ac:dyDescent="0.2">
      <c r="B30" t="s">
        <v>83</v>
      </c>
      <c r="C30" s="12">
        <v>10</v>
      </c>
      <c r="D30" s="8">
        <v>5.52</v>
      </c>
      <c r="E30" s="12">
        <v>5</v>
      </c>
      <c r="F30" s="8">
        <v>4.5</v>
      </c>
      <c r="G30" s="12">
        <v>0</v>
      </c>
      <c r="H30" s="8">
        <v>0</v>
      </c>
      <c r="I30" s="12">
        <v>1</v>
      </c>
    </row>
    <row r="31" spans="2:9" ht="15" customHeight="1" x14ac:dyDescent="0.2">
      <c r="B31" t="s">
        <v>76</v>
      </c>
      <c r="C31" s="12">
        <v>8</v>
      </c>
      <c r="D31" s="8">
        <v>4.42</v>
      </c>
      <c r="E31" s="12">
        <v>7</v>
      </c>
      <c r="F31" s="8">
        <v>6.31</v>
      </c>
      <c r="G31" s="12">
        <v>1</v>
      </c>
      <c r="H31" s="8">
        <v>1.59</v>
      </c>
      <c r="I31" s="12">
        <v>0</v>
      </c>
    </row>
    <row r="32" spans="2:9" ht="15" customHeight="1" x14ac:dyDescent="0.2">
      <c r="B32" t="s">
        <v>71</v>
      </c>
      <c r="C32" s="12">
        <v>7</v>
      </c>
      <c r="D32" s="8">
        <v>3.87</v>
      </c>
      <c r="E32" s="12">
        <v>2</v>
      </c>
      <c r="F32" s="8">
        <v>1.8</v>
      </c>
      <c r="G32" s="12">
        <v>5</v>
      </c>
      <c r="H32" s="8">
        <v>7.94</v>
      </c>
      <c r="I32" s="12">
        <v>0</v>
      </c>
    </row>
    <row r="33" spans="2:9" ht="15" customHeight="1" x14ac:dyDescent="0.2">
      <c r="B33" t="s">
        <v>78</v>
      </c>
      <c r="C33" s="12">
        <v>7</v>
      </c>
      <c r="D33" s="8">
        <v>3.87</v>
      </c>
      <c r="E33" s="12">
        <v>4</v>
      </c>
      <c r="F33" s="8">
        <v>3.6</v>
      </c>
      <c r="G33" s="12">
        <v>3</v>
      </c>
      <c r="H33" s="8">
        <v>4.76</v>
      </c>
      <c r="I33" s="12">
        <v>0</v>
      </c>
    </row>
    <row r="34" spans="2:9" ht="15" customHeight="1" x14ac:dyDescent="0.2">
      <c r="B34" t="s">
        <v>84</v>
      </c>
      <c r="C34" s="12">
        <v>6</v>
      </c>
      <c r="D34" s="8">
        <v>3.31</v>
      </c>
      <c r="E34" s="12">
        <v>6</v>
      </c>
      <c r="F34" s="8">
        <v>5.41</v>
      </c>
      <c r="G34" s="12">
        <v>0</v>
      </c>
      <c r="H34" s="8">
        <v>0</v>
      </c>
      <c r="I34" s="12">
        <v>0</v>
      </c>
    </row>
    <row r="35" spans="2:9" ht="15" customHeight="1" x14ac:dyDescent="0.2">
      <c r="B35" t="s">
        <v>68</v>
      </c>
      <c r="C35" s="12">
        <v>5</v>
      </c>
      <c r="D35" s="8">
        <v>2.76</v>
      </c>
      <c r="E35" s="12">
        <v>1</v>
      </c>
      <c r="F35" s="8">
        <v>0.9</v>
      </c>
      <c r="G35" s="12">
        <v>4</v>
      </c>
      <c r="H35" s="8">
        <v>6.35</v>
      </c>
      <c r="I35" s="12">
        <v>0</v>
      </c>
    </row>
    <row r="36" spans="2:9" ht="15" customHeight="1" x14ac:dyDescent="0.2">
      <c r="B36" t="s">
        <v>69</v>
      </c>
      <c r="C36" s="12">
        <v>5</v>
      </c>
      <c r="D36" s="8">
        <v>2.76</v>
      </c>
      <c r="E36" s="12">
        <v>2</v>
      </c>
      <c r="F36" s="8">
        <v>1.8</v>
      </c>
      <c r="G36" s="12">
        <v>3</v>
      </c>
      <c r="H36" s="8">
        <v>4.76</v>
      </c>
      <c r="I36" s="12">
        <v>0</v>
      </c>
    </row>
    <row r="37" spans="2:9" ht="15" customHeight="1" x14ac:dyDescent="0.2">
      <c r="B37" t="s">
        <v>92</v>
      </c>
      <c r="C37" s="12">
        <v>5</v>
      </c>
      <c r="D37" s="8">
        <v>2.76</v>
      </c>
      <c r="E37" s="12">
        <v>5</v>
      </c>
      <c r="F37" s="8">
        <v>4.5</v>
      </c>
      <c r="G37" s="12">
        <v>0</v>
      </c>
      <c r="H37" s="8">
        <v>0</v>
      </c>
      <c r="I37" s="12">
        <v>0</v>
      </c>
    </row>
    <row r="38" spans="2:9" ht="15" customHeight="1" x14ac:dyDescent="0.2">
      <c r="B38" t="s">
        <v>89</v>
      </c>
      <c r="C38" s="12">
        <v>4</v>
      </c>
      <c r="D38" s="8">
        <v>2.21</v>
      </c>
      <c r="E38" s="12">
        <v>3</v>
      </c>
      <c r="F38" s="8">
        <v>2.7</v>
      </c>
      <c r="G38" s="12">
        <v>1</v>
      </c>
      <c r="H38" s="8">
        <v>1.59</v>
      </c>
      <c r="I38" s="12">
        <v>0</v>
      </c>
    </row>
    <row r="39" spans="2:9" ht="15" customHeight="1" x14ac:dyDescent="0.2">
      <c r="B39" t="s">
        <v>74</v>
      </c>
      <c r="C39" s="12">
        <v>4</v>
      </c>
      <c r="D39" s="8">
        <v>2.21</v>
      </c>
      <c r="E39" s="12">
        <v>3</v>
      </c>
      <c r="F39" s="8">
        <v>2.7</v>
      </c>
      <c r="G39" s="12">
        <v>1</v>
      </c>
      <c r="H39" s="8">
        <v>1.59</v>
      </c>
      <c r="I39" s="12">
        <v>0</v>
      </c>
    </row>
    <row r="40" spans="2:9" ht="15" customHeight="1" x14ac:dyDescent="0.2">
      <c r="B40" t="s">
        <v>91</v>
      </c>
      <c r="C40" s="12">
        <v>3</v>
      </c>
      <c r="D40" s="8">
        <v>1.66</v>
      </c>
      <c r="E40" s="12">
        <v>0</v>
      </c>
      <c r="F40" s="8">
        <v>0</v>
      </c>
      <c r="G40" s="12">
        <v>3</v>
      </c>
      <c r="H40" s="8">
        <v>4.76</v>
      </c>
      <c r="I40" s="12">
        <v>0</v>
      </c>
    </row>
    <row r="41" spans="2:9" ht="15" customHeight="1" x14ac:dyDescent="0.2">
      <c r="B41" t="s">
        <v>104</v>
      </c>
      <c r="C41" s="12">
        <v>3</v>
      </c>
      <c r="D41" s="8">
        <v>1.66</v>
      </c>
      <c r="E41" s="12">
        <v>2</v>
      </c>
      <c r="F41" s="8">
        <v>1.8</v>
      </c>
      <c r="G41" s="12">
        <v>1</v>
      </c>
      <c r="H41" s="8">
        <v>1.59</v>
      </c>
      <c r="I41" s="12">
        <v>0</v>
      </c>
    </row>
    <row r="42" spans="2:9" ht="15" customHeight="1" x14ac:dyDescent="0.2">
      <c r="B42" t="s">
        <v>97</v>
      </c>
      <c r="C42" s="12">
        <v>3</v>
      </c>
      <c r="D42" s="8">
        <v>1.66</v>
      </c>
      <c r="E42" s="12">
        <v>0</v>
      </c>
      <c r="F42" s="8">
        <v>0</v>
      </c>
      <c r="G42" s="12">
        <v>2</v>
      </c>
      <c r="H42" s="8">
        <v>3.17</v>
      </c>
      <c r="I42" s="12">
        <v>0</v>
      </c>
    </row>
    <row r="43" spans="2:9" ht="15" customHeight="1" x14ac:dyDescent="0.2">
      <c r="B43" t="s">
        <v>93</v>
      </c>
      <c r="C43" s="12">
        <v>2</v>
      </c>
      <c r="D43" s="8">
        <v>1.1000000000000001</v>
      </c>
      <c r="E43" s="12">
        <v>0</v>
      </c>
      <c r="F43" s="8">
        <v>0</v>
      </c>
      <c r="G43" s="12">
        <v>2</v>
      </c>
      <c r="H43" s="8">
        <v>3.17</v>
      </c>
      <c r="I43" s="12">
        <v>0</v>
      </c>
    </row>
    <row r="44" spans="2:9" ht="15" customHeight="1" x14ac:dyDescent="0.2">
      <c r="B44" t="s">
        <v>98</v>
      </c>
      <c r="C44" s="12">
        <v>2</v>
      </c>
      <c r="D44" s="8">
        <v>1.1000000000000001</v>
      </c>
      <c r="E44" s="12">
        <v>0</v>
      </c>
      <c r="F44" s="8">
        <v>0</v>
      </c>
      <c r="G44" s="12">
        <v>2</v>
      </c>
      <c r="H44" s="8">
        <v>3.17</v>
      </c>
      <c r="I44" s="12">
        <v>0</v>
      </c>
    </row>
    <row r="45" spans="2:9" ht="15" customHeight="1" x14ac:dyDescent="0.2">
      <c r="B45" t="s">
        <v>72</v>
      </c>
      <c r="C45" s="12">
        <v>2</v>
      </c>
      <c r="D45" s="8">
        <v>1.1000000000000001</v>
      </c>
      <c r="E45" s="12">
        <v>2</v>
      </c>
      <c r="F45" s="8">
        <v>1.8</v>
      </c>
      <c r="G45" s="12">
        <v>0</v>
      </c>
      <c r="H45" s="8">
        <v>0</v>
      </c>
      <c r="I45" s="12">
        <v>0</v>
      </c>
    </row>
    <row r="46" spans="2:9" ht="15" customHeight="1" x14ac:dyDescent="0.2">
      <c r="B46" t="s">
        <v>94</v>
      </c>
      <c r="C46" s="12">
        <v>2</v>
      </c>
      <c r="D46" s="8">
        <v>1.1000000000000001</v>
      </c>
      <c r="E46" s="12">
        <v>1</v>
      </c>
      <c r="F46" s="8">
        <v>0.9</v>
      </c>
      <c r="G46" s="12">
        <v>1</v>
      </c>
      <c r="H46" s="8">
        <v>1.59</v>
      </c>
      <c r="I46" s="12">
        <v>0</v>
      </c>
    </row>
    <row r="47" spans="2:9" ht="15" customHeight="1" x14ac:dyDescent="0.2">
      <c r="B47" t="s">
        <v>79</v>
      </c>
      <c r="C47" s="12">
        <v>2</v>
      </c>
      <c r="D47" s="8">
        <v>1.1000000000000001</v>
      </c>
      <c r="E47" s="12">
        <v>1</v>
      </c>
      <c r="F47" s="8">
        <v>0.9</v>
      </c>
      <c r="G47" s="12">
        <v>1</v>
      </c>
      <c r="H47" s="8">
        <v>1.59</v>
      </c>
      <c r="I47" s="12">
        <v>0</v>
      </c>
    </row>
    <row r="48" spans="2:9" ht="15" customHeight="1" x14ac:dyDescent="0.2">
      <c r="B48" t="s">
        <v>95</v>
      </c>
      <c r="C48" s="12">
        <v>2</v>
      </c>
      <c r="D48" s="8">
        <v>1.1000000000000001</v>
      </c>
      <c r="E48" s="12">
        <v>2</v>
      </c>
      <c r="F48" s="8">
        <v>1.8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85</v>
      </c>
      <c r="C49" s="12">
        <v>2</v>
      </c>
      <c r="D49" s="8">
        <v>1.1000000000000001</v>
      </c>
      <c r="E49" s="12">
        <v>2</v>
      </c>
      <c r="F49" s="8">
        <v>1.8</v>
      </c>
      <c r="G49" s="12">
        <v>0</v>
      </c>
      <c r="H49" s="8">
        <v>0</v>
      </c>
      <c r="I49" s="12">
        <v>0</v>
      </c>
    </row>
    <row r="52" spans="2:9" ht="33" customHeight="1" x14ac:dyDescent="0.2">
      <c r="B52" t="s">
        <v>234</v>
      </c>
      <c r="C52" s="10" t="s">
        <v>59</v>
      </c>
      <c r="D52" s="10" t="s">
        <v>60</v>
      </c>
      <c r="E52" s="10" t="s">
        <v>61</v>
      </c>
      <c r="F52" s="10" t="s">
        <v>62</v>
      </c>
      <c r="G52" s="10" t="s">
        <v>63</v>
      </c>
      <c r="H52" s="10" t="s">
        <v>64</v>
      </c>
      <c r="I52" s="10" t="s">
        <v>65</v>
      </c>
    </row>
    <row r="53" spans="2:9" ht="15" customHeight="1" x14ac:dyDescent="0.2">
      <c r="B53" t="s">
        <v>124</v>
      </c>
      <c r="C53" s="12">
        <v>8</v>
      </c>
      <c r="D53" s="8">
        <v>4.42</v>
      </c>
      <c r="E53" s="12">
        <v>6</v>
      </c>
      <c r="F53" s="8">
        <v>5.41</v>
      </c>
      <c r="G53" s="12">
        <v>2</v>
      </c>
      <c r="H53" s="8">
        <v>3.17</v>
      </c>
      <c r="I53" s="12">
        <v>0</v>
      </c>
    </row>
    <row r="54" spans="2:9" ht="15" customHeight="1" x14ac:dyDescent="0.2">
      <c r="B54" t="s">
        <v>136</v>
      </c>
      <c r="C54" s="12">
        <v>8</v>
      </c>
      <c r="D54" s="8">
        <v>4.42</v>
      </c>
      <c r="E54" s="12">
        <v>7</v>
      </c>
      <c r="F54" s="8">
        <v>6.31</v>
      </c>
      <c r="G54" s="12">
        <v>1</v>
      </c>
      <c r="H54" s="8">
        <v>1.59</v>
      </c>
      <c r="I54" s="12">
        <v>0</v>
      </c>
    </row>
    <row r="55" spans="2:9" ht="15" customHeight="1" x14ac:dyDescent="0.2">
      <c r="B55" t="s">
        <v>138</v>
      </c>
      <c r="C55" s="12">
        <v>8</v>
      </c>
      <c r="D55" s="8">
        <v>4.42</v>
      </c>
      <c r="E55" s="12">
        <v>8</v>
      </c>
      <c r="F55" s="8">
        <v>7.21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122</v>
      </c>
      <c r="C56" s="12">
        <v>6</v>
      </c>
      <c r="D56" s="8">
        <v>3.31</v>
      </c>
      <c r="E56" s="12">
        <v>0</v>
      </c>
      <c r="F56" s="8">
        <v>0</v>
      </c>
      <c r="G56" s="12">
        <v>6</v>
      </c>
      <c r="H56" s="8">
        <v>9.52</v>
      </c>
      <c r="I56" s="12">
        <v>0</v>
      </c>
    </row>
    <row r="57" spans="2:9" ht="15" customHeight="1" x14ac:dyDescent="0.2">
      <c r="B57" t="s">
        <v>179</v>
      </c>
      <c r="C57" s="12">
        <v>5</v>
      </c>
      <c r="D57" s="8">
        <v>2.76</v>
      </c>
      <c r="E57" s="12">
        <v>5</v>
      </c>
      <c r="F57" s="8">
        <v>4.5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153</v>
      </c>
      <c r="C58" s="12">
        <v>4</v>
      </c>
      <c r="D58" s="8">
        <v>2.21</v>
      </c>
      <c r="E58" s="12">
        <v>0</v>
      </c>
      <c r="F58" s="8">
        <v>0</v>
      </c>
      <c r="G58" s="12">
        <v>4</v>
      </c>
      <c r="H58" s="8">
        <v>6.35</v>
      </c>
      <c r="I58" s="12">
        <v>0</v>
      </c>
    </row>
    <row r="59" spans="2:9" ht="15" customHeight="1" x14ac:dyDescent="0.2">
      <c r="B59" t="s">
        <v>150</v>
      </c>
      <c r="C59" s="12">
        <v>4</v>
      </c>
      <c r="D59" s="8">
        <v>2.21</v>
      </c>
      <c r="E59" s="12">
        <v>3</v>
      </c>
      <c r="F59" s="8">
        <v>2.7</v>
      </c>
      <c r="G59" s="12">
        <v>1</v>
      </c>
      <c r="H59" s="8">
        <v>1.59</v>
      </c>
      <c r="I59" s="12">
        <v>0</v>
      </c>
    </row>
    <row r="60" spans="2:9" ht="15" customHeight="1" x14ac:dyDescent="0.2">
      <c r="B60" t="s">
        <v>127</v>
      </c>
      <c r="C60" s="12">
        <v>4</v>
      </c>
      <c r="D60" s="8">
        <v>2.21</v>
      </c>
      <c r="E60" s="12">
        <v>4</v>
      </c>
      <c r="F60" s="8">
        <v>3.6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128</v>
      </c>
      <c r="C61" s="12">
        <v>4</v>
      </c>
      <c r="D61" s="8">
        <v>2.21</v>
      </c>
      <c r="E61" s="12">
        <v>3</v>
      </c>
      <c r="F61" s="8">
        <v>2.7</v>
      </c>
      <c r="G61" s="12">
        <v>1</v>
      </c>
      <c r="H61" s="8">
        <v>1.59</v>
      </c>
      <c r="I61" s="12">
        <v>0</v>
      </c>
    </row>
    <row r="62" spans="2:9" ht="15" customHeight="1" x14ac:dyDescent="0.2">
      <c r="B62" t="s">
        <v>130</v>
      </c>
      <c r="C62" s="12">
        <v>4</v>
      </c>
      <c r="D62" s="8">
        <v>2.21</v>
      </c>
      <c r="E62" s="12">
        <v>2</v>
      </c>
      <c r="F62" s="8">
        <v>1.8</v>
      </c>
      <c r="G62" s="12">
        <v>2</v>
      </c>
      <c r="H62" s="8">
        <v>3.17</v>
      </c>
      <c r="I62" s="12">
        <v>0</v>
      </c>
    </row>
    <row r="63" spans="2:9" ht="15" customHeight="1" x14ac:dyDescent="0.2">
      <c r="B63" t="s">
        <v>184</v>
      </c>
      <c r="C63" s="12">
        <v>4</v>
      </c>
      <c r="D63" s="8">
        <v>2.21</v>
      </c>
      <c r="E63" s="12">
        <v>0</v>
      </c>
      <c r="F63" s="8">
        <v>0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140</v>
      </c>
      <c r="C64" s="12">
        <v>4</v>
      </c>
      <c r="D64" s="8">
        <v>2.21</v>
      </c>
      <c r="E64" s="12">
        <v>4</v>
      </c>
      <c r="F64" s="8">
        <v>3.6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192</v>
      </c>
      <c r="C65" s="12">
        <v>3</v>
      </c>
      <c r="D65" s="8">
        <v>1.66</v>
      </c>
      <c r="E65" s="12">
        <v>2</v>
      </c>
      <c r="F65" s="8">
        <v>1.8</v>
      </c>
      <c r="G65" s="12">
        <v>1</v>
      </c>
      <c r="H65" s="8">
        <v>1.59</v>
      </c>
      <c r="I65" s="12">
        <v>0</v>
      </c>
    </row>
    <row r="66" spans="2:9" ht="15" customHeight="1" x14ac:dyDescent="0.2">
      <c r="B66" t="s">
        <v>165</v>
      </c>
      <c r="C66" s="12">
        <v>3</v>
      </c>
      <c r="D66" s="8">
        <v>1.66</v>
      </c>
      <c r="E66" s="12">
        <v>2</v>
      </c>
      <c r="F66" s="8">
        <v>1.8</v>
      </c>
      <c r="G66" s="12">
        <v>1</v>
      </c>
      <c r="H66" s="8">
        <v>1.59</v>
      </c>
      <c r="I66" s="12">
        <v>0</v>
      </c>
    </row>
    <row r="67" spans="2:9" ht="15" customHeight="1" x14ac:dyDescent="0.2">
      <c r="B67" t="s">
        <v>125</v>
      </c>
      <c r="C67" s="12">
        <v>3</v>
      </c>
      <c r="D67" s="8">
        <v>1.66</v>
      </c>
      <c r="E67" s="12">
        <v>1</v>
      </c>
      <c r="F67" s="8">
        <v>0.9</v>
      </c>
      <c r="G67" s="12">
        <v>2</v>
      </c>
      <c r="H67" s="8">
        <v>3.17</v>
      </c>
      <c r="I67" s="12">
        <v>0</v>
      </c>
    </row>
    <row r="68" spans="2:9" ht="15" customHeight="1" x14ac:dyDescent="0.2">
      <c r="B68" t="s">
        <v>160</v>
      </c>
      <c r="C68" s="12">
        <v>3</v>
      </c>
      <c r="D68" s="8">
        <v>1.66</v>
      </c>
      <c r="E68" s="12">
        <v>2</v>
      </c>
      <c r="F68" s="8">
        <v>1.8</v>
      </c>
      <c r="G68" s="12">
        <v>1</v>
      </c>
      <c r="H68" s="8">
        <v>1.59</v>
      </c>
      <c r="I68" s="12">
        <v>0</v>
      </c>
    </row>
    <row r="69" spans="2:9" ht="15" customHeight="1" x14ac:dyDescent="0.2">
      <c r="B69" t="s">
        <v>181</v>
      </c>
      <c r="C69" s="12">
        <v>3</v>
      </c>
      <c r="D69" s="8">
        <v>1.66</v>
      </c>
      <c r="E69" s="12">
        <v>3</v>
      </c>
      <c r="F69" s="8">
        <v>2.7</v>
      </c>
      <c r="G69" s="12">
        <v>0</v>
      </c>
      <c r="H69" s="8">
        <v>0</v>
      </c>
      <c r="I69" s="12">
        <v>0</v>
      </c>
    </row>
    <row r="70" spans="2:9" ht="15" customHeight="1" x14ac:dyDescent="0.2">
      <c r="B70" t="s">
        <v>163</v>
      </c>
      <c r="C70" s="12">
        <v>3</v>
      </c>
      <c r="D70" s="8">
        <v>1.66</v>
      </c>
      <c r="E70" s="12">
        <v>3</v>
      </c>
      <c r="F70" s="8">
        <v>2.7</v>
      </c>
      <c r="G70" s="12">
        <v>0</v>
      </c>
      <c r="H70" s="8">
        <v>0</v>
      </c>
      <c r="I70" s="12">
        <v>0</v>
      </c>
    </row>
    <row r="71" spans="2:9" ht="15" customHeight="1" x14ac:dyDescent="0.2">
      <c r="B71" t="s">
        <v>129</v>
      </c>
      <c r="C71" s="12">
        <v>3</v>
      </c>
      <c r="D71" s="8">
        <v>1.66</v>
      </c>
      <c r="E71" s="12">
        <v>1</v>
      </c>
      <c r="F71" s="8">
        <v>0.9</v>
      </c>
      <c r="G71" s="12">
        <v>2</v>
      </c>
      <c r="H71" s="8">
        <v>3.17</v>
      </c>
      <c r="I71" s="12">
        <v>0</v>
      </c>
    </row>
    <row r="72" spans="2:9" ht="15" customHeight="1" x14ac:dyDescent="0.2">
      <c r="B72" t="s">
        <v>132</v>
      </c>
      <c r="C72" s="12">
        <v>3</v>
      </c>
      <c r="D72" s="8">
        <v>1.66</v>
      </c>
      <c r="E72" s="12">
        <v>2</v>
      </c>
      <c r="F72" s="8">
        <v>1.8</v>
      </c>
      <c r="G72" s="12">
        <v>1</v>
      </c>
      <c r="H72" s="8">
        <v>1.59</v>
      </c>
      <c r="I72" s="12">
        <v>0</v>
      </c>
    </row>
    <row r="73" spans="2:9" ht="15" customHeight="1" x14ac:dyDescent="0.2">
      <c r="B73" t="s">
        <v>144</v>
      </c>
      <c r="C73" s="12">
        <v>3</v>
      </c>
      <c r="D73" s="8">
        <v>1.66</v>
      </c>
      <c r="E73" s="12">
        <v>3</v>
      </c>
      <c r="F73" s="8">
        <v>2.7</v>
      </c>
      <c r="G73" s="12">
        <v>0</v>
      </c>
      <c r="H73" s="8">
        <v>0</v>
      </c>
      <c r="I73" s="12">
        <v>0</v>
      </c>
    </row>
    <row r="74" spans="2:9" ht="15" customHeight="1" x14ac:dyDescent="0.2">
      <c r="B74" t="s">
        <v>137</v>
      </c>
      <c r="C74" s="12">
        <v>3</v>
      </c>
      <c r="D74" s="8">
        <v>1.66</v>
      </c>
      <c r="E74" s="12">
        <v>3</v>
      </c>
      <c r="F74" s="8">
        <v>2.7</v>
      </c>
      <c r="G74" s="12">
        <v>0</v>
      </c>
      <c r="H74" s="8">
        <v>0</v>
      </c>
      <c r="I74" s="12">
        <v>0</v>
      </c>
    </row>
    <row r="75" spans="2:9" ht="15" customHeight="1" x14ac:dyDescent="0.2">
      <c r="B75" t="s">
        <v>145</v>
      </c>
      <c r="C75" s="12">
        <v>3</v>
      </c>
      <c r="D75" s="8">
        <v>1.66</v>
      </c>
      <c r="E75" s="12">
        <v>3</v>
      </c>
      <c r="F75" s="8">
        <v>2.7</v>
      </c>
      <c r="G75" s="12">
        <v>0</v>
      </c>
      <c r="H75" s="8">
        <v>0</v>
      </c>
      <c r="I75" s="12">
        <v>0</v>
      </c>
    </row>
    <row r="76" spans="2:9" ht="15" customHeight="1" x14ac:dyDescent="0.2">
      <c r="B76" t="s">
        <v>139</v>
      </c>
      <c r="C76" s="12">
        <v>3</v>
      </c>
      <c r="D76" s="8">
        <v>1.66</v>
      </c>
      <c r="E76" s="12">
        <v>2</v>
      </c>
      <c r="F76" s="8">
        <v>1.8</v>
      </c>
      <c r="G76" s="12">
        <v>0</v>
      </c>
      <c r="H76" s="8">
        <v>0</v>
      </c>
      <c r="I76" s="12">
        <v>1</v>
      </c>
    </row>
    <row r="78" spans="2:9" ht="15" customHeight="1" x14ac:dyDescent="0.2">
      <c r="B78" t="s">
        <v>235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FB138-4826-45D3-A48A-F610FDEF4F0A}">
  <sheetPr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262</v>
      </c>
    </row>
    <row r="4" spans="2:9" ht="33" customHeight="1" x14ac:dyDescent="0.2">
      <c r="B4" t="s">
        <v>231</v>
      </c>
      <c r="C4" s="10" t="s">
        <v>59</v>
      </c>
      <c r="D4" s="10" t="s">
        <v>60</v>
      </c>
      <c r="E4" s="10" t="s">
        <v>61</v>
      </c>
      <c r="F4" s="10" t="s">
        <v>62</v>
      </c>
      <c r="G4" s="10" t="s">
        <v>63</v>
      </c>
      <c r="H4" s="10" t="s">
        <v>64</v>
      </c>
      <c r="I4" s="10" t="s">
        <v>65</v>
      </c>
    </row>
    <row r="5" spans="2:9" ht="15" customHeight="1" x14ac:dyDescent="0.2">
      <c r="B5" t="s">
        <v>43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44</v>
      </c>
      <c r="C6" s="12">
        <v>65</v>
      </c>
      <c r="D6" s="8">
        <v>14.77</v>
      </c>
      <c r="E6" s="12">
        <v>24</v>
      </c>
      <c r="F6" s="8">
        <v>9.06</v>
      </c>
      <c r="G6" s="12">
        <v>41</v>
      </c>
      <c r="H6" s="8">
        <v>23.84</v>
      </c>
      <c r="I6" s="12">
        <v>0</v>
      </c>
    </row>
    <row r="7" spans="2:9" ht="15" customHeight="1" x14ac:dyDescent="0.2">
      <c r="B7" t="s">
        <v>45</v>
      </c>
      <c r="C7" s="12">
        <v>84</v>
      </c>
      <c r="D7" s="8">
        <v>19.09</v>
      </c>
      <c r="E7" s="12">
        <v>32</v>
      </c>
      <c r="F7" s="8">
        <v>12.08</v>
      </c>
      <c r="G7" s="12">
        <v>52</v>
      </c>
      <c r="H7" s="8">
        <v>30.23</v>
      </c>
      <c r="I7" s="12">
        <v>0</v>
      </c>
    </row>
    <row r="8" spans="2:9" ht="15" customHeight="1" x14ac:dyDescent="0.2">
      <c r="B8" t="s">
        <v>46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47</v>
      </c>
      <c r="C9" s="12">
        <v>3</v>
      </c>
      <c r="D9" s="8">
        <v>0.68</v>
      </c>
      <c r="E9" s="12">
        <v>1</v>
      </c>
      <c r="F9" s="8">
        <v>0.38</v>
      </c>
      <c r="G9" s="12">
        <v>2</v>
      </c>
      <c r="H9" s="8">
        <v>1.1599999999999999</v>
      </c>
      <c r="I9" s="12">
        <v>0</v>
      </c>
    </row>
    <row r="10" spans="2:9" ht="15" customHeight="1" x14ac:dyDescent="0.2">
      <c r="B10" t="s">
        <v>48</v>
      </c>
      <c r="C10" s="12">
        <v>6</v>
      </c>
      <c r="D10" s="8">
        <v>1.36</v>
      </c>
      <c r="E10" s="12">
        <v>1</v>
      </c>
      <c r="F10" s="8">
        <v>0.38</v>
      </c>
      <c r="G10" s="12">
        <v>4</v>
      </c>
      <c r="H10" s="8">
        <v>2.33</v>
      </c>
      <c r="I10" s="12">
        <v>1</v>
      </c>
    </row>
    <row r="11" spans="2:9" ht="15" customHeight="1" x14ac:dyDescent="0.2">
      <c r="B11" t="s">
        <v>49</v>
      </c>
      <c r="C11" s="12">
        <v>81</v>
      </c>
      <c r="D11" s="8">
        <v>18.41</v>
      </c>
      <c r="E11" s="12">
        <v>48</v>
      </c>
      <c r="F11" s="8">
        <v>18.11</v>
      </c>
      <c r="G11" s="12">
        <v>33</v>
      </c>
      <c r="H11" s="8">
        <v>19.190000000000001</v>
      </c>
      <c r="I11" s="12">
        <v>0</v>
      </c>
    </row>
    <row r="12" spans="2:9" ht="15" customHeight="1" x14ac:dyDescent="0.2">
      <c r="B12" t="s">
        <v>50</v>
      </c>
      <c r="C12" s="12">
        <v>3</v>
      </c>
      <c r="D12" s="8">
        <v>0.68</v>
      </c>
      <c r="E12" s="12">
        <v>1</v>
      </c>
      <c r="F12" s="8">
        <v>0.38</v>
      </c>
      <c r="G12" s="12">
        <v>2</v>
      </c>
      <c r="H12" s="8">
        <v>1.1599999999999999</v>
      </c>
      <c r="I12" s="12">
        <v>0</v>
      </c>
    </row>
    <row r="13" spans="2:9" ht="15" customHeight="1" x14ac:dyDescent="0.2">
      <c r="B13" t="s">
        <v>51</v>
      </c>
      <c r="C13" s="12">
        <v>12</v>
      </c>
      <c r="D13" s="8">
        <v>2.73</v>
      </c>
      <c r="E13" s="12">
        <v>5</v>
      </c>
      <c r="F13" s="8">
        <v>1.89</v>
      </c>
      <c r="G13" s="12">
        <v>7</v>
      </c>
      <c r="H13" s="8">
        <v>4.07</v>
      </c>
      <c r="I13" s="12">
        <v>0</v>
      </c>
    </row>
    <row r="14" spans="2:9" ht="15" customHeight="1" x14ac:dyDescent="0.2">
      <c r="B14" t="s">
        <v>52</v>
      </c>
      <c r="C14" s="12">
        <v>20</v>
      </c>
      <c r="D14" s="8">
        <v>4.55</v>
      </c>
      <c r="E14" s="12">
        <v>17</v>
      </c>
      <c r="F14" s="8">
        <v>6.42</v>
      </c>
      <c r="G14" s="12">
        <v>3</v>
      </c>
      <c r="H14" s="8">
        <v>1.74</v>
      </c>
      <c r="I14" s="12">
        <v>0</v>
      </c>
    </row>
    <row r="15" spans="2:9" ht="15" customHeight="1" x14ac:dyDescent="0.2">
      <c r="B15" t="s">
        <v>53</v>
      </c>
      <c r="C15" s="12">
        <v>48</v>
      </c>
      <c r="D15" s="8">
        <v>10.91</v>
      </c>
      <c r="E15" s="12">
        <v>42</v>
      </c>
      <c r="F15" s="8">
        <v>15.85</v>
      </c>
      <c r="G15" s="12">
        <v>6</v>
      </c>
      <c r="H15" s="8">
        <v>3.49</v>
      </c>
      <c r="I15" s="12">
        <v>0</v>
      </c>
    </row>
    <row r="16" spans="2:9" ht="15" customHeight="1" x14ac:dyDescent="0.2">
      <c r="B16" t="s">
        <v>54</v>
      </c>
      <c r="C16" s="12">
        <v>53</v>
      </c>
      <c r="D16" s="8">
        <v>12.05</v>
      </c>
      <c r="E16" s="12">
        <v>46</v>
      </c>
      <c r="F16" s="8">
        <v>17.36</v>
      </c>
      <c r="G16" s="12">
        <v>7</v>
      </c>
      <c r="H16" s="8">
        <v>4.07</v>
      </c>
      <c r="I16" s="12">
        <v>0</v>
      </c>
    </row>
    <row r="17" spans="2:9" ht="15" customHeight="1" x14ac:dyDescent="0.2">
      <c r="B17" t="s">
        <v>55</v>
      </c>
      <c r="C17" s="12">
        <v>16</v>
      </c>
      <c r="D17" s="8">
        <v>3.64</v>
      </c>
      <c r="E17" s="12">
        <v>12</v>
      </c>
      <c r="F17" s="8">
        <v>4.53</v>
      </c>
      <c r="G17" s="12">
        <v>4</v>
      </c>
      <c r="H17" s="8">
        <v>2.33</v>
      </c>
      <c r="I17" s="12">
        <v>0</v>
      </c>
    </row>
    <row r="18" spans="2:9" ht="15" customHeight="1" x14ac:dyDescent="0.2">
      <c r="B18" t="s">
        <v>56</v>
      </c>
      <c r="C18" s="12">
        <v>25</v>
      </c>
      <c r="D18" s="8">
        <v>5.68</v>
      </c>
      <c r="E18" s="12">
        <v>21</v>
      </c>
      <c r="F18" s="8">
        <v>7.92</v>
      </c>
      <c r="G18" s="12">
        <v>2</v>
      </c>
      <c r="H18" s="8">
        <v>1.1599999999999999</v>
      </c>
      <c r="I18" s="12">
        <v>0</v>
      </c>
    </row>
    <row r="19" spans="2:9" ht="15" customHeight="1" x14ac:dyDescent="0.2">
      <c r="B19" t="s">
        <v>57</v>
      </c>
      <c r="C19" s="12">
        <v>24</v>
      </c>
      <c r="D19" s="8">
        <v>5.45</v>
      </c>
      <c r="E19" s="12">
        <v>15</v>
      </c>
      <c r="F19" s="8">
        <v>5.66</v>
      </c>
      <c r="G19" s="12">
        <v>9</v>
      </c>
      <c r="H19" s="8">
        <v>5.23</v>
      </c>
      <c r="I19" s="12">
        <v>0</v>
      </c>
    </row>
    <row r="20" spans="2:9" ht="15" customHeight="1" x14ac:dyDescent="0.2">
      <c r="B20" s="9" t="s">
        <v>232</v>
      </c>
      <c r="C20" s="12">
        <f>SUM(LTBL_21381[総数／事業所数])</f>
        <v>440</v>
      </c>
      <c r="E20" s="12">
        <f>SUBTOTAL(109,LTBL_21381[個人／事業所数])</f>
        <v>265</v>
      </c>
      <c r="G20" s="12">
        <f>SUBTOTAL(109,LTBL_21381[法人／事業所数])</f>
        <v>172</v>
      </c>
      <c r="I20" s="12">
        <f>SUBTOTAL(109,LTBL_21381[法人以外の団体／事業所数])</f>
        <v>1</v>
      </c>
    </row>
    <row r="21" spans="2:9" ht="15" customHeight="1" x14ac:dyDescent="0.2">
      <c r="E21" s="11">
        <f>LTBL_21381[[#Totals],[個人／事業所数]]/LTBL_21381[[#Totals],[総数／事業所数]]</f>
        <v>0.60227272727272729</v>
      </c>
      <c r="G21" s="11">
        <f>LTBL_21381[[#Totals],[法人／事業所数]]/LTBL_21381[[#Totals],[総数／事業所数]]</f>
        <v>0.39090909090909093</v>
      </c>
      <c r="I21" s="11">
        <f>LTBL_21381[[#Totals],[法人以外の団体／事業所数]]/LTBL_21381[[#Totals],[総数／事業所数]]</f>
        <v>2.2727272727272726E-3</v>
      </c>
    </row>
    <row r="23" spans="2:9" ht="33" customHeight="1" x14ac:dyDescent="0.2">
      <c r="B23" t="s">
        <v>233</v>
      </c>
      <c r="C23" s="10" t="s">
        <v>59</v>
      </c>
      <c r="D23" s="10" t="s">
        <v>60</v>
      </c>
      <c r="E23" s="10" t="s">
        <v>61</v>
      </c>
      <c r="F23" s="10" t="s">
        <v>62</v>
      </c>
      <c r="G23" s="10" t="s">
        <v>63</v>
      </c>
      <c r="H23" s="10" t="s">
        <v>64</v>
      </c>
      <c r="I23" s="10" t="s">
        <v>65</v>
      </c>
    </row>
    <row r="24" spans="2:9" ht="15" customHeight="1" x14ac:dyDescent="0.2">
      <c r="B24" t="s">
        <v>82</v>
      </c>
      <c r="C24" s="12">
        <v>47</v>
      </c>
      <c r="D24" s="8">
        <v>10.68</v>
      </c>
      <c r="E24" s="12">
        <v>43</v>
      </c>
      <c r="F24" s="8">
        <v>16.23</v>
      </c>
      <c r="G24" s="12">
        <v>4</v>
      </c>
      <c r="H24" s="8">
        <v>2.33</v>
      </c>
      <c r="I24" s="12">
        <v>0</v>
      </c>
    </row>
    <row r="25" spans="2:9" ht="15" customHeight="1" x14ac:dyDescent="0.2">
      <c r="B25" t="s">
        <v>81</v>
      </c>
      <c r="C25" s="12">
        <v>43</v>
      </c>
      <c r="D25" s="8">
        <v>9.77</v>
      </c>
      <c r="E25" s="12">
        <v>39</v>
      </c>
      <c r="F25" s="8">
        <v>14.72</v>
      </c>
      <c r="G25" s="12">
        <v>4</v>
      </c>
      <c r="H25" s="8">
        <v>2.33</v>
      </c>
      <c r="I25" s="12">
        <v>0</v>
      </c>
    </row>
    <row r="26" spans="2:9" ht="15" customHeight="1" x14ac:dyDescent="0.2">
      <c r="B26" t="s">
        <v>67</v>
      </c>
      <c r="C26" s="12">
        <v>30</v>
      </c>
      <c r="D26" s="8">
        <v>6.82</v>
      </c>
      <c r="E26" s="12">
        <v>17</v>
      </c>
      <c r="F26" s="8">
        <v>6.42</v>
      </c>
      <c r="G26" s="12">
        <v>13</v>
      </c>
      <c r="H26" s="8">
        <v>7.56</v>
      </c>
      <c r="I26" s="12">
        <v>0</v>
      </c>
    </row>
    <row r="27" spans="2:9" ht="15" customHeight="1" x14ac:dyDescent="0.2">
      <c r="B27" t="s">
        <v>66</v>
      </c>
      <c r="C27" s="12">
        <v>23</v>
      </c>
      <c r="D27" s="8">
        <v>5.23</v>
      </c>
      <c r="E27" s="12">
        <v>6</v>
      </c>
      <c r="F27" s="8">
        <v>2.2599999999999998</v>
      </c>
      <c r="G27" s="12">
        <v>17</v>
      </c>
      <c r="H27" s="8">
        <v>9.8800000000000008</v>
      </c>
      <c r="I27" s="12">
        <v>0</v>
      </c>
    </row>
    <row r="28" spans="2:9" ht="15" customHeight="1" x14ac:dyDescent="0.2">
      <c r="B28" t="s">
        <v>84</v>
      </c>
      <c r="C28" s="12">
        <v>21</v>
      </c>
      <c r="D28" s="8">
        <v>4.7699999999999996</v>
      </c>
      <c r="E28" s="12">
        <v>21</v>
      </c>
      <c r="F28" s="8">
        <v>7.92</v>
      </c>
      <c r="G28" s="12">
        <v>0</v>
      </c>
      <c r="H28" s="8">
        <v>0</v>
      </c>
      <c r="I28" s="12">
        <v>0</v>
      </c>
    </row>
    <row r="29" spans="2:9" ht="15" customHeight="1" x14ac:dyDescent="0.2">
      <c r="B29" t="s">
        <v>76</v>
      </c>
      <c r="C29" s="12">
        <v>20</v>
      </c>
      <c r="D29" s="8">
        <v>4.55</v>
      </c>
      <c r="E29" s="12">
        <v>17</v>
      </c>
      <c r="F29" s="8">
        <v>6.42</v>
      </c>
      <c r="G29" s="12">
        <v>3</v>
      </c>
      <c r="H29" s="8">
        <v>1.74</v>
      </c>
      <c r="I29" s="12">
        <v>0</v>
      </c>
    </row>
    <row r="30" spans="2:9" ht="15" customHeight="1" x14ac:dyDescent="0.2">
      <c r="B30" t="s">
        <v>77</v>
      </c>
      <c r="C30" s="12">
        <v>20</v>
      </c>
      <c r="D30" s="8">
        <v>4.55</v>
      </c>
      <c r="E30" s="12">
        <v>14</v>
      </c>
      <c r="F30" s="8">
        <v>5.28</v>
      </c>
      <c r="G30" s="12">
        <v>6</v>
      </c>
      <c r="H30" s="8">
        <v>3.49</v>
      </c>
      <c r="I30" s="12">
        <v>0</v>
      </c>
    </row>
    <row r="31" spans="2:9" ht="15" customHeight="1" x14ac:dyDescent="0.2">
      <c r="B31" t="s">
        <v>69</v>
      </c>
      <c r="C31" s="12">
        <v>19</v>
      </c>
      <c r="D31" s="8">
        <v>4.32</v>
      </c>
      <c r="E31" s="12">
        <v>8</v>
      </c>
      <c r="F31" s="8">
        <v>3.02</v>
      </c>
      <c r="G31" s="12">
        <v>11</v>
      </c>
      <c r="H31" s="8">
        <v>6.4</v>
      </c>
      <c r="I31" s="12">
        <v>0</v>
      </c>
    </row>
    <row r="32" spans="2:9" ht="15" customHeight="1" x14ac:dyDescent="0.2">
      <c r="B32" t="s">
        <v>83</v>
      </c>
      <c r="C32" s="12">
        <v>16</v>
      </c>
      <c r="D32" s="8">
        <v>3.64</v>
      </c>
      <c r="E32" s="12">
        <v>12</v>
      </c>
      <c r="F32" s="8">
        <v>4.53</v>
      </c>
      <c r="G32" s="12">
        <v>4</v>
      </c>
      <c r="H32" s="8">
        <v>2.33</v>
      </c>
      <c r="I32" s="12">
        <v>0</v>
      </c>
    </row>
    <row r="33" spans="2:9" ht="15" customHeight="1" x14ac:dyDescent="0.2">
      <c r="B33" t="s">
        <v>71</v>
      </c>
      <c r="C33" s="12">
        <v>15</v>
      </c>
      <c r="D33" s="8">
        <v>3.41</v>
      </c>
      <c r="E33" s="12">
        <v>7</v>
      </c>
      <c r="F33" s="8">
        <v>2.64</v>
      </c>
      <c r="G33" s="12">
        <v>8</v>
      </c>
      <c r="H33" s="8">
        <v>4.6500000000000004</v>
      </c>
      <c r="I33" s="12">
        <v>0</v>
      </c>
    </row>
    <row r="34" spans="2:9" ht="15" customHeight="1" x14ac:dyDescent="0.2">
      <c r="B34" t="s">
        <v>85</v>
      </c>
      <c r="C34" s="12">
        <v>15</v>
      </c>
      <c r="D34" s="8">
        <v>3.41</v>
      </c>
      <c r="E34" s="12">
        <v>14</v>
      </c>
      <c r="F34" s="8">
        <v>5.28</v>
      </c>
      <c r="G34" s="12">
        <v>1</v>
      </c>
      <c r="H34" s="8">
        <v>0.57999999999999996</v>
      </c>
      <c r="I34" s="12">
        <v>0</v>
      </c>
    </row>
    <row r="35" spans="2:9" ht="15" customHeight="1" x14ac:dyDescent="0.2">
      <c r="B35" t="s">
        <v>68</v>
      </c>
      <c r="C35" s="12">
        <v>12</v>
      </c>
      <c r="D35" s="8">
        <v>2.73</v>
      </c>
      <c r="E35" s="12">
        <v>1</v>
      </c>
      <c r="F35" s="8">
        <v>0.38</v>
      </c>
      <c r="G35" s="12">
        <v>11</v>
      </c>
      <c r="H35" s="8">
        <v>6.4</v>
      </c>
      <c r="I35" s="12">
        <v>0</v>
      </c>
    </row>
    <row r="36" spans="2:9" ht="15" customHeight="1" x14ac:dyDescent="0.2">
      <c r="B36" t="s">
        <v>75</v>
      </c>
      <c r="C36" s="12">
        <v>11</v>
      </c>
      <c r="D36" s="8">
        <v>2.5</v>
      </c>
      <c r="E36" s="12">
        <v>9</v>
      </c>
      <c r="F36" s="8">
        <v>3.4</v>
      </c>
      <c r="G36" s="12">
        <v>2</v>
      </c>
      <c r="H36" s="8">
        <v>1.1599999999999999</v>
      </c>
      <c r="I36" s="12">
        <v>0</v>
      </c>
    </row>
    <row r="37" spans="2:9" ht="15" customHeight="1" x14ac:dyDescent="0.2">
      <c r="B37" t="s">
        <v>79</v>
      </c>
      <c r="C37" s="12">
        <v>10</v>
      </c>
      <c r="D37" s="8">
        <v>2.27</v>
      </c>
      <c r="E37" s="12">
        <v>9</v>
      </c>
      <c r="F37" s="8">
        <v>3.4</v>
      </c>
      <c r="G37" s="12">
        <v>1</v>
      </c>
      <c r="H37" s="8">
        <v>0.57999999999999996</v>
      </c>
      <c r="I37" s="12">
        <v>0</v>
      </c>
    </row>
    <row r="38" spans="2:9" ht="15" customHeight="1" x14ac:dyDescent="0.2">
      <c r="B38" t="s">
        <v>80</v>
      </c>
      <c r="C38" s="12">
        <v>10</v>
      </c>
      <c r="D38" s="8">
        <v>2.27</v>
      </c>
      <c r="E38" s="12">
        <v>8</v>
      </c>
      <c r="F38" s="8">
        <v>3.02</v>
      </c>
      <c r="G38" s="12">
        <v>2</v>
      </c>
      <c r="H38" s="8">
        <v>1.1599999999999999</v>
      </c>
      <c r="I38" s="12">
        <v>0</v>
      </c>
    </row>
    <row r="39" spans="2:9" ht="15" customHeight="1" x14ac:dyDescent="0.2">
      <c r="B39" t="s">
        <v>72</v>
      </c>
      <c r="C39" s="12">
        <v>8</v>
      </c>
      <c r="D39" s="8">
        <v>1.82</v>
      </c>
      <c r="E39" s="12">
        <v>3</v>
      </c>
      <c r="F39" s="8">
        <v>1.1299999999999999</v>
      </c>
      <c r="G39" s="12">
        <v>5</v>
      </c>
      <c r="H39" s="8">
        <v>2.91</v>
      </c>
      <c r="I39" s="12">
        <v>0</v>
      </c>
    </row>
    <row r="40" spans="2:9" ht="15" customHeight="1" x14ac:dyDescent="0.2">
      <c r="B40" t="s">
        <v>70</v>
      </c>
      <c r="C40" s="12">
        <v>7</v>
      </c>
      <c r="D40" s="8">
        <v>1.59</v>
      </c>
      <c r="E40" s="12">
        <v>1</v>
      </c>
      <c r="F40" s="8">
        <v>0.38</v>
      </c>
      <c r="G40" s="12">
        <v>6</v>
      </c>
      <c r="H40" s="8">
        <v>3.49</v>
      </c>
      <c r="I40" s="12">
        <v>0</v>
      </c>
    </row>
    <row r="41" spans="2:9" ht="15" customHeight="1" x14ac:dyDescent="0.2">
      <c r="B41" t="s">
        <v>89</v>
      </c>
      <c r="C41" s="12">
        <v>7</v>
      </c>
      <c r="D41" s="8">
        <v>1.59</v>
      </c>
      <c r="E41" s="12">
        <v>1</v>
      </c>
      <c r="F41" s="8">
        <v>0.38</v>
      </c>
      <c r="G41" s="12">
        <v>6</v>
      </c>
      <c r="H41" s="8">
        <v>3.49</v>
      </c>
      <c r="I41" s="12">
        <v>0</v>
      </c>
    </row>
    <row r="42" spans="2:9" ht="15" customHeight="1" x14ac:dyDescent="0.2">
      <c r="B42" t="s">
        <v>87</v>
      </c>
      <c r="C42" s="12">
        <v>7</v>
      </c>
      <c r="D42" s="8">
        <v>1.59</v>
      </c>
      <c r="E42" s="12">
        <v>1</v>
      </c>
      <c r="F42" s="8">
        <v>0.38</v>
      </c>
      <c r="G42" s="12">
        <v>6</v>
      </c>
      <c r="H42" s="8">
        <v>3.49</v>
      </c>
      <c r="I42" s="12">
        <v>0</v>
      </c>
    </row>
    <row r="43" spans="2:9" ht="15" customHeight="1" x14ac:dyDescent="0.2">
      <c r="B43" t="s">
        <v>103</v>
      </c>
      <c r="C43" s="12">
        <v>6</v>
      </c>
      <c r="D43" s="8">
        <v>1.36</v>
      </c>
      <c r="E43" s="12">
        <v>2</v>
      </c>
      <c r="F43" s="8">
        <v>0.75</v>
      </c>
      <c r="G43" s="12">
        <v>4</v>
      </c>
      <c r="H43" s="8">
        <v>2.33</v>
      </c>
      <c r="I43" s="12">
        <v>0</v>
      </c>
    </row>
    <row r="44" spans="2:9" ht="15" customHeight="1" x14ac:dyDescent="0.2">
      <c r="B44" t="s">
        <v>74</v>
      </c>
      <c r="C44" s="12">
        <v>6</v>
      </c>
      <c r="D44" s="8">
        <v>1.36</v>
      </c>
      <c r="E44" s="12">
        <v>2</v>
      </c>
      <c r="F44" s="8">
        <v>0.75</v>
      </c>
      <c r="G44" s="12">
        <v>4</v>
      </c>
      <c r="H44" s="8">
        <v>2.33</v>
      </c>
      <c r="I44" s="12">
        <v>0</v>
      </c>
    </row>
    <row r="45" spans="2:9" ht="15" customHeight="1" x14ac:dyDescent="0.2">
      <c r="B45" t="s">
        <v>78</v>
      </c>
      <c r="C45" s="12">
        <v>6</v>
      </c>
      <c r="D45" s="8">
        <v>1.36</v>
      </c>
      <c r="E45" s="12">
        <v>2</v>
      </c>
      <c r="F45" s="8">
        <v>0.75</v>
      </c>
      <c r="G45" s="12">
        <v>4</v>
      </c>
      <c r="H45" s="8">
        <v>2.33</v>
      </c>
      <c r="I45" s="12">
        <v>0</v>
      </c>
    </row>
    <row r="48" spans="2:9" ht="33" customHeight="1" x14ac:dyDescent="0.2">
      <c r="B48" t="s">
        <v>234</v>
      </c>
      <c r="C48" s="10" t="s">
        <v>59</v>
      </c>
      <c r="D48" s="10" t="s">
        <v>60</v>
      </c>
      <c r="E48" s="10" t="s">
        <v>61</v>
      </c>
      <c r="F48" s="10" t="s">
        <v>62</v>
      </c>
      <c r="G48" s="10" t="s">
        <v>63</v>
      </c>
      <c r="H48" s="10" t="s">
        <v>64</v>
      </c>
      <c r="I48" s="10" t="s">
        <v>65</v>
      </c>
    </row>
    <row r="49" spans="2:9" ht="15" customHeight="1" x14ac:dyDescent="0.2">
      <c r="B49" t="s">
        <v>138</v>
      </c>
      <c r="C49" s="12">
        <v>22</v>
      </c>
      <c r="D49" s="8">
        <v>5</v>
      </c>
      <c r="E49" s="12">
        <v>19</v>
      </c>
      <c r="F49" s="8">
        <v>7.17</v>
      </c>
      <c r="G49" s="12">
        <v>3</v>
      </c>
      <c r="H49" s="8">
        <v>1.74</v>
      </c>
      <c r="I49" s="12">
        <v>0</v>
      </c>
    </row>
    <row r="50" spans="2:9" ht="15" customHeight="1" x14ac:dyDescent="0.2">
      <c r="B50" t="s">
        <v>137</v>
      </c>
      <c r="C50" s="12">
        <v>19</v>
      </c>
      <c r="D50" s="8">
        <v>4.32</v>
      </c>
      <c r="E50" s="12">
        <v>19</v>
      </c>
      <c r="F50" s="8">
        <v>7.17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140</v>
      </c>
      <c r="C51" s="12">
        <v>17</v>
      </c>
      <c r="D51" s="8">
        <v>3.86</v>
      </c>
      <c r="E51" s="12">
        <v>17</v>
      </c>
      <c r="F51" s="8">
        <v>6.42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136</v>
      </c>
      <c r="C52" s="12">
        <v>16</v>
      </c>
      <c r="D52" s="8">
        <v>3.64</v>
      </c>
      <c r="E52" s="12">
        <v>16</v>
      </c>
      <c r="F52" s="8">
        <v>6.04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141</v>
      </c>
      <c r="C53" s="12">
        <v>15</v>
      </c>
      <c r="D53" s="8">
        <v>3.41</v>
      </c>
      <c r="E53" s="12">
        <v>14</v>
      </c>
      <c r="F53" s="8">
        <v>5.28</v>
      </c>
      <c r="G53" s="12">
        <v>1</v>
      </c>
      <c r="H53" s="8">
        <v>0.57999999999999996</v>
      </c>
      <c r="I53" s="12">
        <v>0</v>
      </c>
    </row>
    <row r="54" spans="2:9" ht="15" customHeight="1" x14ac:dyDescent="0.2">
      <c r="B54" t="s">
        <v>128</v>
      </c>
      <c r="C54" s="12">
        <v>13</v>
      </c>
      <c r="D54" s="8">
        <v>2.95</v>
      </c>
      <c r="E54" s="12">
        <v>10</v>
      </c>
      <c r="F54" s="8">
        <v>3.77</v>
      </c>
      <c r="G54" s="12">
        <v>3</v>
      </c>
      <c r="H54" s="8">
        <v>1.74</v>
      </c>
      <c r="I54" s="12">
        <v>0</v>
      </c>
    </row>
    <row r="55" spans="2:9" ht="15" customHeight="1" x14ac:dyDescent="0.2">
      <c r="B55" t="s">
        <v>134</v>
      </c>
      <c r="C55" s="12">
        <v>12</v>
      </c>
      <c r="D55" s="8">
        <v>2.73</v>
      </c>
      <c r="E55" s="12">
        <v>10</v>
      </c>
      <c r="F55" s="8">
        <v>3.77</v>
      </c>
      <c r="G55" s="12">
        <v>2</v>
      </c>
      <c r="H55" s="8">
        <v>1.1599999999999999</v>
      </c>
      <c r="I55" s="12">
        <v>0</v>
      </c>
    </row>
    <row r="56" spans="2:9" ht="15" customHeight="1" x14ac:dyDescent="0.2">
      <c r="B56" t="s">
        <v>142</v>
      </c>
      <c r="C56" s="12">
        <v>10</v>
      </c>
      <c r="D56" s="8">
        <v>2.27</v>
      </c>
      <c r="E56" s="12">
        <v>5</v>
      </c>
      <c r="F56" s="8">
        <v>1.89</v>
      </c>
      <c r="G56" s="12">
        <v>5</v>
      </c>
      <c r="H56" s="8">
        <v>2.91</v>
      </c>
      <c r="I56" s="12">
        <v>0</v>
      </c>
    </row>
    <row r="57" spans="2:9" ht="15" customHeight="1" x14ac:dyDescent="0.2">
      <c r="B57" t="s">
        <v>122</v>
      </c>
      <c r="C57" s="12">
        <v>9</v>
      </c>
      <c r="D57" s="8">
        <v>2.0499999999999998</v>
      </c>
      <c r="E57" s="12">
        <v>2</v>
      </c>
      <c r="F57" s="8">
        <v>0.75</v>
      </c>
      <c r="G57" s="12">
        <v>7</v>
      </c>
      <c r="H57" s="8">
        <v>4.07</v>
      </c>
      <c r="I57" s="12">
        <v>0</v>
      </c>
    </row>
    <row r="58" spans="2:9" ht="15" customHeight="1" x14ac:dyDescent="0.2">
      <c r="B58" t="s">
        <v>165</v>
      </c>
      <c r="C58" s="12">
        <v>9</v>
      </c>
      <c r="D58" s="8">
        <v>2.0499999999999998</v>
      </c>
      <c r="E58" s="12">
        <v>5</v>
      </c>
      <c r="F58" s="8">
        <v>1.89</v>
      </c>
      <c r="G58" s="12">
        <v>4</v>
      </c>
      <c r="H58" s="8">
        <v>2.33</v>
      </c>
      <c r="I58" s="12">
        <v>0</v>
      </c>
    </row>
    <row r="59" spans="2:9" ht="15" customHeight="1" x14ac:dyDescent="0.2">
      <c r="B59" t="s">
        <v>153</v>
      </c>
      <c r="C59" s="12">
        <v>8</v>
      </c>
      <c r="D59" s="8">
        <v>1.82</v>
      </c>
      <c r="E59" s="12">
        <v>4</v>
      </c>
      <c r="F59" s="8">
        <v>1.51</v>
      </c>
      <c r="G59" s="12">
        <v>4</v>
      </c>
      <c r="H59" s="8">
        <v>2.33</v>
      </c>
      <c r="I59" s="12">
        <v>0</v>
      </c>
    </row>
    <row r="60" spans="2:9" ht="15" customHeight="1" x14ac:dyDescent="0.2">
      <c r="B60" t="s">
        <v>135</v>
      </c>
      <c r="C60" s="12">
        <v>8</v>
      </c>
      <c r="D60" s="8">
        <v>1.82</v>
      </c>
      <c r="E60" s="12">
        <v>7</v>
      </c>
      <c r="F60" s="8">
        <v>2.64</v>
      </c>
      <c r="G60" s="12">
        <v>1</v>
      </c>
      <c r="H60" s="8">
        <v>0.57999999999999996</v>
      </c>
      <c r="I60" s="12">
        <v>0</v>
      </c>
    </row>
    <row r="61" spans="2:9" ht="15" customHeight="1" x14ac:dyDescent="0.2">
      <c r="B61" t="s">
        <v>139</v>
      </c>
      <c r="C61" s="12">
        <v>8</v>
      </c>
      <c r="D61" s="8">
        <v>1.82</v>
      </c>
      <c r="E61" s="12">
        <v>7</v>
      </c>
      <c r="F61" s="8">
        <v>2.64</v>
      </c>
      <c r="G61" s="12">
        <v>1</v>
      </c>
      <c r="H61" s="8">
        <v>0.57999999999999996</v>
      </c>
      <c r="I61" s="12">
        <v>0</v>
      </c>
    </row>
    <row r="62" spans="2:9" ht="15" customHeight="1" x14ac:dyDescent="0.2">
      <c r="B62" t="s">
        <v>178</v>
      </c>
      <c r="C62" s="12">
        <v>7</v>
      </c>
      <c r="D62" s="8">
        <v>1.59</v>
      </c>
      <c r="E62" s="12">
        <v>3</v>
      </c>
      <c r="F62" s="8">
        <v>1.1299999999999999</v>
      </c>
      <c r="G62" s="12">
        <v>4</v>
      </c>
      <c r="H62" s="8">
        <v>2.33</v>
      </c>
      <c r="I62" s="12">
        <v>0</v>
      </c>
    </row>
    <row r="63" spans="2:9" ht="15" customHeight="1" x14ac:dyDescent="0.2">
      <c r="B63" t="s">
        <v>130</v>
      </c>
      <c r="C63" s="12">
        <v>7</v>
      </c>
      <c r="D63" s="8">
        <v>1.59</v>
      </c>
      <c r="E63" s="12">
        <v>5</v>
      </c>
      <c r="F63" s="8">
        <v>1.89</v>
      </c>
      <c r="G63" s="12">
        <v>2</v>
      </c>
      <c r="H63" s="8">
        <v>1.1599999999999999</v>
      </c>
      <c r="I63" s="12">
        <v>0</v>
      </c>
    </row>
    <row r="64" spans="2:9" ht="15" customHeight="1" x14ac:dyDescent="0.2">
      <c r="B64" t="s">
        <v>145</v>
      </c>
      <c r="C64" s="12">
        <v>7</v>
      </c>
      <c r="D64" s="8">
        <v>1.59</v>
      </c>
      <c r="E64" s="12">
        <v>5</v>
      </c>
      <c r="F64" s="8">
        <v>1.89</v>
      </c>
      <c r="G64" s="12">
        <v>2</v>
      </c>
      <c r="H64" s="8">
        <v>1.1599999999999999</v>
      </c>
      <c r="I64" s="12">
        <v>0</v>
      </c>
    </row>
    <row r="65" spans="2:9" ht="15" customHeight="1" x14ac:dyDescent="0.2">
      <c r="B65" t="s">
        <v>123</v>
      </c>
      <c r="C65" s="12">
        <v>6</v>
      </c>
      <c r="D65" s="8">
        <v>1.36</v>
      </c>
      <c r="E65" s="12">
        <v>1</v>
      </c>
      <c r="F65" s="8">
        <v>0.38</v>
      </c>
      <c r="G65" s="12">
        <v>5</v>
      </c>
      <c r="H65" s="8">
        <v>2.91</v>
      </c>
      <c r="I65" s="12">
        <v>0</v>
      </c>
    </row>
    <row r="66" spans="2:9" ht="15" customHeight="1" x14ac:dyDescent="0.2">
      <c r="B66" t="s">
        <v>127</v>
      </c>
      <c r="C66" s="12">
        <v>6</v>
      </c>
      <c r="D66" s="8">
        <v>1.36</v>
      </c>
      <c r="E66" s="12">
        <v>6</v>
      </c>
      <c r="F66" s="8">
        <v>2.2599999999999998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176</v>
      </c>
      <c r="C67" s="12">
        <v>5</v>
      </c>
      <c r="D67" s="8">
        <v>1.1399999999999999</v>
      </c>
      <c r="E67" s="12">
        <v>2</v>
      </c>
      <c r="F67" s="8">
        <v>0.75</v>
      </c>
      <c r="G67" s="12">
        <v>3</v>
      </c>
      <c r="H67" s="8">
        <v>1.74</v>
      </c>
      <c r="I67" s="12">
        <v>0</v>
      </c>
    </row>
    <row r="68" spans="2:9" ht="15" customHeight="1" x14ac:dyDescent="0.2">
      <c r="B68" t="s">
        <v>177</v>
      </c>
      <c r="C68" s="12">
        <v>5</v>
      </c>
      <c r="D68" s="8">
        <v>1.1399999999999999</v>
      </c>
      <c r="E68" s="12">
        <v>3</v>
      </c>
      <c r="F68" s="8">
        <v>1.1299999999999999</v>
      </c>
      <c r="G68" s="12">
        <v>2</v>
      </c>
      <c r="H68" s="8">
        <v>1.1599999999999999</v>
      </c>
      <c r="I68" s="12">
        <v>0</v>
      </c>
    </row>
    <row r="69" spans="2:9" ht="15" customHeight="1" x14ac:dyDescent="0.2">
      <c r="B69" t="s">
        <v>193</v>
      </c>
      <c r="C69" s="12">
        <v>5</v>
      </c>
      <c r="D69" s="8">
        <v>1.1399999999999999</v>
      </c>
      <c r="E69" s="12">
        <v>3</v>
      </c>
      <c r="F69" s="8">
        <v>1.1299999999999999</v>
      </c>
      <c r="G69" s="12">
        <v>2</v>
      </c>
      <c r="H69" s="8">
        <v>1.1599999999999999</v>
      </c>
      <c r="I69" s="12">
        <v>0</v>
      </c>
    </row>
    <row r="70" spans="2:9" ht="15" customHeight="1" x14ac:dyDescent="0.2">
      <c r="B70" t="s">
        <v>180</v>
      </c>
      <c r="C70" s="12">
        <v>5</v>
      </c>
      <c r="D70" s="8">
        <v>1.1399999999999999</v>
      </c>
      <c r="E70" s="12">
        <v>2</v>
      </c>
      <c r="F70" s="8">
        <v>0.75</v>
      </c>
      <c r="G70" s="12">
        <v>3</v>
      </c>
      <c r="H70" s="8">
        <v>1.74</v>
      </c>
      <c r="I70" s="12">
        <v>0</v>
      </c>
    </row>
    <row r="71" spans="2:9" ht="15" customHeight="1" x14ac:dyDescent="0.2">
      <c r="B71" t="s">
        <v>163</v>
      </c>
      <c r="C71" s="12">
        <v>5</v>
      </c>
      <c r="D71" s="8">
        <v>1.1399999999999999</v>
      </c>
      <c r="E71" s="12">
        <v>5</v>
      </c>
      <c r="F71" s="8">
        <v>1.89</v>
      </c>
      <c r="G71" s="12">
        <v>0</v>
      </c>
      <c r="H71" s="8">
        <v>0</v>
      </c>
      <c r="I71" s="12">
        <v>0</v>
      </c>
    </row>
    <row r="72" spans="2:9" ht="15" customHeight="1" x14ac:dyDescent="0.2">
      <c r="B72" t="s">
        <v>132</v>
      </c>
      <c r="C72" s="12">
        <v>5</v>
      </c>
      <c r="D72" s="8">
        <v>1.1399999999999999</v>
      </c>
      <c r="E72" s="12">
        <v>2</v>
      </c>
      <c r="F72" s="8">
        <v>0.75</v>
      </c>
      <c r="G72" s="12">
        <v>3</v>
      </c>
      <c r="H72" s="8">
        <v>1.74</v>
      </c>
      <c r="I72" s="12">
        <v>0</v>
      </c>
    </row>
    <row r="73" spans="2:9" ht="15" customHeight="1" x14ac:dyDescent="0.2">
      <c r="B73" t="s">
        <v>133</v>
      </c>
      <c r="C73" s="12">
        <v>5</v>
      </c>
      <c r="D73" s="8">
        <v>1.1399999999999999</v>
      </c>
      <c r="E73" s="12">
        <v>4</v>
      </c>
      <c r="F73" s="8">
        <v>1.51</v>
      </c>
      <c r="G73" s="12">
        <v>1</v>
      </c>
      <c r="H73" s="8">
        <v>0.57999999999999996</v>
      </c>
      <c r="I73" s="12">
        <v>0</v>
      </c>
    </row>
    <row r="75" spans="2:9" ht="15" customHeight="1" x14ac:dyDescent="0.2">
      <c r="B75" t="s">
        <v>235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4819D-B049-4CF5-AA8C-F554DA0ABDF0}">
  <sheetPr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263</v>
      </c>
    </row>
    <row r="4" spans="2:9" ht="33" customHeight="1" x14ac:dyDescent="0.2">
      <c r="B4" t="s">
        <v>231</v>
      </c>
      <c r="C4" s="10" t="s">
        <v>59</v>
      </c>
      <c r="D4" s="10" t="s">
        <v>60</v>
      </c>
      <c r="E4" s="10" t="s">
        <v>61</v>
      </c>
      <c r="F4" s="10" t="s">
        <v>62</v>
      </c>
      <c r="G4" s="10" t="s">
        <v>63</v>
      </c>
      <c r="H4" s="10" t="s">
        <v>64</v>
      </c>
      <c r="I4" s="10" t="s">
        <v>65</v>
      </c>
    </row>
    <row r="5" spans="2:9" ht="15" customHeight="1" x14ac:dyDescent="0.2">
      <c r="B5" t="s">
        <v>43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44</v>
      </c>
      <c r="C6" s="12">
        <v>41</v>
      </c>
      <c r="D6" s="8">
        <v>20.3</v>
      </c>
      <c r="E6" s="12">
        <v>21</v>
      </c>
      <c r="F6" s="8">
        <v>17.649999999999999</v>
      </c>
      <c r="G6" s="12">
        <v>20</v>
      </c>
      <c r="H6" s="8">
        <v>26.32</v>
      </c>
      <c r="I6" s="12">
        <v>0</v>
      </c>
    </row>
    <row r="7" spans="2:9" ht="15" customHeight="1" x14ac:dyDescent="0.2">
      <c r="B7" t="s">
        <v>45</v>
      </c>
      <c r="C7" s="12">
        <v>43</v>
      </c>
      <c r="D7" s="8">
        <v>21.29</v>
      </c>
      <c r="E7" s="12">
        <v>16</v>
      </c>
      <c r="F7" s="8">
        <v>13.45</v>
      </c>
      <c r="G7" s="12">
        <v>27</v>
      </c>
      <c r="H7" s="8">
        <v>35.53</v>
      </c>
      <c r="I7" s="12">
        <v>0</v>
      </c>
    </row>
    <row r="8" spans="2:9" ht="15" customHeight="1" x14ac:dyDescent="0.2">
      <c r="B8" t="s">
        <v>46</v>
      </c>
      <c r="C8" s="12">
        <v>1</v>
      </c>
      <c r="D8" s="8">
        <v>0.5</v>
      </c>
      <c r="E8" s="12">
        <v>1</v>
      </c>
      <c r="F8" s="8">
        <v>0.84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47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48</v>
      </c>
      <c r="C10" s="12">
        <v>1</v>
      </c>
      <c r="D10" s="8">
        <v>0.5</v>
      </c>
      <c r="E10" s="12">
        <v>1</v>
      </c>
      <c r="F10" s="8">
        <v>0.84</v>
      </c>
      <c r="G10" s="12">
        <v>0</v>
      </c>
      <c r="H10" s="8">
        <v>0</v>
      </c>
      <c r="I10" s="12">
        <v>0</v>
      </c>
    </row>
    <row r="11" spans="2:9" ht="15" customHeight="1" x14ac:dyDescent="0.2">
      <c r="B11" t="s">
        <v>49</v>
      </c>
      <c r="C11" s="12">
        <v>46</v>
      </c>
      <c r="D11" s="8">
        <v>22.77</v>
      </c>
      <c r="E11" s="12">
        <v>30</v>
      </c>
      <c r="F11" s="8">
        <v>25.21</v>
      </c>
      <c r="G11" s="12">
        <v>14</v>
      </c>
      <c r="H11" s="8">
        <v>18.420000000000002</v>
      </c>
      <c r="I11" s="12">
        <v>2</v>
      </c>
    </row>
    <row r="12" spans="2:9" ht="15" customHeight="1" x14ac:dyDescent="0.2">
      <c r="B12" t="s">
        <v>50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51</v>
      </c>
      <c r="C13" s="12">
        <v>7</v>
      </c>
      <c r="D13" s="8">
        <v>3.47</v>
      </c>
      <c r="E13" s="12">
        <v>2</v>
      </c>
      <c r="F13" s="8">
        <v>1.68</v>
      </c>
      <c r="G13" s="12">
        <v>5</v>
      </c>
      <c r="H13" s="8">
        <v>6.58</v>
      </c>
      <c r="I13" s="12">
        <v>0</v>
      </c>
    </row>
    <row r="14" spans="2:9" ht="15" customHeight="1" x14ac:dyDescent="0.2">
      <c r="B14" t="s">
        <v>52</v>
      </c>
      <c r="C14" s="12">
        <v>5</v>
      </c>
      <c r="D14" s="8">
        <v>2.48</v>
      </c>
      <c r="E14" s="12">
        <v>4</v>
      </c>
      <c r="F14" s="8">
        <v>3.36</v>
      </c>
      <c r="G14" s="12">
        <v>1</v>
      </c>
      <c r="H14" s="8">
        <v>1.32</v>
      </c>
      <c r="I14" s="12">
        <v>0</v>
      </c>
    </row>
    <row r="15" spans="2:9" ht="15" customHeight="1" x14ac:dyDescent="0.2">
      <c r="B15" t="s">
        <v>53</v>
      </c>
      <c r="C15" s="12">
        <v>15</v>
      </c>
      <c r="D15" s="8">
        <v>7.43</v>
      </c>
      <c r="E15" s="12">
        <v>14</v>
      </c>
      <c r="F15" s="8">
        <v>11.76</v>
      </c>
      <c r="G15" s="12">
        <v>0</v>
      </c>
      <c r="H15" s="8">
        <v>0</v>
      </c>
      <c r="I15" s="12">
        <v>0</v>
      </c>
    </row>
    <row r="16" spans="2:9" ht="15" customHeight="1" x14ac:dyDescent="0.2">
      <c r="B16" t="s">
        <v>54</v>
      </c>
      <c r="C16" s="12">
        <v>16</v>
      </c>
      <c r="D16" s="8">
        <v>7.92</v>
      </c>
      <c r="E16" s="12">
        <v>13</v>
      </c>
      <c r="F16" s="8">
        <v>10.92</v>
      </c>
      <c r="G16" s="12">
        <v>3</v>
      </c>
      <c r="H16" s="8">
        <v>3.95</v>
      </c>
      <c r="I16" s="12">
        <v>0</v>
      </c>
    </row>
    <row r="17" spans="2:9" ht="15" customHeight="1" x14ac:dyDescent="0.2">
      <c r="B17" t="s">
        <v>55</v>
      </c>
      <c r="C17" s="12">
        <v>6</v>
      </c>
      <c r="D17" s="8">
        <v>2.97</v>
      </c>
      <c r="E17" s="12">
        <v>5</v>
      </c>
      <c r="F17" s="8">
        <v>4.2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56</v>
      </c>
      <c r="C18" s="12">
        <v>11</v>
      </c>
      <c r="D18" s="8">
        <v>5.45</v>
      </c>
      <c r="E18" s="12">
        <v>6</v>
      </c>
      <c r="F18" s="8">
        <v>5.04</v>
      </c>
      <c r="G18" s="12">
        <v>2</v>
      </c>
      <c r="H18" s="8">
        <v>2.63</v>
      </c>
      <c r="I18" s="12">
        <v>0</v>
      </c>
    </row>
    <row r="19" spans="2:9" ht="15" customHeight="1" x14ac:dyDescent="0.2">
      <c r="B19" t="s">
        <v>57</v>
      </c>
      <c r="C19" s="12">
        <v>10</v>
      </c>
      <c r="D19" s="8">
        <v>4.95</v>
      </c>
      <c r="E19" s="12">
        <v>6</v>
      </c>
      <c r="F19" s="8">
        <v>5.04</v>
      </c>
      <c r="G19" s="12">
        <v>4</v>
      </c>
      <c r="H19" s="8">
        <v>5.26</v>
      </c>
      <c r="I19" s="12">
        <v>0</v>
      </c>
    </row>
    <row r="20" spans="2:9" ht="15" customHeight="1" x14ac:dyDescent="0.2">
      <c r="B20" s="9" t="s">
        <v>232</v>
      </c>
      <c r="C20" s="12">
        <f>SUM(LTBL_21382[総数／事業所数])</f>
        <v>202</v>
      </c>
      <c r="E20" s="12">
        <f>SUBTOTAL(109,LTBL_21382[個人／事業所数])</f>
        <v>119</v>
      </c>
      <c r="G20" s="12">
        <f>SUBTOTAL(109,LTBL_21382[法人／事業所数])</f>
        <v>76</v>
      </c>
      <c r="I20" s="12">
        <f>SUBTOTAL(109,LTBL_21382[法人以外の団体／事業所数])</f>
        <v>2</v>
      </c>
    </row>
    <row r="21" spans="2:9" ht="15" customHeight="1" x14ac:dyDescent="0.2">
      <c r="E21" s="11">
        <f>LTBL_21382[[#Totals],[個人／事業所数]]/LTBL_21382[[#Totals],[総数／事業所数]]</f>
        <v>0.58910891089108908</v>
      </c>
      <c r="G21" s="11">
        <f>LTBL_21382[[#Totals],[法人／事業所数]]/LTBL_21382[[#Totals],[総数／事業所数]]</f>
        <v>0.37623762376237624</v>
      </c>
      <c r="I21" s="11">
        <f>LTBL_21382[[#Totals],[法人以外の団体／事業所数]]/LTBL_21382[[#Totals],[総数／事業所数]]</f>
        <v>9.9009900990099011E-3</v>
      </c>
    </row>
    <row r="23" spans="2:9" ht="33" customHeight="1" x14ac:dyDescent="0.2">
      <c r="B23" t="s">
        <v>233</v>
      </c>
      <c r="C23" s="10" t="s">
        <v>59</v>
      </c>
      <c r="D23" s="10" t="s">
        <v>60</v>
      </c>
      <c r="E23" s="10" t="s">
        <v>61</v>
      </c>
      <c r="F23" s="10" t="s">
        <v>62</v>
      </c>
      <c r="G23" s="10" t="s">
        <v>63</v>
      </c>
      <c r="H23" s="10" t="s">
        <v>64</v>
      </c>
      <c r="I23" s="10" t="s">
        <v>65</v>
      </c>
    </row>
    <row r="24" spans="2:9" ht="15" customHeight="1" x14ac:dyDescent="0.2">
      <c r="B24" t="s">
        <v>66</v>
      </c>
      <c r="C24" s="12">
        <v>20</v>
      </c>
      <c r="D24" s="8">
        <v>9.9</v>
      </c>
      <c r="E24" s="12">
        <v>10</v>
      </c>
      <c r="F24" s="8">
        <v>8.4</v>
      </c>
      <c r="G24" s="12">
        <v>10</v>
      </c>
      <c r="H24" s="8">
        <v>13.16</v>
      </c>
      <c r="I24" s="12">
        <v>0</v>
      </c>
    </row>
    <row r="25" spans="2:9" ht="15" customHeight="1" x14ac:dyDescent="0.2">
      <c r="B25" t="s">
        <v>67</v>
      </c>
      <c r="C25" s="12">
        <v>17</v>
      </c>
      <c r="D25" s="8">
        <v>8.42</v>
      </c>
      <c r="E25" s="12">
        <v>10</v>
      </c>
      <c r="F25" s="8">
        <v>8.4</v>
      </c>
      <c r="G25" s="12">
        <v>7</v>
      </c>
      <c r="H25" s="8">
        <v>9.2100000000000009</v>
      </c>
      <c r="I25" s="12">
        <v>0</v>
      </c>
    </row>
    <row r="26" spans="2:9" ht="15" customHeight="1" x14ac:dyDescent="0.2">
      <c r="B26" t="s">
        <v>69</v>
      </c>
      <c r="C26" s="12">
        <v>15</v>
      </c>
      <c r="D26" s="8">
        <v>7.43</v>
      </c>
      <c r="E26" s="12">
        <v>9</v>
      </c>
      <c r="F26" s="8">
        <v>7.56</v>
      </c>
      <c r="G26" s="12">
        <v>6</v>
      </c>
      <c r="H26" s="8">
        <v>7.89</v>
      </c>
      <c r="I26" s="12">
        <v>0</v>
      </c>
    </row>
    <row r="27" spans="2:9" ht="15" customHeight="1" x14ac:dyDescent="0.2">
      <c r="B27" t="s">
        <v>75</v>
      </c>
      <c r="C27" s="12">
        <v>14</v>
      </c>
      <c r="D27" s="8">
        <v>6.93</v>
      </c>
      <c r="E27" s="12">
        <v>12</v>
      </c>
      <c r="F27" s="8">
        <v>10.08</v>
      </c>
      <c r="G27" s="12">
        <v>2</v>
      </c>
      <c r="H27" s="8">
        <v>2.63</v>
      </c>
      <c r="I27" s="12">
        <v>0</v>
      </c>
    </row>
    <row r="28" spans="2:9" ht="15" customHeight="1" x14ac:dyDescent="0.2">
      <c r="B28" t="s">
        <v>82</v>
      </c>
      <c r="C28" s="12">
        <v>14</v>
      </c>
      <c r="D28" s="8">
        <v>6.93</v>
      </c>
      <c r="E28" s="12">
        <v>12</v>
      </c>
      <c r="F28" s="8">
        <v>10.08</v>
      </c>
      <c r="G28" s="12">
        <v>2</v>
      </c>
      <c r="H28" s="8">
        <v>2.63</v>
      </c>
      <c r="I28" s="12">
        <v>0</v>
      </c>
    </row>
    <row r="29" spans="2:9" ht="15" customHeight="1" x14ac:dyDescent="0.2">
      <c r="B29" t="s">
        <v>76</v>
      </c>
      <c r="C29" s="12">
        <v>13</v>
      </c>
      <c r="D29" s="8">
        <v>6.44</v>
      </c>
      <c r="E29" s="12">
        <v>10</v>
      </c>
      <c r="F29" s="8">
        <v>8.4</v>
      </c>
      <c r="G29" s="12">
        <v>3</v>
      </c>
      <c r="H29" s="8">
        <v>3.95</v>
      </c>
      <c r="I29" s="12">
        <v>0</v>
      </c>
    </row>
    <row r="30" spans="2:9" ht="15" customHeight="1" x14ac:dyDescent="0.2">
      <c r="B30" t="s">
        <v>81</v>
      </c>
      <c r="C30" s="12">
        <v>12</v>
      </c>
      <c r="D30" s="8">
        <v>5.94</v>
      </c>
      <c r="E30" s="12">
        <v>12</v>
      </c>
      <c r="F30" s="8">
        <v>10.08</v>
      </c>
      <c r="G30" s="12">
        <v>0</v>
      </c>
      <c r="H30" s="8">
        <v>0</v>
      </c>
      <c r="I30" s="12">
        <v>0</v>
      </c>
    </row>
    <row r="31" spans="2:9" ht="15" customHeight="1" x14ac:dyDescent="0.2">
      <c r="B31" t="s">
        <v>77</v>
      </c>
      <c r="C31" s="12">
        <v>9</v>
      </c>
      <c r="D31" s="8">
        <v>4.46</v>
      </c>
      <c r="E31" s="12">
        <v>6</v>
      </c>
      <c r="F31" s="8">
        <v>5.04</v>
      </c>
      <c r="G31" s="12">
        <v>3</v>
      </c>
      <c r="H31" s="8">
        <v>3.95</v>
      </c>
      <c r="I31" s="12">
        <v>0</v>
      </c>
    </row>
    <row r="32" spans="2:9" ht="15" customHeight="1" x14ac:dyDescent="0.2">
      <c r="B32" t="s">
        <v>71</v>
      </c>
      <c r="C32" s="12">
        <v>7</v>
      </c>
      <c r="D32" s="8">
        <v>3.47</v>
      </c>
      <c r="E32" s="12">
        <v>2</v>
      </c>
      <c r="F32" s="8">
        <v>1.68</v>
      </c>
      <c r="G32" s="12">
        <v>5</v>
      </c>
      <c r="H32" s="8">
        <v>6.58</v>
      </c>
      <c r="I32" s="12">
        <v>0</v>
      </c>
    </row>
    <row r="33" spans="2:9" ht="15" customHeight="1" x14ac:dyDescent="0.2">
      <c r="B33" t="s">
        <v>84</v>
      </c>
      <c r="C33" s="12">
        <v>7</v>
      </c>
      <c r="D33" s="8">
        <v>3.47</v>
      </c>
      <c r="E33" s="12">
        <v>6</v>
      </c>
      <c r="F33" s="8">
        <v>5.04</v>
      </c>
      <c r="G33" s="12">
        <v>1</v>
      </c>
      <c r="H33" s="8">
        <v>1.32</v>
      </c>
      <c r="I33" s="12">
        <v>0</v>
      </c>
    </row>
    <row r="34" spans="2:9" ht="15" customHeight="1" x14ac:dyDescent="0.2">
      <c r="B34" t="s">
        <v>98</v>
      </c>
      <c r="C34" s="12">
        <v>6</v>
      </c>
      <c r="D34" s="8">
        <v>2.97</v>
      </c>
      <c r="E34" s="12">
        <v>1</v>
      </c>
      <c r="F34" s="8">
        <v>0.84</v>
      </c>
      <c r="G34" s="12">
        <v>5</v>
      </c>
      <c r="H34" s="8">
        <v>6.58</v>
      </c>
      <c r="I34" s="12">
        <v>0</v>
      </c>
    </row>
    <row r="35" spans="2:9" ht="15" customHeight="1" x14ac:dyDescent="0.2">
      <c r="B35" t="s">
        <v>83</v>
      </c>
      <c r="C35" s="12">
        <v>6</v>
      </c>
      <c r="D35" s="8">
        <v>2.97</v>
      </c>
      <c r="E35" s="12">
        <v>5</v>
      </c>
      <c r="F35" s="8">
        <v>4.2</v>
      </c>
      <c r="G35" s="12">
        <v>0</v>
      </c>
      <c r="H35" s="8">
        <v>0</v>
      </c>
      <c r="I35" s="12">
        <v>0</v>
      </c>
    </row>
    <row r="36" spans="2:9" ht="15" customHeight="1" x14ac:dyDescent="0.2">
      <c r="B36" t="s">
        <v>101</v>
      </c>
      <c r="C36" s="12">
        <v>5</v>
      </c>
      <c r="D36" s="8">
        <v>2.48</v>
      </c>
      <c r="E36" s="12">
        <v>3</v>
      </c>
      <c r="F36" s="8">
        <v>2.52</v>
      </c>
      <c r="G36" s="12">
        <v>2</v>
      </c>
      <c r="H36" s="8">
        <v>2.63</v>
      </c>
      <c r="I36" s="12">
        <v>0</v>
      </c>
    </row>
    <row r="37" spans="2:9" ht="15" customHeight="1" x14ac:dyDescent="0.2">
      <c r="B37" t="s">
        <v>68</v>
      </c>
      <c r="C37" s="12">
        <v>4</v>
      </c>
      <c r="D37" s="8">
        <v>1.98</v>
      </c>
      <c r="E37" s="12">
        <v>1</v>
      </c>
      <c r="F37" s="8">
        <v>0.84</v>
      </c>
      <c r="G37" s="12">
        <v>3</v>
      </c>
      <c r="H37" s="8">
        <v>3.95</v>
      </c>
      <c r="I37" s="12">
        <v>0</v>
      </c>
    </row>
    <row r="38" spans="2:9" ht="15" customHeight="1" x14ac:dyDescent="0.2">
      <c r="B38" t="s">
        <v>78</v>
      </c>
      <c r="C38" s="12">
        <v>4</v>
      </c>
      <c r="D38" s="8">
        <v>1.98</v>
      </c>
      <c r="E38" s="12">
        <v>1</v>
      </c>
      <c r="F38" s="8">
        <v>0.84</v>
      </c>
      <c r="G38" s="12">
        <v>3</v>
      </c>
      <c r="H38" s="8">
        <v>3.95</v>
      </c>
      <c r="I38" s="12">
        <v>0</v>
      </c>
    </row>
    <row r="39" spans="2:9" ht="15" customHeight="1" x14ac:dyDescent="0.2">
      <c r="B39" t="s">
        <v>97</v>
      </c>
      <c r="C39" s="12">
        <v>4</v>
      </c>
      <c r="D39" s="8">
        <v>1.98</v>
      </c>
      <c r="E39" s="12">
        <v>0</v>
      </c>
      <c r="F39" s="8">
        <v>0</v>
      </c>
      <c r="G39" s="12">
        <v>1</v>
      </c>
      <c r="H39" s="8">
        <v>1.32</v>
      </c>
      <c r="I39" s="12">
        <v>0</v>
      </c>
    </row>
    <row r="40" spans="2:9" ht="15" customHeight="1" x14ac:dyDescent="0.2">
      <c r="B40" t="s">
        <v>85</v>
      </c>
      <c r="C40" s="12">
        <v>4</v>
      </c>
      <c r="D40" s="8">
        <v>1.98</v>
      </c>
      <c r="E40" s="12">
        <v>4</v>
      </c>
      <c r="F40" s="8">
        <v>3.36</v>
      </c>
      <c r="G40" s="12">
        <v>0</v>
      </c>
      <c r="H40" s="8">
        <v>0</v>
      </c>
      <c r="I40" s="12">
        <v>0</v>
      </c>
    </row>
    <row r="41" spans="2:9" ht="15" customHeight="1" x14ac:dyDescent="0.2">
      <c r="B41" t="s">
        <v>89</v>
      </c>
      <c r="C41" s="12">
        <v>3</v>
      </c>
      <c r="D41" s="8">
        <v>1.49</v>
      </c>
      <c r="E41" s="12">
        <v>0</v>
      </c>
      <c r="F41" s="8">
        <v>0</v>
      </c>
      <c r="G41" s="12">
        <v>3</v>
      </c>
      <c r="H41" s="8">
        <v>3.95</v>
      </c>
      <c r="I41" s="12">
        <v>0</v>
      </c>
    </row>
    <row r="42" spans="2:9" ht="15" customHeight="1" x14ac:dyDescent="0.2">
      <c r="B42" t="s">
        <v>73</v>
      </c>
      <c r="C42" s="12">
        <v>3</v>
      </c>
      <c r="D42" s="8">
        <v>1.49</v>
      </c>
      <c r="E42" s="12">
        <v>1</v>
      </c>
      <c r="F42" s="8">
        <v>0.84</v>
      </c>
      <c r="G42" s="12">
        <v>0</v>
      </c>
      <c r="H42" s="8">
        <v>0</v>
      </c>
      <c r="I42" s="12">
        <v>2</v>
      </c>
    </row>
    <row r="43" spans="2:9" ht="15" customHeight="1" x14ac:dyDescent="0.2">
      <c r="B43" t="s">
        <v>80</v>
      </c>
      <c r="C43" s="12">
        <v>3</v>
      </c>
      <c r="D43" s="8">
        <v>1.49</v>
      </c>
      <c r="E43" s="12">
        <v>2</v>
      </c>
      <c r="F43" s="8">
        <v>1.68</v>
      </c>
      <c r="G43" s="12">
        <v>1</v>
      </c>
      <c r="H43" s="8">
        <v>1.32</v>
      </c>
      <c r="I43" s="12">
        <v>0</v>
      </c>
    </row>
    <row r="44" spans="2:9" ht="15" customHeight="1" x14ac:dyDescent="0.2">
      <c r="B44" t="s">
        <v>100</v>
      </c>
      <c r="C44" s="12">
        <v>3</v>
      </c>
      <c r="D44" s="8">
        <v>1.49</v>
      </c>
      <c r="E44" s="12">
        <v>2</v>
      </c>
      <c r="F44" s="8">
        <v>1.68</v>
      </c>
      <c r="G44" s="12">
        <v>0</v>
      </c>
      <c r="H44" s="8">
        <v>0</v>
      </c>
      <c r="I44" s="12">
        <v>0</v>
      </c>
    </row>
    <row r="47" spans="2:9" ht="33" customHeight="1" x14ac:dyDescent="0.2">
      <c r="B47" t="s">
        <v>234</v>
      </c>
      <c r="C47" s="10" t="s">
        <v>59</v>
      </c>
      <c r="D47" s="10" t="s">
        <v>60</v>
      </c>
      <c r="E47" s="10" t="s">
        <v>61</v>
      </c>
      <c r="F47" s="10" t="s">
        <v>62</v>
      </c>
      <c r="G47" s="10" t="s">
        <v>63</v>
      </c>
      <c r="H47" s="10" t="s">
        <v>64</v>
      </c>
      <c r="I47" s="10" t="s">
        <v>65</v>
      </c>
    </row>
    <row r="48" spans="2:9" ht="15" customHeight="1" x14ac:dyDescent="0.2">
      <c r="B48" t="s">
        <v>128</v>
      </c>
      <c r="C48" s="12">
        <v>10</v>
      </c>
      <c r="D48" s="8">
        <v>4.95</v>
      </c>
      <c r="E48" s="12">
        <v>7</v>
      </c>
      <c r="F48" s="8">
        <v>5.88</v>
      </c>
      <c r="G48" s="12">
        <v>3</v>
      </c>
      <c r="H48" s="8">
        <v>3.95</v>
      </c>
      <c r="I48" s="12">
        <v>0</v>
      </c>
    </row>
    <row r="49" spans="2:9" ht="15" customHeight="1" x14ac:dyDescent="0.2">
      <c r="B49" t="s">
        <v>122</v>
      </c>
      <c r="C49" s="12">
        <v>7</v>
      </c>
      <c r="D49" s="8">
        <v>3.47</v>
      </c>
      <c r="E49" s="12">
        <v>2</v>
      </c>
      <c r="F49" s="8">
        <v>1.68</v>
      </c>
      <c r="G49" s="12">
        <v>5</v>
      </c>
      <c r="H49" s="8">
        <v>6.58</v>
      </c>
      <c r="I49" s="12">
        <v>0</v>
      </c>
    </row>
    <row r="50" spans="2:9" ht="15" customHeight="1" x14ac:dyDescent="0.2">
      <c r="B50" t="s">
        <v>123</v>
      </c>
      <c r="C50" s="12">
        <v>7</v>
      </c>
      <c r="D50" s="8">
        <v>3.47</v>
      </c>
      <c r="E50" s="12">
        <v>3</v>
      </c>
      <c r="F50" s="8">
        <v>2.52</v>
      </c>
      <c r="G50" s="12">
        <v>4</v>
      </c>
      <c r="H50" s="8">
        <v>5.26</v>
      </c>
      <c r="I50" s="12">
        <v>0</v>
      </c>
    </row>
    <row r="51" spans="2:9" ht="15" customHeight="1" x14ac:dyDescent="0.2">
      <c r="B51" t="s">
        <v>137</v>
      </c>
      <c r="C51" s="12">
        <v>7</v>
      </c>
      <c r="D51" s="8">
        <v>3.47</v>
      </c>
      <c r="E51" s="12">
        <v>7</v>
      </c>
      <c r="F51" s="8">
        <v>5.88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136</v>
      </c>
      <c r="C52" s="12">
        <v>6</v>
      </c>
      <c r="D52" s="8">
        <v>2.97</v>
      </c>
      <c r="E52" s="12">
        <v>6</v>
      </c>
      <c r="F52" s="8">
        <v>5.04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124</v>
      </c>
      <c r="C53" s="12">
        <v>5</v>
      </c>
      <c r="D53" s="8">
        <v>2.48</v>
      </c>
      <c r="E53" s="12">
        <v>4</v>
      </c>
      <c r="F53" s="8">
        <v>3.36</v>
      </c>
      <c r="G53" s="12">
        <v>1</v>
      </c>
      <c r="H53" s="8">
        <v>1.32</v>
      </c>
      <c r="I53" s="12">
        <v>0</v>
      </c>
    </row>
    <row r="54" spans="2:9" ht="15" customHeight="1" x14ac:dyDescent="0.2">
      <c r="B54" t="s">
        <v>147</v>
      </c>
      <c r="C54" s="12">
        <v>5</v>
      </c>
      <c r="D54" s="8">
        <v>2.48</v>
      </c>
      <c r="E54" s="12">
        <v>4</v>
      </c>
      <c r="F54" s="8">
        <v>3.36</v>
      </c>
      <c r="G54" s="12">
        <v>1</v>
      </c>
      <c r="H54" s="8">
        <v>1.32</v>
      </c>
      <c r="I54" s="12">
        <v>0</v>
      </c>
    </row>
    <row r="55" spans="2:9" ht="15" customHeight="1" x14ac:dyDescent="0.2">
      <c r="B55" t="s">
        <v>168</v>
      </c>
      <c r="C55" s="12">
        <v>5</v>
      </c>
      <c r="D55" s="8">
        <v>2.48</v>
      </c>
      <c r="E55" s="12">
        <v>4</v>
      </c>
      <c r="F55" s="8">
        <v>3.36</v>
      </c>
      <c r="G55" s="12">
        <v>1</v>
      </c>
      <c r="H55" s="8">
        <v>1.32</v>
      </c>
      <c r="I55" s="12">
        <v>0</v>
      </c>
    </row>
    <row r="56" spans="2:9" ht="15" customHeight="1" x14ac:dyDescent="0.2">
      <c r="B56" t="s">
        <v>142</v>
      </c>
      <c r="C56" s="12">
        <v>5</v>
      </c>
      <c r="D56" s="8">
        <v>2.48</v>
      </c>
      <c r="E56" s="12">
        <v>3</v>
      </c>
      <c r="F56" s="8">
        <v>2.52</v>
      </c>
      <c r="G56" s="12">
        <v>2</v>
      </c>
      <c r="H56" s="8">
        <v>2.63</v>
      </c>
      <c r="I56" s="12">
        <v>0</v>
      </c>
    </row>
    <row r="57" spans="2:9" ht="15" customHeight="1" x14ac:dyDescent="0.2">
      <c r="B57" t="s">
        <v>148</v>
      </c>
      <c r="C57" s="12">
        <v>5</v>
      </c>
      <c r="D57" s="8">
        <v>2.48</v>
      </c>
      <c r="E57" s="12">
        <v>4</v>
      </c>
      <c r="F57" s="8">
        <v>3.36</v>
      </c>
      <c r="G57" s="12">
        <v>1</v>
      </c>
      <c r="H57" s="8">
        <v>1.32</v>
      </c>
      <c r="I57" s="12">
        <v>0</v>
      </c>
    </row>
    <row r="58" spans="2:9" ht="15" customHeight="1" x14ac:dyDescent="0.2">
      <c r="B58" t="s">
        <v>169</v>
      </c>
      <c r="C58" s="12">
        <v>4</v>
      </c>
      <c r="D58" s="8">
        <v>1.98</v>
      </c>
      <c r="E58" s="12">
        <v>3</v>
      </c>
      <c r="F58" s="8">
        <v>2.52</v>
      </c>
      <c r="G58" s="12">
        <v>1</v>
      </c>
      <c r="H58" s="8">
        <v>1.32</v>
      </c>
      <c r="I58" s="12">
        <v>0</v>
      </c>
    </row>
    <row r="59" spans="2:9" ht="15" customHeight="1" x14ac:dyDescent="0.2">
      <c r="B59" t="s">
        <v>138</v>
      </c>
      <c r="C59" s="12">
        <v>4</v>
      </c>
      <c r="D59" s="8">
        <v>1.98</v>
      </c>
      <c r="E59" s="12">
        <v>3</v>
      </c>
      <c r="F59" s="8">
        <v>2.52</v>
      </c>
      <c r="G59" s="12">
        <v>1</v>
      </c>
      <c r="H59" s="8">
        <v>1.32</v>
      </c>
      <c r="I59" s="12">
        <v>0</v>
      </c>
    </row>
    <row r="60" spans="2:9" ht="15" customHeight="1" x14ac:dyDescent="0.2">
      <c r="B60" t="s">
        <v>145</v>
      </c>
      <c r="C60" s="12">
        <v>4</v>
      </c>
      <c r="D60" s="8">
        <v>1.98</v>
      </c>
      <c r="E60" s="12">
        <v>4</v>
      </c>
      <c r="F60" s="8">
        <v>3.36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140</v>
      </c>
      <c r="C61" s="12">
        <v>4</v>
      </c>
      <c r="D61" s="8">
        <v>1.98</v>
      </c>
      <c r="E61" s="12">
        <v>4</v>
      </c>
      <c r="F61" s="8">
        <v>3.36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141</v>
      </c>
      <c r="C62" s="12">
        <v>4</v>
      </c>
      <c r="D62" s="8">
        <v>1.98</v>
      </c>
      <c r="E62" s="12">
        <v>4</v>
      </c>
      <c r="F62" s="8">
        <v>3.36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177</v>
      </c>
      <c r="C63" s="12">
        <v>3</v>
      </c>
      <c r="D63" s="8">
        <v>1.49</v>
      </c>
      <c r="E63" s="12">
        <v>1</v>
      </c>
      <c r="F63" s="8">
        <v>0.84</v>
      </c>
      <c r="G63" s="12">
        <v>2</v>
      </c>
      <c r="H63" s="8">
        <v>2.63</v>
      </c>
      <c r="I63" s="12">
        <v>0</v>
      </c>
    </row>
    <row r="64" spans="2:9" ht="15" customHeight="1" x14ac:dyDescent="0.2">
      <c r="B64" t="s">
        <v>165</v>
      </c>
      <c r="C64" s="12">
        <v>3</v>
      </c>
      <c r="D64" s="8">
        <v>1.49</v>
      </c>
      <c r="E64" s="12">
        <v>2</v>
      </c>
      <c r="F64" s="8">
        <v>1.68</v>
      </c>
      <c r="G64" s="12">
        <v>1</v>
      </c>
      <c r="H64" s="8">
        <v>1.32</v>
      </c>
      <c r="I64" s="12">
        <v>0</v>
      </c>
    </row>
    <row r="65" spans="2:9" ht="15" customHeight="1" x14ac:dyDescent="0.2">
      <c r="B65" t="s">
        <v>173</v>
      </c>
      <c r="C65" s="12">
        <v>3</v>
      </c>
      <c r="D65" s="8">
        <v>1.49</v>
      </c>
      <c r="E65" s="12">
        <v>1</v>
      </c>
      <c r="F65" s="8">
        <v>0.84</v>
      </c>
      <c r="G65" s="12">
        <v>2</v>
      </c>
      <c r="H65" s="8">
        <v>2.63</v>
      </c>
      <c r="I65" s="12">
        <v>0</v>
      </c>
    </row>
    <row r="66" spans="2:9" ht="15" customHeight="1" x14ac:dyDescent="0.2">
      <c r="B66" t="s">
        <v>153</v>
      </c>
      <c r="C66" s="12">
        <v>3</v>
      </c>
      <c r="D66" s="8">
        <v>1.49</v>
      </c>
      <c r="E66" s="12">
        <v>0</v>
      </c>
      <c r="F66" s="8">
        <v>0</v>
      </c>
      <c r="G66" s="12">
        <v>3</v>
      </c>
      <c r="H66" s="8">
        <v>3.95</v>
      </c>
      <c r="I66" s="12">
        <v>0</v>
      </c>
    </row>
    <row r="67" spans="2:9" ht="15" customHeight="1" x14ac:dyDescent="0.2">
      <c r="B67" t="s">
        <v>194</v>
      </c>
      <c r="C67" s="12">
        <v>3</v>
      </c>
      <c r="D67" s="8">
        <v>1.49</v>
      </c>
      <c r="E67" s="12">
        <v>1</v>
      </c>
      <c r="F67" s="8">
        <v>0.84</v>
      </c>
      <c r="G67" s="12">
        <v>2</v>
      </c>
      <c r="H67" s="8">
        <v>2.63</v>
      </c>
      <c r="I67" s="12">
        <v>0</v>
      </c>
    </row>
    <row r="68" spans="2:9" ht="15" customHeight="1" x14ac:dyDescent="0.2">
      <c r="B68" t="s">
        <v>181</v>
      </c>
      <c r="C68" s="12">
        <v>3</v>
      </c>
      <c r="D68" s="8">
        <v>1.49</v>
      </c>
      <c r="E68" s="12">
        <v>3</v>
      </c>
      <c r="F68" s="8">
        <v>2.52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127</v>
      </c>
      <c r="C69" s="12">
        <v>3</v>
      </c>
      <c r="D69" s="8">
        <v>1.49</v>
      </c>
      <c r="E69" s="12">
        <v>2</v>
      </c>
      <c r="F69" s="8">
        <v>1.68</v>
      </c>
      <c r="G69" s="12">
        <v>1</v>
      </c>
      <c r="H69" s="8">
        <v>1.32</v>
      </c>
      <c r="I69" s="12">
        <v>0</v>
      </c>
    </row>
    <row r="70" spans="2:9" ht="15" customHeight="1" x14ac:dyDescent="0.2">
      <c r="B70" t="s">
        <v>131</v>
      </c>
      <c r="C70" s="12">
        <v>3</v>
      </c>
      <c r="D70" s="8">
        <v>1.49</v>
      </c>
      <c r="E70" s="12">
        <v>1</v>
      </c>
      <c r="F70" s="8">
        <v>0.84</v>
      </c>
      <c r="G70" s="12">
        <v>2</v>
      </c>
      <c r="H70" s="8">
        <v>2.63</v>
      </c>
      <c r="I70" s="12">
        <v>0</v>
      </c>
    </row>
    <row r="71" spans="2:9" ht="15" customHeight="1" x14ac:dyDescent="0.2">
      <c r="B71" t="s">
        <v>134</v>
      </c>
      <c r="C71" s="12">
        <v>3</v>
      </c>
      <c r="D71" s="8">
        <v>1.49</v>
      </c>
      <c r="E71" s="12">
        <v>3</v>
      </c>
      <c r="F71" s="8">
        <v>2.52</v>
      </c>
      <c r="G71" s="12">
        <v>0</v>
      </c>
      <c r="H71" s="8">
        <v>0</v>
      </c>
      <c r="I71" s="12">
        <v>0</v>
      </c>
    </row>
    <row r="72" spans="2:9" ht="15" customHeight="1" x14ac:dyDescent="0.2">
      <c r="B72" t="s">
        <v>195</v>
      </c>
      <c r="C72" s="12">
        <v>3</v>
      </c>
      <c r="D72" s="8">
        <v>1.49</v>
      </c>
      <c r="E72" s="12">
        <v>2</v>
      </c>
      <c r="F72" s="8">
        <v>1.68</v>
      </c>
      <c r="G72" s="12">
        <v>0</v>
      </c>
      <c r="H72" s="8">
        <v>0</v>
      </c>
      <c r="I72" s="12">
        <v>0</v>
      </c>
    </row>
    <row r="73" spans="2:9" ht="15" customHeight="1" x14ac:dyDescent="0.2">
      <c r="B73" t="s">
        <v>196</v>
      </c>
      <c r="C73" s="12">
        <v>3</v>
      </c>
      <c r="D73" s="8">
        <v>1.49</v>
      </c>
      <c r="E73" s="12">
        <v>0</v>
      </c>
      <c r="F73" s="8">
        <v>0</v>
      </c>
      <c r="G73" s="12">
        <v>1</v>
      </c>
      <c r="H73" s="8">
        <v>1.32</v>
      </c>
      <c r="I73" s="12">
        <v>0</v>
      </c>
    </row>
    <row r="75" spans="2:9" ht="15" customHeight="1" x14ac:dyDescent="0.2">
      <c r="B75" t="s">
        <v>235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2CF04-9FFD-4F27-AAC9-6F0AFC67B8AB}">
  <sheetPr>
    <pageSetUpPr fitToPage="1"/>
  </sheetPr>
  <dimension ref="B2:I76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264</v>
      </c>
    </row>
    <row r="4" spans="2:9" ht="33" customHeight="1" x14ac:dyDescent="0.2">
      <c r="B4" t="s">
        <v>231</v>
      </c>
      <c r="C4" s="10" t="s">
        <v>59</v>
      </c>
      <c r="D4" s="10" t="s">
        <v>60</v>
      </c>
      <c r="E4" s="10" t="s">
        <v>61</v>
      </c>
      <c r="F4" s="10" t="s">
        <v>62</v>
      </c>
      <c r="G4" s="10" t="s">
        <v>63</v>
      </c>
      <c r="H4" s="10" t="s">
        <v>64</v>
      </c>
      <c r="I4" s="10" t="s">
        <v>65</v>
      </c>
    </row>
    <row r="5" spans="2:9" ht="15" customHeight="1" x14ac:dyDescent="0.2">
      <c r="B5" t="s">
        <v>43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44</v>
      </c>
      <c r="C6" s="12">
        <v>65</v>
      </c>
      <c r="D6" s="8">
        <v>21.52</v>
      </c>
      <c r="E6" s="12">
        <v>30</v>
      </c>
      <c r="F6" s="8">
        <v>17.05</v>
      </c>
      <c r="G6" s="12">
        <v>35</v>
      </c>
      <c r="H6" s="8">
        <v>28.46</v>
      </c>
      <c r="I6" s="12">
        <v>0</v>
      </c>
    </row>
    <row r="7" spans="2:9" ht="15" customHeight="1" x14ac:dyDescent="0.2">
      <c r="B7" t="s">
        <v>45</v>
      </c>
      <c r="C7" s="12">
        <v>79</v>
      </c>
      <c r="D7" s="8">
        <v>26.16</v>
      </c>
      <c r="E7" s="12">
        <v>44</v>
      </c>
      <c r="F7" s="8">
        <v>25</v>
      </c>
      <c r="G7" s="12">
        <v>35</v>
      </c>
      <c r="H7" s="8">
        <v>28.46</v>
      </c>
      <c r="I7" s="12">
        <v>0</v>
      </c>
    </row>
    <row r="8" spans="2:9" ht="15" customHeight="1" x14ac:dyDescent="0.2">
      <c r="B8" t="s">
        <v>46</v>
      </c>
      <c r="C8" s="12">
        <v>3</v>
      </c>
      <c r="D8" s="8">
        <v>0.99</v>
      </c>
      <c r="E8" s="12">
        <v>0</v>
      </c>
      <c r="F8" s="8">
        <v>0</v>
      </c>
      <c r="G8" s="12">
        <v>2</v>
      </c>
      <c r="H8" s="8">
        <v>1.63</v>
      </c>
      <c r="I8" s="12">
        <v>0</v>
      </c>
    </row>
    <row r="9" spans="2:9" ht="15" customHeight="1" x14ac:dyDescent="0.2">
      <c r="B9" t="s">
        <v>47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48</v>
      </c>
      <c r="C10" s="12">
        <v>3</v>
      </c>
      <c r="D10" s="8">
        <v>0.99</v>
      </c>
      <c r="E10" s="12">
        <v>0</v>
      </c>
      <c r="F10" s="8">
        <v>0</v>
      </c>
      <c r="G10" s="12">
        <v>3</v>
      </c>
      <c r="H10" s="8">
        <v>2.44</v>
      </c>
      <c r="I10" s="12">
        <v>0</v>
      </c>
    </row>
    <row r="11" spans="2:9" ht="15" customHeight="1" x14ac:dyDescent="0.2">
      <c r="B11" t="s">
        <v>49</v>
      </c>
      <c r="C11" s="12">
        <v>49</v>
      </c>
      <c r="D11" s="8">
        <v>16.23</v>
      </c>
      <c r="E11" s="12">
        <v>29</v>
      </c>
      <c r="F11" s="8">
        <v>16.48</v>
      </c>
      <c r="G11" s="12">
        <v>20</v>
      </c>
      <c r="H11" s="8">
        <v>16.260000000000002</v>
      </c>
      <c r="I11" s="12">
        <v>0</v>
      </c>
    </row>
    <row r="12" spans="2:9" ht="15" customHeight="1" x14ac:dyDescent="0.2">
      <c r="B12" t="s">
        <v>50</v>
      </c>
      <c r="C12" s="12">
        <v>3</v>
      </c>
      <c r="D12" s="8">
        <v>0.99</v>
      </c>
      <c r="E12" s="12">
        <v>0</v>
      </c>
      <c r="F12" s="8">
        <v>0</v>
      </c>
      <c r="G12" s="12">
        <v>3</v>
      </c>
      <c r="H12" s="8">
        <v>2.44</v>
      </c>
      <c r="I12" s="12">
        <v>0</v>
      </c>
    </row>
    <row r="13" spans="2:9" ht="15" customHeight="1" x14ac:dyDescent="0.2">
      <c r="B13" t="s">
        <v>51</v>
      </c>
      <c r="C13" s="12">
        <v>10</v>
      </c>
      <c r="D13" s="8">
        <v>3.31</v>
      </c>
      <c r="E13" s="12">
        <v>4</v>
      </c>
      <c r="F13" s="8">
        <v>2.27</v>
      </c>
      <c r="G13" s="12">
        <v>6</v>
      </c>
      <c r="H13" s="8">
        <v>4.88</v>
      </c>
      <c r="I13" s="12">
        <v>0</v>
      </c>
    </row>
    <row r="14" spans="2:9" ht="15" customHeight="1" x14ac:dyDescent="0.2">
      <c r="B14" t="s">
        <v>52</v>
      </c>
      <c r="C14" s="12">
        <v>3</v>
      </c>
      <c r="D14" s="8">
        <v>0.99</v>
      </c>
      <c r="E14" s="12">
        <v>1</v>
      </c>
      <c r="F14" s="8">
        <v>0.56999999999999995</v>
      </c>
      <c r="G14" s="12">
        <v>2</v>
      </c>
      <c r="H14" s="8">
        <v>1.63</v>
      </c>
      <c r="I14" s="12">
        <v>0</v>
      </c>
    </row>
    <row r="15" spans="2:9" ht="15" customHeight="1" x14ac:dyDescent="0.2">
      <c r="B15" t="s">
        <v>53</v>
      </c>
      <c r="C15" s="12">
        <v>25</v>
      </c>
      <c r="D15" s="8">
        <v>8.2799999999999994</v>
      </c>
      <c r="E15" s="12">
        <v>23</v>
      </c>
      <c r="F15" s="8">
        <v>13.07</v>
      </c>
      <c r="G15" s="12">
        <v>2</v>
      </c>
      <c r="H15" s="8">
        <v>1.63</v>
      </c>
      <c r="I15" s="12">
        <v>0</v>
      </c>
    </row>
    <row r="16" spans="2:9" ht="15" customHeight="1" x14ac:dyDescent="0.2">
      <c r="B16" t="s">
        <v>54</v>
      </c>
      <c r="C16" s="12">
        <v>30</v>
      </c>
      <c r="D16" s="8">
        <v>9.93</v>
      </c>
      <c r="E16" s="12">
        <v>28</v>
      </c>
      <c r="F16" s="8">
        <v>15.91</v>
      </c>
      <c r="G16" s="12">
        <v>2</v>
      </c>
      <c r="H16" s="8">
        <v>1.63</v>
      </c>
      <c r="I16" s="12">
        <v>0</v>
      </c>
    </row>
    <row r="17" spans="2:9" ht="15" customHeight="1" x14ac:dyDescent="0.2">
      <c r="B17" t="s">
        <v>55</v>
      </c>
      <c r="C17" s="12">
        <v>3</v>
      </c>
      <c r="D17" s="8">
        <v>0.99</v>
      </c>
      <c r="E17" s="12">
        <v>0</v>
      </c>
      <c r="F17" s="8">
        <v>0</v>
      </c>
      <c r="G17" s="12">
        <v>3</v>
      </c>
      <c r="H17" s="8">
        <v>2.44</v>
      </c>
      <c r="I17" s="12">
        <v>0</v>
      </c>
    </row>
    <row r="18" spans="2:9" ht="15" customHeight="1" x14ac:dyDescent="0.2">
      <c r="B18" t="s">
        <v>56</v>
      </c>
      <c r="C18" s="12">
        <v>14</v>
      </c>
      <c r="D18" s="8">
        <v>4.6399999999999997</v>
      </c>
      <c r="E18" s="12">
        <v>10</v>
      </c>
      <c r="F18" s="8">
        <v>5.68</v>
      </c>
      <c r="G18" s="12">
        <v>2</v>
      </c>
      <c r="H18" s="8">
        <v>1.63</v>
      </c>
      <c r="I18" s="12">
        <v>0</v>
      </c>
    </row>
    <row r="19" spans="2:9" ht="15" customHeight="1" x14ac:dyDescent="0.2">
      <c r="B19" t="s">
        <v>57</v>
      </c>
      <c r="C19" s="12">
        <v>15</v>
      </c>
      <c r="D19" s="8">
        <v>4.97</v>
      </c>
      <c r="E19" s="12">
        <v>7</v>
      </c>
      <c r="F19" s="8">
        <v>3.98</v>
      </c>
      <c r="G19" s="12">
        <v>8</v>
      </c>
      <c r="H19" s="8">
        <v>6.5</v>
      </c>
      <c r="I19" s="12">
        <v>0</v>
      </c>
    </row>
    <row r="20" spans="2:9" ht="15" customHeight="1" x14ac:dyDescent="0.2">
      <c r="B20" s="9" t="s">
        <v>232</v>
      </c>
      <c r="C20" s="12">
        <f>SUM(LTBL_21383[総数／事業所数])</f>
        <v>302</v>
      </c>
      <c r="E20" s="12">
        <f>SUBTOTAL(109,LTBL_21383[個人／事業所数])</f>
        <v>176</v>
      </c>
      <c r="G20" s="12">
        <f>SUBTOTAL(109,LTBL_21383[法人／事業所数])</f>
        <v>123</v>
      </c>
      <c r="I20" s="12">
        <f>SUBTOTAL(109,LTBL_21383[法人以外の団体／事業所数])</f>
        <v>0</v>
      </c>
    </row>
    <row r="21" spans="2:9" ht="15" customHeight="1" x14ac:dyDescent="0.2">
      <c r="E21" s="11">
        <f>LTBL_21383[[#Totals],[個人／事業所数]]/LTBL_21383[[#Totals],[総数／事業所数]]</f>
        <v>0.58278145695364236</v>
      </c>
      <c r="G21" s="11">
        <f>LTBL_21383[[#Totals],[法人／事業所数]]/LTBL_21383[[#Totals],[総数／事業所数]]</f>
        <v>0.40728476821192056</v>
      </c>
      <c r="I21" s="11">
        <f>LTBL_21383[[#Totals],[法人以外の団体／事業所数]]/LTBL_21383[[#Totals],[総数／事業所数]]</f>
        <v>0</v>
      </c>
    </row>
    <row r="23" spans="2:9" ht="33" customHeight="1" x14ac:dyDescent="0.2">
      <c r="B23" t="s">
        <v>233</v>
      </c>
      <c r="C23" s="10" t="s">
        <v>59</v>
      </c>
      <c r="D23" s="10" t="s">
        <v>60</v>
      </c>
      <c r="E23" s="10" t="s">
        <v>61</v>
      </c>
      <c r="F23" s="10" t="s">
        <v>62</v>
      </c>
      <c r="G23" s="10" t="s">
        <v>63</v>
      </c>
      <c r="H23" s="10" t="s">
        <v>64</v>
      </c>
      <c r="I23" s="10" t="s">
        <v>65</v>
      </c>
    </row>
    <row r="24" spans="2:9" ht="15" customHeight="1" x14ac:dyDescent="0.2">
      <c r="B24" t="s">
        <v>82</v>
      </c>
      <c r="C24" s="12">
        <v>28</v>
      </c>
      <c r="D24" s="8">
        <v>9.27</v>
      </c>
      <c r="E24" s="12">
        <v>26</v>
      </c>
      <c r="F24" s="8">
        <v>14.77</v>
      </c>
      <c r="G24" s="12">
        <v>2</v>
      </c>
      <c r="H24" s="8">
        <v>1.63</v>
      </c>
      <c r="I24" s="12">
        <v>0</v>
      </c>
    </row>
    <row r="25" spans="2:9" ht="15" customHeight="1" x14ac:dyDescent="0.2">
      <c r="B25" t="s">
        <v>67</v>
      </c>
      <c r="C25" s="12">
        <v>26</v>
      </c>
      <c r="D25" s="8">
        <v>8.61</v>
      </c>
      <c r="E25" s="12">
        <v>15</v>
      </c>
      <c r="F25" s="8">
        <v>8.52</v>
      </c>
      <c r="G25" s="12">
        <v>11</v>
      </c>
      <c r="H25" s="8">
        <v>8.94</v>
      </c>
      <c r="I25" s="12">
        <v>0</v>
      </c>
    </row>
    <row r="26" spans="2:9" ht="15" customHeight="1" x14ac:dyDescent="0.2">
      <c r="B26" t="s">
        <v>66</v>
      </c>
      <c r="C26" s="12">
        <v>25</v>
      </c>
      <c r="D26" s="8">
        <v>8.2799999999999994</v>
      </c>
      <c r="E26" s="12">
        <v>8</v>
      </c>
      <c r="F26" s="8">
        <v>4.55</v>
      </c>
      <c r="G26" s="12">
        <v>17</v>
      </c>
      <c r="H26" s="8">
        <v>13.82</v>
      </c>
      <c r="I26" s="12">
        <v>0</v>
      </c>
    </row>
    <row r="27" spans="2:9" ht="15" customHeight="1" x14ac:dyDescent="0.2">
      <c r="B27" t="s">
        <v>69</v>
      </c>
      <c r="C27" s="12">
        <v>25</v>
      </c>
      <c r="D27" s="8">
        <v>8.2799999999999994</v>
      </c>
      <c r="E27" s="12">
        <v>22</v>
      </c>
      <c r="F27" s="8">
        <v>12.5</v>
      </c>
      <c r="G27" s="12">
        <v>3</v>
      </c>
      <c r="H27" s="8">
        <v>2.44</v>
      </c>
      <c r="I27" s="12">
        <v>0</v>
      </c>
    </row>
    <row r="28" spans="2:9" ht="15" customHeight="1" x14ac:dyDescent="0.2">
      <c r="B28" t="s">
        <v>81</v>
      </c>
      <c r="C28" s="12">
        <v>22</v>
      </c>
      <c r="D28" s="8">
        <v>7.28</v>
      </c>
      <c r="E28" s="12">
        <v>22</v>
      </c>
      <c r="F28" s="8">
        <v>12.5</v>
      </c>
      <c r="G28" s="12">
        <v>0</v>
      </c>
      <c r="H28" s="8">
        <v>0</v>
      </c>
      <c r="I28" s="12">
        <v>0</v>
      </c>
    </row>
    <row r="29" spans="2:9" ht="15" customHeight="1" x14ac:dyDescent="0.2">
      <c r="B29" t="s">
        <v>68</v>
      </c>
      <c r="C29" s="12">
        <v>14</v>
      </c>
      <c r="D29" s="8">
        <v>4.6399999999999997</v>
      </c>
      <c r="E29" s="12">
        <v>7</v>
      </c>
      <c r="F29" s="8">
        <v>3.98</v>
      </c>
      <c r="G29" s="12">
        <v>7</v>
      </c>
      <c r="H29" s="8">
        <v>5.69</v>
      </c>
      <c r="I29" s="12">
        <v>0</v>
      </c>
    </row>
    <row r="30" spans="2:9" ht="15" customHeight="1" x14ac:dyDescent="0.2">
      <c r="B30" t="s">
        <v>76</v>
      </c>
      <c r="C30" s="12">
        <v>12</v>
      </c>
      <c r="D30" s="8">
        <v>3.97</v>
      </c>
      <c r="E30" s="12">
        <v>8</v>
      </c>
      <c r="F30" s="8">
        <v>4.55</v>
      </c>
      <c r="G30" s="12">
        <v>4</v>
      </c>
      <c r="H30" s="8">
        <v>3.25</v>
      </c>
      <c r="I30" s="12">
        <v>0</v>
      </c>
    </row>
    <row r="31" spans="2:9" ht="15" customHeight="1" x14ac:dyDescent="0.2">
      <c r="B31" t="s">
        <v>84</v>
      </c>
      <c r="C31" s="12">
        <v>11</v>
      </c>
      <c r="D31" s="8">
        <v>3.64</v>
      </c>
      <c r="E31" s="12">
        <v>10</v>
      </c>
      <c r="F31" s="8">
        <v>5.68</v>
      </c>
      <c r="G31" s="12">
        <v>1</v>
      </c>
      <c r="H31" s="8">
        <v>0.81</v>
      </c>
      <c r="I31" s="12">
        <v>0</v>
      </c>
    </row>
    <row r="32" spans="2:9" ht="15" customHeight="1" x14ac:dyDescent="0.2">
      <c r="B32" t="s">
        <v>71</v>
      </c>
      <c r="C32" s="12">
        <v>10</v>
      </c>
      <c r="D32" s="8">
        <v>3.31</v>
      </c>
      <c r="E32" s="12">
        <v>4</v>
      </c>
      <c r="F32" s="8">
        <v>2.27</v>
      </c>
      <c r="G32" s="12">
        <v>6</v>
      </c>
      <c r="H32" s="8">
        <v>4.88</v>
      </c>
      <c r="I32" s="12">
        <v>0</v>
      </c>
    </row>
    <row r="33" spans="2:9" ht="15" customHeight="1" x14ac:dyDescent="0.2">
      <c r="B33" t="s">
        <v>77</v>
      </c>
      <c r="C33" s="12">
        <v>9</v>
      </c>
      <c r="D33" s="8">
        <v>2.98</v>
      </c>
      <c r="E33" s="12">
        <v>5</v>
      </c>
      <c r="F33" s="8">
        <v>2.84</v>
      </c>
      <c r="G33" s="12">
        <v>4</v>
      </c>
      <c r="H33" s="8">
        <v>3.25</v>
      </c>
      <c r="I33" s="12">
        <v>0</v>
      </c>
    </row>
    <row r="34" spans="2:9" ht="15" customHeight="1" x14ac:dyDescent="0.2">
      <c r="B34" t="s">
        <v>98</v>
      </c>
      <c r="C34" s="12">
        <v>7</v>
      </c>
      <c r="D34" s="8">
        <v>2.3199999999999998</v>
      </c>
      <c r="E34" s="12">
        <v>1</v>
      </c>
      <c r="F34" s="8">
        <v>0.56999999999999995</v>
      </c>
      <c r="G34" s="12">
        <v>6</v>
      </c>
      <c r="H34" s="8">
        <v>4.88</v>
      </c>
      <c r="I34" s="12">
        <v>0</v>
      </c>
    </row>
    <row r="35" spans="2:9" ht="15" customHeight="1" x14ac:dyDescent="0.2">
      <c r="B35" t="s">
        <v>72</v>
      </c>
      <c r="C35" s="12">
        <v>7</v>
      </c>
      <c r="D35" s="8">
        <v>2.3199999999999998</v>
      </c>
      <c r="E35" s="12">
        <v>4</v>
      </c>
      <c r="F35" s="8">
        <v>2.27</v>
      </c>
      <c r="G35" s="12">
        <v>3</v>
      </c>
      <c r="H35" s="8">
        <v>2.44</v>
      </c>
      <c r="I35" s="12">
        <v>0</v>
      </c>
    </row>
    <row r="36" spans="2:9" ht="15" customHeight="1" x14ac:dyDescent="0.2">
      <c r="B36" t="s">
        <v>75</v>
      </c>
      <c r="C36" s="12">
        <v>6</v>
      </c>
      <c r="D36" s="8">
        <v>1.99</v>
      </c>
      <c r="E36" s="12">
        <v>5</v>
      </c>
      <c r="F36" s="8">
        <v>2.84</v>
      </c>
      <c r="G36" s="12">
        <v>1</v>
      </c>
      <c r="H36" s="8">
        <v>0.81</v>
      </c>
      <c r="I36" s="12">
        <v>0</v>
      </c>
    </row>
    <row r="37" spans="2:9" ht="15" customHeight="1" x14ac:dyDescent="0.2">
      <c r="B37" t="s">
        <v>103</v>
      </c>
      <c r="C37" s="12">
        <v>5</v>
      </c>
      <c r="D37" s="8">
        <v>1.66</v>
      </c>
      <c r="E37" s="12">
        <v>2</v>
      </c>
      <c r="F37" s="8">
        <v>1.1399999999999999</v>
      </c>
      <c r="G37" s="12">
        <v>3</v>
      </c>
      <c r="H37" s="8">
        <v>2.44</v>
      </c>
      <c r="I37" s="12">
        <v>0</v>
      </c>
    </row>
    <row r="38" spans="2:9" ht="15" customHeight="1" x14ac:dyDescent="0.2">
      <c r="B38" t="s">
        <v>87</v>
      </c>
      <c r="C38" s="12">
        <v>5</v>
      </c>
      <c r="D38" s="8">
        <v>1.66</v>
      </c>
      <c r="E38" s="12">
        <v>1</v>
      </c>
      <c r="F38" s="8">
        <v>0.56999999999999995</v>
      </c>
      <c r="G38" s="12">
        <v>4</v>
      </c>
      <c r="H38" s="8">
        <v>3.25</v>
      </c>
      <c r="I38" s="12">
        <v>0</v>
      </c>
    </row>
    <row r="39" spans="2:9" ht="15" customHeight="1" x14ac:dyDescent="0.2">
      <c r="B39" t="s">
        <v>73</v>
      </c>
      <c r="C39" s="12">
        <v>5</v>
      </c>
      <c r="D39" s="8">
        <v>1.66</v>
      </c>
      <c r="E39" s="12">
        <v>3</v>
      </c>
      <c r="F39" s="8">
        <v>1.7</v>
      </c>
      <c r="G39" s="12">
        <v>2</v>
      </c>
      <c r="H39" s="8">
        <v>1.63</v>
      </c>
      <c r="I39" s="12">
        <v>0</v>
      </c>
    </row>
    <row r="40" spans="2:9" ht="15" customHeight="1" x14ac:dyDescent="0.2">
      <c r="B40" t="s">
        <v>78</v>
      </c>
      <c r="C40" s="12">
        <v>5</v>
      </c>
      <c r="D40" s="8">
        <v>1.66</v>
      </c>
      <c r="E40" s="12">
        <v>2</v>
      </c>
      <c r="F40" s="8">
        <v>1.1399999999999999</v>
      </c>
      <c r="G40" s="12">
        <v>3</v>
      </c>
      <c r="H40" s="8">
        <v>2.44</v>
      </c>
      <c r="I40" s="12">
        <v>0</v>
      </c>
    </row>
    <row r="41" spans="2:9" ht="15" customHeight="1" x14ac:dyDescent="0.2">
      <c r="B41" t="s">
        <v>85</v>
      </c>
      <c r="C41" s="12">
        <v>5</v>
      </c>
      <c r="D41" s="8">
        <v>1.66</v>
      </c>
      <c r="E41" s="12">
        <v>3</v>
      </c>
      <c r="F41" s="8">
        <v>1.7</v>
      </c>
      <c r="G41" s="12">
        <v>2</v>
      </c>
      <c r="H41" s="8">
        <v>1.63</v>
      </c>
      <c r="I41" s="12">
        <v>0</v>
      </c>
    </row>
    <row r="42" spans="2:9" ht="15" customHeight="1" x14ac:dyDescent="0.2">
      <c r="B42" t="s">
        <v>88</v>
      </c>
      <c r="C42" s="12">
        <v>5</v>
      </c>
      <c r="D42" s="8">
        <v>1.66</v>
      </c>
      <c r="E42" s="12">
        <v>3</v>
      </c>
      <c r="F42" s="8">
        <v>1.7</v>
      </c>
      <c r="G42" s="12">
        <v>2</v>
      </c>
      <c r="H42" s="8">
        <v>1.63</v>
      </c>
      <c r="I42" s="12">
        <v>0</v>
      </c>
    </row>
    <row r="43" spans="2:9" ht="15" customHeight="1" x14ac:dyDescent="0.2">
      <c r="B43" t="s">
        <v>92</v>
      </c>
      <c r="C43" s="12">
        <v>4</v>
      </c>
      <c r="D43" s="8">
        <v>1.32</v>
      </c>
      <c r="E43" s="12">
        <v>1</v>
      </c>
      <c r="F43" s="8">
        <v>0.56999999999999995</v>
      </c>
      <c r="G43" s="12">
        <v>3</v>
      </c>
      <c r="H43" s="8">
        <v>2.44</v>
      </c>
      <c r="I43" s="12">
        <v>0</v>
      </c>
    </row>
    <row r="44" spans="2:9" ht="15" customHeight="1" x14ac:dyDescent="0.2">
      <c r="B44" t="s">
        <v>70</v>
      </c>
      <c r="C44" s="12">
        <v>4</v>
      </c>
      <c r="D44" s="8">
        <v>1.32</v>
      </c>
      <c r="E44" s="12">
        <v>0</v>
      </c>
      <c r="F44" s="8">
        <v>0</v>
      </c>
      <c r="G44" s="12">
        <v>4</v>
      </c>
      <c r="H44" s="8">
        <v>3.25</v>
      </c>
      <c r="I44" s="12">
        <v>0</v>
      </c>
    </row>
    <row r="45" spans="2:9" ht="15" customHeight="1" x14ac:dyDescent="0.2">
      <c r="B45" t="s">
        <v>101</v>
      </c>
      <c r="C45" s="12">
        <v>4</v>
      </c>
      <c r="D45" s="8">
        <v>1.32</v>
      </c>
      <c r="E45" s="12">
        <v>2</v>
      </c>
      <c r="F45" s="8">
        <v>1.1399999999999999</v>
      </c>
      <c r="G45" s="12">
        <v>2</v>
      </c>
      <c r="H45" s="8">
        <v>1.63</v>
      </c>
      <c r="I45" s="12">
        <v>0</v>
      </c>
    </row>
    <row r="46" spans="2:9" ht="15" customHeight="1" x14ac:dyDescent="0.2">
      <c r="B46" t="s">
        <v>89</v>
      </c>
      <c r="C46" s="12">
        <v>4</v>
      </c>
      <c r="D46" s="8">
        <v>1.32</v>
      </c>
      <c r="E46" s="12">
        <v>2</v>
      </c>
      <c r="F46" s="8">
        <v>1.1399999999999999</v>
      </c>
      <c r="G46" s="12">
        <v>2</v>
      </c>
      <c r="H46" s="8">
        <v>1.63</v>
      </c>
      <c r="I46" s="12">
        <v>0</v>
      </c>
    </row>
    <row r="47" spans="2:9" ht="15" customHeight="1" x14ac:dyDescent="0.2">
      <c r="B47" t="s">
        <v>74</v>
      </c>
      <c r="C47" s="12">
        <v>4</v>
      </c>
      <c r="D47" s="8">
        <v>1.32</v>
      </c>
      <c r="E47" s="12">
        <v>4</v>
      </c>
      <c r="F47" s="8">
        <v>2.27</v>
      </c>
      <c r="G47" s="12">
        <v>0</v>
      </c>
      <c r="H47" s="8">
        <v>0</v>
      </c>
      <c r="I47" s="12">
        <v>0</v>
      </c>
    </row>
    <row r="48" spans="2:9" ht="15" customHeight="1" x14ac:dyDescent="0.2">
      <c r="B48" t="s">
        <v>102</v>
      </c>
      <c r="C48" s="12">
        <v>4</v>
      </c>
      <c r="D48" s="8">
        <v>1.32</v>
      </c>
      <c r="E48" s="12">
        <v>1</v>
      </c>
      <c r="F48" s="8">
        <v>0.56999999999999995</v>
      </c>
      <c r="G48" s="12">
        <v>3</v>
      </c>
      <c r="H48" s="8">
        <v>2.44</v>
      </c>
      <c r="I48" s="12">
        <v>0</v>
      </c>
    </row>
    <row r="49" spans="2:9" ht="15" customHeight="1" x14ac:dyDescent="0.2">
      <c r="B49" t="s">
        <v>106</v>
      </c>
      <c r="C49" s="12">
        <v>4</v>
      </c>
      <c r="D49" s="8">
        <v>1.32</v>
      </c>
      <c r="E49" s="12">
        <v>1</v>
      </c>
      <c r="F49" s="8">
        <v>0.56999999999999995</v>
      </c>
      <c r="G49" s="12">
        <v>3</v>
      </c>
      <c r="H49" s="8">
        <v>2.44</v>
      </c>
      <c r="I49" s="12">
        <v>0</v>
      </c>
    </row>
    <row r="52" spans="2:9" ht="33" customHeight="1" x14ac:dyDescent="0.2">
      <c r="B52" t="s">
        <v>234</v>
      </c>
      <c r="C52" s="10" t="s">
        <v>59</v>
      </c>
      <c r="D52" s="10" t="s">
        <v>60</v>
      </c>
      <c r="E52" s="10" t="s">
        <v>61</v>
      </c>
      <c r="F52" s="10" t="s">
        <v>62</v>
      </c>
      <c r="G52" s="10" t="s">
        <v>63</v>
      </c>
      <c r="H52" s="10" t="s">
        <v>64</v>
      </c>
      <c r="I52" s="10" t="s">
        <v>65</v>
      </c>
    </row>
    <row r="53" spans="2:9" ht="15" customHeight="1" x14ac:dyDescent="0.2">
      <c r="B53" t="s">
        <v>138</v>
      </c>
      <c r="C53" s="12">
        <v>14</v>
      </c>
      <c r="D53" s="8">
        <v>4.6399999999999997</v>
      </c>
      <c r="E53" s="12">
        <v>13</v>
      </c>
      <c r="F53" s="8">
        <v>7.39</v>
      </c>
      <c r="G53" s="12">
        <v>1</v>
      </c>
      <c r="H53" s="8">
        <v>0.81</v>
      </c>
      <c r="I53" s="12">
        <v>0</v>
      </c>
    </row>
    <row r="54" spans="2:9" ht="15" customHeight="1" x14ac:dyDescent="0.2">
      <c r="B54" t="s">
        <v>136</v>
      </c>
      <c r="C54" s="12">
        <v>13</v>
      </c>
      <c r="D54" s="8">
        <v>4.3</v>
      </c>
      <c r="E54" s="12">
        <v>13</v>
      </c>
      <c r="F54" s="8">
        <v>7.39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122</v>
      </c>
      <c r="C55" s="12">
        <v>12</v>
      </c>
      <c r="D55" s="8">
        <v>3.97</v>
      </c>
      <c r="E55" s="12">
        <v>3</v>
      </c>
      <c r="F55" s="8">
        <v>1.7</v>
      </c>
      <c r="G55" s="12">
        <v>9</v>
      </c>
      <c r="H55" s="8">
        <v>7.32</v>
      </c>
      <c r="I55" s="12">
        <v>0</v>
      </c>
    </row>
    <row r="56" spans="2:9" ht="15" customHeight="1" x14ac:dyDescent="0.2">
      <c r="B56" t="s">
        <v>173</v>
      </c>
      <c r="C56" s="12">
        <v>10</v>
      </c>
      <c r="D56" s="8">
        <v>3.31</v>
      </c>
      <c r="E56" s="12">
        <v>10</v>
      </c>
      <c r="F56" s="8">
        <v>5.68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142</v>
      </c>
      <c r="C57" s="12">
        <v>10</v>
      </c>
      <c r="D57" s="8">
        <v>3.31</v>
      </c>
      <c r="E57" s="12">
        <v>8</v>
      </c>
      <c r="F57" s="8">
        <v>4.55</v>
      </c>
      <c r="G57" s="12">
        <v>2</v>
      </c>
      <c r="H57" s="8">
        <v>1.63</v>
      </c>
      <c r="I57" s="12">
        <v>0</v>
      </c>
    </row>
    <row r="58" spans="2:9" ht="15" customHeight="1" x14ac:dyDescent="0.2">
      <c r="B58" t="s">
        <v>137</v>
      </c>
      <c r="C58" s="12">
        <v>10</v>
      </c>
      <c r="D58" s="8">
        <v>3.31</v>
      </c>
      <c r="E58" s="12">
        <v>10</v>
      </c>
      <c r="F58" s="8">
        <v>5.68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128</v>
      </c>
      <c r="C59" s="12">
        <v>9</v>
      </c>
      <c r="D59" s="8">
        <v>2.98</v>
      </c>
      <c r="E59" s="12">
        <v>6</v>
      </c>
      <c r="F59" s="8">
        <v>3.41</v>
      </c>
      <c r="G59" s="12">
        <v>3</v>
      </c>
      <c r="H59" s="8">
        <v>2.44</v>
      </c>
      <c r="I59" s="12">
        <v>0</v>
      </c>
    </row>
    <row r="60" spans="2:9" ht="15" customHeight="1" x14ac:dyDescent="0.2">
      <c r="B60" t="s">
        <v>177</v>
      </c>
      <c r="C60" s="12">
        <v>7</v>
      </c>
      <c r="D60" s="8">
        <v>2.3199999999999998</v>
      </c>
      <c r="E60" s="12">
        <v>3</v>
      </c>
      <c r="F60" s="8">
        <v>1.7</v>
      </c>
      <c r="G60" s="12">
        <v>4</v>
      </c>
      <c r="H60" s="8">
        <v>3.25</v>
      </c>
      <c r="I60" s="12">
        <v>0</v>
      </c>
    </row>
    <row r="61" spans="2:9" ht="15" customHeight="1" x14ac:dyDescent="0.2">
      <c r="B61" t="s">
        <v>153</v>
      </c>
      <c r="C61" s="12">
        <v>7</v>
      </c>
      <c r="D61" s="8">
        <v>2.3199999999999998</v>
      </c>
      <c r="E61" s="12">
        <v>4</v>
      </c>
      <c r="F61" s="8">
        <v>2.27</v>
      </c>
      <c r="G61" s="12">
        <v>3</v>
      </c>
      <c r="H61" s="8">
        <v>2.44</v>
      </c>
      <c r="I61" s="12">
        <v>0</v>
      </c>
    </row>
    <row r="62" spans="2:9" ht="15" customHeight="1" x14ac:dyDescent="0.2">
      <c r="B62" t="s">
        <v>123</v>
      </c>
      <c r="C62" s="12">
        <v>6</v>
      </c>
      <c r="D62" s="8">
        <v>1.99</v>
      </c>
      <c r="E62" s="12">
        <v>2</v>
      </c>
      <c r="F62" s="8">
        <v>1.1399999999999999</v>
      </c>
      <c r="G62" s="12">
        <v>4</v>
      </c>
      <c r="H62" s="8">
        <v>3.25</v>
      </c>
      <c r="I62" s="12">
        <v>0</v>
      </c>
    </row>
    <row r="63" spans="2:9" ht="15" customHeight="1" x14ac:dyDescent="0.2">
      <c r="B63" t="s">
        <v>158</v>
      </c>
      <c r="C63" s="12">
        <v>6</v>
      </c>
      <c r="D63" s="8">
        <v>1.99</v>
      </c>
      <c r="E63" s="12">
        <v>3</v>
      </c>
      <c r="F63" s="8">
        <v>1.7</v>
      </c>
      <c r="G63" s="12">
        <v>3</v>
      </c>
      <c r="H63" s="8">
        <v>2.44</v>
      </c>
      <c r="I63" s="12">
        <v>0</v>
      </c>
    </row>
    <row r="64" spans="2:9" ht="15" customHeight="1" x14ac:dyDescent="0.2">
      <c r="B64" t="s">
        <v>140</v>
      </c>
      <c r="C64" s="12">
        <v>6</v>
      </c>
      <c r="D64" s="8">
        <v>1.99</v>
      </c>
      <c r="E64" s="12">
        <v>6</v>
      </c>
      <c r="F64" s="8">
        <v>3.41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165</v>
      </c>
      <c r="C65" s="12">
        <v>5</v>
      </c>
      <c r="D65" s="8">
        <v>1.66</v>
      </c>
      <c r="E65" s="12">
        <v>4</v>
      </c>
      <c r="F65" s="8">
        <v>2.27</v>
      </c>
      <c r="G65" s="12">
        <v>1</v>
      </c>
      <c r="H65" s="8">
        <v>0.81</v>
      </c>
      <c r="I65" s="12">
        <v>0</v>
      </c>
    </row>
    <row r="66" spans="2:9" ht="15" customHeight="1" x14ac:dyDescent="0.2">
      <c r="B66" t="s">
        <v>125</v>
      </c>
      <c r="C66" s="12">
        <v>5</v>
      </c>
      <c r="D66" s="8">
        <v>1.66</v>
      </c>
      <c r="E66" s="12">
        <v>3</v>
      </c>
      <c r="F66" s="8">
        <v>1.7</v>
      </c>
      <c r="G66" s="12">
        <v>2</v>
      </c>
      <c r="H66" s="8">
        <v>1.63</v>
      </c>
      <c r="I66" s="12">
        <v>0</v>
      </c>
    </row>
    <row r="67" spans="2:9" ht="15" customHeight="1" x14ac:dyDescent="0.2">
      <c r="B67" t="s">
        <v>141</v>
      </c>
      <c r="C67" s="12">
        <v>5</v>
      </c>
      <c r="D67" s="8">
        <v>1.66</v>
      </c>
      <c r="E67" s="12">
        <v>3</v>
      </c>
      <c r="F67" s="8">
        <v>1.7</v>
      </c>
      <c r="G67" s="12">
        <v>2</v>
      </c>
      <c r="H67" s="8">
        <v>1.63</v>
      </c>
      <c r="I67" s="12">
        <v>0</v>
      </c>
    </row>
    <row r="68" spans="2:9" ht="15" customHeight="1" x14ac:dyDescent="0.2">
      <c r="B68" t="s">
        <v>124</v>
      </c>
      <c r="C68" s="12">
        <v>4</v>
      </c>
      <c r="D68" s="8">
        <v>1.32</v>
      </c>
      <c r="E68" s="12">
        <v>2</v>
      </c>
      <c r="F68" s="8">
        <v>1.1399999999999999</v>
      </c>
      <c r="G68" s="12">
        <v>2</v>
      </c>
      <c r="H68" s="8">
        <v>1.63</v>
      </c>
      <c r="I68" s="12">
        <v>0</v>
      </c>
    </row>
    <row r="69" spans="2:9" ht="15" customHeight="1" x14ac:dyDescent="0.2">
      <c r="B69" t="s">
        <v>192</v>
      </c>
      <c r="C69" s="12">
        <v>4</v>
      </c>
      <c r="D69" s="8">
        <v>1.32</v>
      </c>
      <c r="E69" s="12">
        <v>4</v>
      </c>
      <c r="F69" s="8">
        <v>2.27</v>
      </c>
      <c r="G69" s="12">
        <v>0</v>
      </c>
      <c r="H69" s="8">
        <v>0</v>
      </c>
      <c r="I69" s="12">
        <v>0</v>
      </c>
    </row>
    <row r="70" spans="2:9" ht="15" customHeight="1" x14ac:dyDescent="0.2">
      <c r="B70" t="s">
        <v>155</v>
      </c>
      <c r="C70" s="12">
        <v>4</v>
      </c>
      <c r="D70" s="8">
        <v>1.32</v>
      </c>
      <c r="E70" s="12">
        <v>4</v>
      </c>
      <c r="F70" s="8">
        <v>2.27</v>
      </c>
      <c r="G70" s="12">
        <v>0</v>
      </c>
      <c r="H70" s="8">
        <v>0</v>
      </c>
      <c r="I70" s="12">
        <v>0</v>
      </c>
    </row>
    <row r="71" spans="2:9" ht="15" customHeight="1" x14ac:dyDescent="0.2">
      <c r="B71" t="s">
        <v>197</v>
      </c>
      <c r="C71" s="12">
        <v>4</v>
      </c>
      <c r="D71" s="8">
        <v>1.32</v>
      </c>
      <c r="E71" s="12">
        <v>2</v>
      </c>
      <c r="F71" s="8">
        <v>1.1399999999999999</v>
      </c>
      <c r="G71" s="12">
        <v>2</v>
      </c>
      <c r="H71" s="8">
        <v>1.63</v>
      </c>
      <c r="I71" s="12">
        <v>0</v>
      </c>
    </row>
    <row r="72" spans="2:9" ht="15" customHeight="1" x14ac:dyDescent="0.2">
      <c r="B72" t="s">
        <v>134</v>
      </c>
      <c r="C72" s="12">
        <v>4</v>
      </c>
      <c r="D72" s="8">
        <v>1.32</v>
      </c>
      <c r="E72" s="12">
        <v>4</v>
      </c>
      <c r="F72" s="8">
        <v>2.27</v>
      </c>
      <c r="G72" s="12">
        <v>0</v>
      </c>
      <c r="H72" s="8">
        <v>0</v>
      </c>
      <c r="I72" s="12">
        <v>0</v>
      </c>
    </row>
    <row r="73" spans="2:9" ht="15" customHeight="1" x14ac:dyDescent="0.2">
      <c r="B73" t="s">
        <v>198</v>
      </c>
      <c r="C73" s="12">
        <v>4</v>
      </c>
      <c r="D73" s="8">
        <v>1.32</v>
      </c>
      <c r="E73" s="12">
        <v>1</v>
      </c>
      <c r="F73" s="8">
        <v>0.56999999999999995</v>
      </c>
      <c r="G73" s="12">
        <v>3</v>
      </c>
      <c r="H73" s="8">
        <v>2.44</v>
      </c>
      <c r="I73" s="12">
        <v>0</v>
      </c>
    </row>
    <row r="74" spans="2:9" ht="15" customHeight="1" x14ac:dyDescent="0.2">
      <c r="B74" t="s">
        <v>188</v>
      </c>
      <c r="C74" s="12">
        <v>4</v>
      </c>
      <c r="D74" s="8">
        <v>1.32</v>
      </c>
      <c r="E74" s="12">
        <v>2</v>
      </c>
      <c r="F74" s="8">
        <v>1.1399999999999999</v>
      </c>
      <c r="G74" s="12">
        <v>2</v>
      </c>
      <c r="H74" s="8">
        <v>1.63</v>
      </c>
      <c r="I74" s="12">
        <v>0</v>
      </c>
    </row>
    <row r="76" spans="2:9" ht="15" customHeight="1" x14ac:dyDescent="0.2">
      <c r="B76" t="s">
        <v>235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2BA14-FC00-4E31-AC6A-B8BF686F9241}">
  <sheetPr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265</v>
      </c>
    </row>
    <row r="4" spans="2:9" ht="33" customHeight="1" x14ac:dyDescent="0.2">
      <c r="B4" t="s">
        <v>231</v>
      </c>
      <c r="C4" s="10" t="s">
        <v>59</v>
      </c>
      <c r="D4" s="10" t="s">
        <v>60</v>
      </c>
      <c r="E4" s="10" t="s">
        <v>61</v>
      </c>
      <c r="F4" s="10" t="s">
        <v>62</v>
      </c>
      <c r="G4" s="10" t="s">
        <v>63</v>
      </c>
      <c r="H4" s="10" t="s">
        <v>64</v>
      </c>
      <c r="I4" s="10" t="s">
        <v>65</v>
      </c>
    </row>
    <row r="5" spans="2:9" ht="15" customHeight="1" x14ac:dyDescent="0.2">
      <c r="B5" t="s">
        <v>43</v>
      </c>
      <c r="C5" s="12">
        <v>2</v>
      </c>
      <c r="D5" s="8">
        <v>0.35</v>
      </c>
      <c r="E5" s="12">
        <v>0</v>
      </c>
      <c r="F5" s="8">
        <v>0</v>
      </c>
      <c r="G5" s="12">
        <v>2</v>
      </c>
      <c r="H5" s="8">
        <v>0.93</v>
      </c>
      <c r="I5" s="12">
        <v>0</v>
      </c>
    </row>
    <row r="6" spans="2:9" ht="15" customHeight="1" x14ac:dyDescent="0.2">
      <c r="B6" t="s">
        <v>44</v>
      </c>
      <c r="C6" s="12">
        <v>157</v>
      </c>
      <c r="D6" s="8">
        <v>27.12</v>
      </c>
      <c r="E6" s="12">
        <v>68</v>
      </c>
      <c r="F6" s="8">
        <v>20.12</v>
      </c>
      <c r="G6" s="12">
        <v>89</v>
      </c>
      <c r="H6" s="8">
        <v>41.4</v>
      </c>
      <c r="I6" s="12">
        <v>0</v>
      </c>
    </row>
    <row r="7" spans="2:9" ht="15" customHeight="1" x14ac:dyDescent="0.2">
      <c r="B7" t="s">
        <v>45</v>
      </c>
      <c r="C7" s="12">
        <v>59</v>
      </c>
      <c r="D7" s="8">
        <v>10.19</v>
      </c>
      <c r="E7" s="12">
        <v>29</v>
      </c>
      <c r="F7" s="8">
        <v>8.58</v>
      </c>
      <c r="G7" s="12">
        <v>28</v>
      </c>
      <c r="H7" s="8">
        <v>13.02</v>
      </c>
      <c r="I7" s="12">
        <v>2</v>
      </c>
    </row>
    <row r="8" spans="2:9" ht="15" customHeight="1" x14ac:dyDescent="0.2">
      <c r="B8" t="s">
        <v>46</v>
      </c>
      <c r="C8" s="12">
        <v>2</v>
      </c>
      <c r="D8" s="8">
        <v>0.35</v>
      </c>
      <c r="E8" s="12">
        <v>0</v>
      </c>
      <c r="F8" s="8">
        <v>0</v>
      </c>
      <c r="G8" s="12">
        <v>2</v>
      </c>
      <c r="H8" s="8">
        <v>0.93</v>
      </c>
      <c r="I8" s="12">
        <v>0</v>
      </c>
    </row>
    <row r="9" spans="2:9" ht="15" customHeight="1" x14ac:dyDescent="0.2">
      <c r="B9" t="s">
        <v>47</v>
      </c>
      <c r="C9" s="12">
        <v>3</v>
      </c>
      <c r="D9" s="8">
        <v>0.52</v>
      </c>
      <c r="E9" s="12">
        <v>0</v>
      </c>
      <c r="F9" s="8">
        <v>0</v>
      </c>
      <c r="G9" s="12">
        <v>3</v>
      </c>
      <c r="H9" s="8">
        <v>1.4</v>
      </c>
      <c r="I9" s="12">
        <v>0</v>
      </c>
    </row>
    <row r="10" spans="2:9" ht="15" customHeight="1" x14ac:dyDescent="0.2">
      <c r="B10" t="s">
        <v>48</v>
      </c>
      <c r="C10" s="12">
        <v>3</v>
      </c>
      <c r="D10" s="8">
        <v>0.52</v>
      </c>
      <c r="E10" s="12">
        <v>1</v>
      </c>
      <c r="F10" s="8">
        <v>0.3</v>
      </c>
      <c r="G10" s="12">
        <v>2</v>
      </c>
      <c r="H10" s="8">
        <v>0.93</v>
      </c>
      <c r="I10" s="12">
        <v>0</v>
      </c>
    </row>
    <row r="11" spans="2:9" ht="15" customHeight="1" x14ac:dyDescent="0.2">
      <c r="B11" t="s">
        <v>49</v>
      </c>
      <c r="C11" s="12">
        <v>124</v>
      </c>
      <c r="D11" s="8">
        <v>21.42</v>
      </c>
      <c r="E11" s="12">
        <v>90</v>
      </c>
      <c r="F11" s="8">
        <v>26.63</v>
      </c>
      <c r="G11" s="12">
        <v>34</v>
      </c>
      <c r="H11" s="8">
        <v>15.81</v>
      </c>
      <c r="I11" s="12">
        <v>0</v>
      </c>
    </row>
    <row r="12" spans="2:9" ht="15" customHeight="1" x14ac:dyDescent="0.2">
      <c r="B12" t="s">
        <v>50</v>
      </c>
      <c r="C12" s="12">
        <v>1</v>
      </c>
      <c r="D12" s="8">
        <v>0.17</v>
      </c>
      <c r="E12" s="12">
        <v>1</v>
      </c>
      <c r="F12" s="8">
        <v>0.3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51</v>
      </c>
      <c r="C13" s="12">
        <v>11</v>
      </c>
      <c r="D13" s="8">
        <v>1.9</v>
      </c>
      <c r="E13" s="12">
        <v>4</v>
      </c>
      <c r="F13" s="8">
        <v>1.18</v>
      </c>
      <c r="G13" s="12">
        <v>7</v>
      </c>
      <c r="H13" s="8">
        <v>3.26</v>
      </c>
      <c r="I13" s="12">
        <v>0</v>
      </c>
    </row>
    <row r="14" spans="2:9" ht="15" customHeight="1" x14ac:dyDescent="0.2">
      <c r="B14" t="s">
        <v>52</v>
      </c>
      <c r="C14" s="12">
        <v>21</v>
      </c>
      <c r="D14" s="8">
        <v>3.63</v>
      </c>
      <c r="E14" s="12">
        <v>12</v>
      </c>
      <c r="F14" s="8">
        <v>3.55</v>
      </c>
      <c r="G14" s="12">
        <v>8</v>
      </c>
      <c r="H14" s="8">
        <v>3.72</v>
      </c>
      <c r="I14" s="12">
        <v>0</v>
      </c>
    </row>
    <row r="15" spans="2:9" ht="15" customHeight="1" x14ac:dyDescent="0.2">
      <c r="B15" t="s">
        <v>53</v>
      </c>
      <c r="C15" s="12">
        <v>54</v>
      </c>
      <c r="D15" s="8">
        <v>9.33</v>
      </c>
      <c r="E15" s="12">
        <v>40</v>
      </c>
      <c r="F15" s="8">
        <v>11.83</v>
      </c>
      <c r="G15" s="12">
        <v>14</v>
      </c>
      <c r="H15" s="8">
        <v>6.51</v>
      </c>
      <c r="I15" s="12">
        <v>0</v>
      </c>
    </row>
    <row r="16" spans="2:9" ht="15" customHeight="1" x14ac:dyDescent="0.2">
      <c r="B16" t="s">
        <v>54</v>
      </c>
      <c r="C16" s="12">
        <v>67</v>
      </c>
      <c r="D16" s="8">
        <v>11.57</v>
      </c>
      <c r="E16" s="12">
        <v>54</v>
      </c>
      <c r="F16" s="8">
        <v>15.98</v>
      </c>
      <c r="G16" s="12">
        <v>11</v>
      </c>
      <c r="H16" s="8">
        <v>5.12</v>
      </c>
      <c r="I16" s="12">
        <v>1</v>
      </c>
    </row>
    <row r="17" spans="2:9" ht="15" customHeight="1" x14ac:dyDescent="0.2">
      <c r="B17" t="s">
        <v>55</v>
      </c>
      <c r="C17" s="12">
        <v>35</v>
      </c>
      <c r="D17" s="8">
        <v>6.04</v>
      </c>
      <c r="E17" s="12">
        <v>14</v>
      </c>
      <c r="F17" s="8">
        <v>4.1399999999999997</v>
      </c>
      <c r="G17" s="12">
        <v>4</v>
      </c>
      <c r="H17" s="8">
        <v>1.86</v>
      </c>
      <c r="I17" s="12">
        <v>0</v>
      </c>
    </row>
    <row r="18" spans="2:9" ht="15" customHeight="1" x14ac:dyDescent="0.2">
      <c r="B18" t="s">
        <v>56</v>
      </c>
      <c r="C18" s="12">
        <v>19</v>
      </c>
      <c r="D18" s="8">
        <v>3.28</v>
      </c>
      <c r="E18" s="12">
        <v>17</v>
      </c>
      <c r="F18" s="8">
        <v>5.03</v>
      </c>
      <c r="G18" s="12">
        <v>2</v>
      </c>
      <c r="H18" s="8">
        <v>0.93</v>
      </c>
      <c r="I18" s="12">
        <v>0</v>
      </c>
    </row>
    <row r="19" spans="2:9" ht="15" customHeight="1" x14ac:dyDescent="0.2">
      <c r="B19" t="s">
        <v>57</v>
      </c>
      <c r="C19" s="12">
        <v>21</v>
      </c>
      <c r="D19" s="8">
        <v>3.63</v>
      </c>
      <c r="E19" s="12">
        <v>8</v>
      </c>
      <c r="F19" s="8">
        <v>2.37</v>
      </c>
      <c r="G19" s="12">
        <v>9</v>
      </c>
      <c r="H19" s="8">
        <v>4.1900000000000004</v>
      </c>
      <c r="I19" s="12">
        <v>0</v>
      </c>
    </row>
    <row r="20" spans="2:9" ht="15" customHeight="1" x14ac:dyDescent="0.2">
      <c r="B20" s="9" t="s">
        <v>232</v>
      </c>
      <c r="C20" s="12">
        <f>SUM(LTBL_21401[総数／事業所数])</f>
        <v>579</v>
      </c>
      <c r="E20" s="12">
        <f>SUBTOTAL(109,LTBL_21401[個人／事業所数])</f>
        <v>338</v>
      </c>
      <c r="G20" s="12">
        <f>SUBTOTAL(109,LTBL_21401[法人／事業所数])</f>
        <v>215</v>
      </c>
      <c r="I20" s="12">
        <f>SUBTOTAL(109,LTBL_21401[法人以外の団体／事業所数])</f>
        <v>3</v>
      </c>
    </row>
    <row r="21" spans="2:9" ht="15" customHeight="1" x14ac:dyDescent="0.2">
      <c r="E21" s="11">
        <f>LTBL_21401[[#Totals],[個人／事業所数]]/LTBL_21401[[#Totals],[総数／事業所数]]</f>
        <v>0.58376511226252159</v>
      </c>
      <c r="G21" s="11">
        <f>LTBL_21401[[#Totals],[法人／事業所数]]/LTBL_21401[[#Totals],[総数／事業所数]]</f>
        <v>0.37132987910189985</v>
      </c>
      <c r="I21" s="11">
        <f>LTBL_21401[[#Totals],[法人以外の団体／事業所数]]/LTBL_21401[[#Totals],[総数／事業所数]]</f>
        <v>5.1813471502590676E-3</v>
      </c>
    </row>
    <row r="23" spans="2:9" ht="33" customHeight="1" x14ac:dyDescent="0.2">
      <c r="B23" t="s">
        <v>233</v>
      </c>
      <c r="C23" s="10" t="s">
        <v>59</v>
      </c>
      <c r="D23" s="10" t="s">
        <v>60</v>
      </c>
      <c r="E23" s="10" t="s">
        <v>61</v>
      </c>
      <c r="F23" s="10" t="s">
        <v>62</v>
      </c>
      <c r="G23" s="10" t="s">
        <v>63</v>
      </c>
      <c r="H23" s="10" t="s">
        <v>64</v>
      </c>
      <c r="I23" s="10" t="s">
        <v>65</v>
      </c>
    </row>
    <row r="24" spans="2:9" ht="15" customHeight="1" x14ac:dyDescent="0.2">
      <c r="B24" t="s">
        <v>66</v>
      </c>
      <c r="C24" s="12">
        <v>84</v>
      </c>
      <c r="D24" s="8">
        <v>14.51</v>
      </c>
      <c r="E24" s="12">
        <v>27</v>
      </c>
      <c r="F24" s="8">
        <v>7.99</v>
      </c>
      <c r="G24" s="12">
        <v>57</v>
      </c>
      <c r="H24" s="8">
        <v>26.51</v>
      </c>
      <c r="I24" s="12">
        <v>0</v>
      </c>
    </row>
    <row r="25" spans="2:9" ht="15" customHeight="1" x14ac:dyDescent="0.2">
      <c r="B25" t="s">
        <v>82</v>
      </c>
      <c r="C25" s="12">
        <v>58</v>
      </c>
      <c r="D25" s="8">
        <v>10.02</v>
      </c>
      <c r="E25" s="12">
        <v>51</v>
      </c>
      <c r="F25" s="8">
        <v>15.09</v>
      </c>
      <c r="G25" s="12">
        <v>7</v>
      </c>
      <c r="H25" s="8">
        <v>3.26</v>
      </c>
      <c r="I25" s="12">
        <v>0</v>
      </c>
    </row>
    <row r="26" spans="2:9" ht="15" customHeight="1" x14ac:dyDescent="0.2">
      <c r="B26" t="s">
        <v>67</v>
      </c>
      <c r="C26" s="12">
        <v>50</v>
      </c>
      <c r="D26" s="8">
        <v>8.64</v>
      </c>
      <c r="E26" s="12">
        <v>29</v>
      </c>
      <c r="F26" s="8">
        <v>8.58</v>
      </c>
      <c r="G26" s="12">
        <v>21</v>
      </c>
      <c r="H26" s="8">
        <v>9.77</v>
      </c>
      <c r="I26" s="12">
        <v>0</v>
      </c>
    </row>
    <row r="27" spans="2:9" ht="15" customHeight="1" x14ac:dyDescent="0.2">
      <c r="B27" t="s">
        <v>81</v>
      </c>
      <c r="C27" s="12">
        <v>48</v>
      </c>
      <c r="D27" s="8">
        <v>8.2899999999999991</v>
      </c>
      <c r="E27" s="12">
        <v>36</v>
      </c>
      <c r="F27" s="8">
        <v>10.65</v>
      </c>
      <c r="G27" s="12">
        <v>12</v>
      </c>
      <c r="H27" s="8">
        <v>5.58</v>
      </c>
      <c r="I27" s="12">
        <v>0</v>
      </c>
    </row>
    <row r="28" spans="2:9" ht="15" customHeight="1" x14ac:dyDescent="0.2">
      <c r="B28" t="s">
        <v>77</v>
      </c>
      <c r="C28" s="12">
        <v>39</v>
      </c>
      <c r="D28" s="8">
        <v>6.74</v>
      </c>
      <c r="E28" s="12">
        <v>28</v>
      </c>
      <c r="F28" s="8">
        <v>8.2799999999999994</v>
      </c>
      <c r="G28" s="12">
        <v>11</v>
      </c>
      <c r="H28" s="8">
        <v>5.12</v>
      </c>
      <c r="I28" s="12">
        <v>0</v>
      </c>
    </row>
    <row r="29" spans="2:9" ht="15" customHeight="1" x14ac:dyDescent="0.2">
      <c r="B29" t="s">
        <v>83</v>
      </c>
      <c r="C29" s="12">
        <v>35</v>
      </c>
      <c r="D29" s="8">
        <v>6.04</v>
      </c>
      <c r="E29" s="12">
        <v>14</v>
      </c>
      <c r="F29" s="8">
        <v>4.1399999999999997</v>
      </c>
      <c r="G29" s="12">
        <v>4</v>
      </c>
      <c r="H29" s="8">
        <v>1.86</v>
      </c>
      <c r="I29" s="12">
        <v>0</v>
      </c>
    </row>
    <row r="30" spans="2:9" ht="15" customHeight="1" x14ac:dyDescent="0.2">
      <c r="B30" t="s">
        <v>75</v>
      </c>
      <c r="C30" s="12">
        <v>34</v>
      </c>
      <c r="D30" s="8">
        <v>5.87</v>
      </c>
      <c r="E30" s="12">
        <v>31</v>
      </c>
      <c r="F30" s="8">
        <v>9.17</v>
      </c>
      <c r="G30" s="12">
        <v>3</v>
      </c>
      <c r="H30" s="8">
        <v>1.4</v>
      </c>
      <c r="I30" s="12">
        <v>0</v>
      </c>
    </row>
    <row r="31" spans="2:9" ht="15" customHeight="1" x14ac:dyDescent="0.2">
      <c r="B31" t="s">
        <v>68</v>
      </c>
      <c r="C31" s="12">
        <v>23</v>
      </c>
      <c r="D31" s="8">
        <v>3.97</v>
      </c>
      <c r="E31" s="12">
        <v>12</v>
      </c>
      <c r="F31" s="8">
        <v>3.55</v>
      </c>
      <c r="G31" s="12">
        <v>11</v>
      </c>
      <c r="H31" s="8">
        <v>5.12</v>
      </c>
      <c r="I31" s="12">
        <v>0</v>
      </c>
    </row>
    <row r="32" spans="2:9" ht="15" customHeight="1" x14ac:dyDescent="0.2">
      <c r="B32" t="s">
        <v>76</v>
      </c>
      <c r="C32" s="12">
        <v>23</v>
      </c>
      <c r="D32" s="8">
        <v>3.97</v>
      </c>
      <c r="E32" s="12">
        <v>17</v>
      </c>
      <c r="F32" s="8">
        <v>5.03</v>
      </c>
      <c r="G32" s="12">
        <v>6</v>
      </c>
      <c r="H32" s="8">
        <v>2.79</v>
      </c>
      <c r="I32" s="12">
        <v>0</v>
      </c>
    </row>
    <row r="33" spans="2:9" ht="15" customHeight="1" x14ac:dyDescent="0.2">
      <c r="B33" t="s">
        <v>84</v>
      </c>
      <c r="C33" s="12">
        <v>17</v>
      </c>
      <c r="D33" s="8">
        <v>2.94</v>
      </c>
      <c r="E33" s="12">
        <v>17</v>
      </c>
      <c r="F33" s="8">
        <v>5.03</v>
      </c>
      <c r="G33" s="12">
        <v>0</v>
      </c>
      <c r="H33" s="8">
        <v>0</v>
      </c>
      <c r="I33" s="12">
        <v>0</v>
      </c>
    </row>
    <row r="34" spans="2:9" ht="15" customHeight="1" x14ac:dyDescent="0.2">
      <c r="B34" t="s">
        <v>74</v>
      </c>
      <c r="C34" s="12">
        <v>13</v>
      </c>
      <c r="D34" s="8">
        <v>2.25</v>
      </c>
      <c r="E34" s="12">
        <v>10</v>
      </c>
      <c r="F34" s="8">
        <v>2.96</v>
      </c>
      <c r="G34" s="12">
        <v>3</v>
      </c>
      <c r="H34" s="8">
        <v>1.4</v>
      </c>
      <c r="I34" s="12">
        <v>0</v>
      </c>
    </row>
    <row r="35" spans="2:9" ht="15" customHeight="1" x14ac:dyDescent="0.2">
      <c r="B35" t="s">
        <v>80</v>
      </c>
      <c r="C35" s="12">
        <v>12</v>
      </c>
      <c r="D35" s="8">
        <v>2.0699999999999998</v>
      </c>
      <c r="E35" s="12">
        <v>6</v>
      </c>
      <c r="F35" s="8">
        <v>1.78</v>
      </c>
      <c r="G35" s="12">
        <v>5</v>
      </c>
      <c r="H35" s="8">
        <v>2.33</v>
      </c>
      <c r="I35" s="12">
        <v>0</v>
      </c>
    </row>
    <row r="36" spans="2:9" ht="15" customHeight="1" x14ac:dyDescent="0.2">
      <c r="B36" t="s">
        <v>78</v>
      </c>
      <c r="C36" s="12">
        <v>9</v>
      </c>
      <c r="D36" s="8">
        <v>1.55</v>
      </c>
      <c r="E36" s="12">
        <v>3</v>
      </c>
      <c r="F36" s="8">
        <v>0.89</v>
      </c>
      <c r="G36" s="12">
        <v>6</v>
      </c>
      <c r="H36" s="8">
        <v>2.79</v>
      </c>
      <c r="I36" s="12">
        <v>0</v>
      </c>
    </row>
    <row r="37" spans="2:9" ht="15" customHeight="1" x14ac:dyDescent="0.2">
      <c r="B37" t="s">
        <v>79</v>
      </c>
      <c r="C37" s="12">
        <v>9</v>
      </c>
      <c r="D37" s="8">
        <v>1.55</v>
      </c>
      <c r="E37" s="12">
        <v>6</v>
      </c>
      <c r="F37" s="8">
        <v>1.78</v>
      </c>
      <c r="G37" s="12">
        <v>3</v>
      </c>
      <c r="H37" s="8">
        <v>1.4</v>
      </c>
      <c r="I37" s="12">
        <v>0</v>
      </c>
    </row>
    <row r="38" spans="2:9" ht="15" customHeight="1" x14ac:dyDescent="0.2">
      <c r="B38" t="s">
        <v>69</v>
      </c>
      <c r="C38" s="12">
        <v>7</v>
      </c>
      <c r="D38" s="8">
        <v>1.21</v>
      </c>
      <c r="E38" s="12">
        <v>4</v>
      </c>
      <c r="F38" s="8">
        <v>1.18</v>
      </c>
      <c r="G38" s="12">
        <v>3</v>
      </c>
      <c r="H38" s="8">
        <v>1.4</v>
      </c>
      <c r="I38" s="12">
        <v>0</v>
      </c>
    </row>
    <row r="39" spans="2:9" ht="15" customHeight="1" x14ac:dyDescent="0.2">
      <c r="B39" t="s">
        <v>70</v>
      </c>
      <c r="C39" s="12">
        <v>7</v>
      </c>
      <c r="D39" s="8">
        <v>1.21</v>
      </c>
      <c r="E39" s="12">
        <v>0</v>
      </c>
      <c r="F39" s="8">
        <v>0</v>
      </c>
      <c r="G39" s="12">
        <v>7</v>
      </c>
      <c r="H39" s="8">
        <v>3.26</v>
      </c>
      <c r="I39" s="12">
        <v>0</v>
      </c>
    </row>
    <row r="40" spans="2:9" ht="15" customHeight="1" x14ac:dyDescent="0.2">
      <c r="B40" t="s">
        <v>85</v>
      </c>
      <c r="C40" s="12">
        <v>7</v>
      </c>
      <c r="D40" s="8">
        <v>1.21</v>
      </c>
      <c r="E40" s="12">
        <v>5</v>
      </c>
      <c r="F40" s="8">
        <v>1.48</v>
      </c>
      <c r="G40" s="12">
        <v>2</v>
      </c>
      <c r="H40" s="8">
        <v>0.93</v>
      </c>
      <c r="I40" s="12">
        <v>0</v>
      </c>
    </row>
    <row r="41" spans="2:9" ht="15" customHeight="1" x14ac:dyDescent="0.2">
      <c r="B41" t="s">
        <v>107</v>
      </c>
      <c r="C41" s="12">
        <v>6</v>
      </c>
      <c r="D41" s="8">
        <v>1.04</v>
      </c>
      <c r="E41" s="12">
        <v>2</v>
      </c>
      <c r="F41" s="8">
        <v>0.59</v>
      </c>
      <c r="G41" s="12">
        <v>3</v>
      </c>
      <c r="H41" s="8">
        <v>1.4</v>
      </c>
      <c r="I41" s="12">
        <v>1</v>
      </c>
    </row>
    <row r="42" spans="2:9" ht="15" customHeight="1" x14ac:dyDescent="0.2">
      <c r="B42" t="s">
        <v>90</v>
      </c>
      <c r="C42" s="12">
        <v>6</v>
      </c>
      <c r="D42" s="8">
        <v>1.04</v>
      </c>
      <c r="E42" s="12">
        <v>3</v>
      </c>
      <c r="F42" s="8">
        <v>0.89</v>
      </c>
      <c r="G42" s="12">
        <v>3</v>
      </c>
      <c r="H42" s="8">
        <v>1.4</v>
      </c>
      <c r="I42" s="12">
        <v>0</v>
      </c>
    </row>
    <row r="43" spans="2:9" ht="15" customHeight="1" x14ac:dyDescent="0.2">
      <c r="B43" t="s">
        <v>92</v>
      </c>
      <c r="C43" s="12">
        <v>5</v>
      </c>
      <c r="D43" s="8">
        <v>0.86</v>
      </c>
      <c r="E43" s="12">
        <v>2</v>
      </c>
      <c r="F43" s="8">
        <v>0.59</v>
      </c>
      <c r="G43" s="12">
        <v>3</v>
      </c>
      <c r="H43" s="8">
        <v>1.4</v>
      </c>
      <c r="I43" s="12">
        <v>0</v>
      </c>
    </row>
    <row r="44" spans="2:9" ht="15" customHeight="1" x14ac:dyDescent="0.2">
      <c r="B44" t="s">
        <v>93</v>
      </c>
      <c r="C44" s="12">
        <v>5</v>
      </c>
      <c r="D44" s="8">
        <v>0.86</v>
      </c>
      <c r="E44" s="12">
        <v>5</v>
      </c>
      <c r="F44" s="8">
        <v>1.48</v>
      </c>
      <c r="G44" s="12">
        <v>0</v>
      </c>
      <c r="H44" s="8">
        <v>0</v>
      </c>
      <c r="I44" s="12">
        <v>0</v>
      </c>
    </row>
    <row r="45" spans="2:9" ht="15" customHeight="1" x14ac:dyDescent="0.2">
      <c r="B45" t="s">
        <v>103</v>
      </c>
      <c r="C45" s="12">
        <v>5</v>
      </c>
      <c r="D45" s="8">
        <v>0.86</v>
      </c>
      <c r="E45" s="12">
        <v>4</v>
      </c>
      <c r="F45" s="8">
        <v>1.18</v>
      </c>
      <c r="G45" s="12">
        <v>1</v>
      </c>
      <c r="H45" s="8">
        <v>0.47</v>
      </c>
      <c r="I45" s="12">
        <v>0</v>
      </c>
    </row>
    <row r="46" spans="2:9" ht="15" customHeight="1" x14ac:dyDescent="0.2">
      <c r="B46" t="s">
        <v>106</v>
      </c>
      <c r="C46" s="12">
        <v>5</v>
      </c>
      <c r="D46" s="8">
        <v>0.86</v>
      </c>
      <c r="E46" s="12">
        <v>3</v>
      </c>
      <c r="F46" s="8">
        <v>0.89</v>
      </c>
      <c r="G46" s="12">
        <v>2</v>
      </c>
      <c r="H46" s="8">
        <v>0.93</v>
      </c>
      <c r="I46" s="12">
        <v>0</v>
      </c>
    </row>
    <row r="47" spans="2:9" ht="15" customHeight="1" x14ac:dyDescent="0.2">
      <c r="B47" t="s">
        <v>88</v>
      </c>
      <c r="C47" s="12">
        <v>5</v>
      </c>
      <c r="D47" s="8">
        <v>0.86</v>
      </c>
      <c r="E47" s="12">
        <v>0</v>
      </c>
      <c r="F47" s="8">
        <v>0</v>
      </c>
      <c r="G47" s="12">
        <v>4</v>
      </c>
      <c r="H47" s="8">
        <v>1.86</v>
      </c>
      <c r="I47" s="12">
        <v>0</v>
      </c>
    </row>
    <row r="50" spans="2:9" ht="33" customHeight="1" x14ac:dyDescent="0.2">
      <c r="B50" t="s">
        <v>234</v>
      </c>
      <c r="C50" s="10" t="s">
        <v>59</v>
      </c>
      <c r="D50" s="10" t="s">
        <v>60</v>
      </c>
      <c r="E50" s="10" t="s">
        <v>61</v>
      </c>
      <c r="F50" s="10" t="s">
        <v>62</v>
      </c>
      <c r="G50" s="10" t="s">
        <v>63</v>
      </c>
      <c r="H50" s="10" t="s">
        <v>64</v>
      </c>
      <c r="I50" s="10" t="s">
        <v>65</v>
      </c>
    </row>
    <row r="51" spans="2:9" ht="15" customHeight="1" x14ac:dyDescent="0.2">
      <c r="B51" t="s">
        <v>122</v>
      </c>
      <c r="C51" s="12">
        <v>47</v>
      </c>
      <c r="D51" s="8">
        <v>8.1199999999999992</v>
      </c>
      <c r="E51" s="12">
        <v>14</v>
      </c>
      <c r="F51" s="8">
        <v>4.1399999999999997</v>
      </c>
      <c r="G51" s="12">
        <v>33</v>
      </c>
      <c r="H51" s="8">
        <v>15.35</v>
      </c>
      <c r="I51" s="12">
        <v>0</v>
      </c>
    </row>
    <row r="52" spans="2:9" ht="15" customHeight="1" x14ac:dyDescent="0.2">
      <c r="B52" t="s">
        <v>138</v>
      </c>
      <c r="C52" s="12">
        <v>30</v>
      </c>
      <c r="D52" s="8">
        <v>5.18</v>
      </c>
      <c r="E52" s="12">
        <v>27</v>
      </c>
      <c r="F52" s="8">
        <v>7.99</v>
      </c>
      <c r="G52" s="12">
        <v>3</v>
      </c>
      <c r="H52" s="8">
        <v>1.4</v>
      </c>
      <c r="I52" s="12">
        <v>0</v>
      </c>
    </row>
    <row r="53" spans="2:9" ht="15" customHeight="1" x14ac:dyDescent="0.2">
      <c r="B53" t="s">
        <v>137</v>
      </c>
      <c r="C53" s="12">
        <v>23</v>
      </c>
      <c r="D53" s="8">
        <v>3.97</v>
      </c>
      <c r="E53" s="12">
        <v>23</v>
      </c>
      <c r="F53" s="8">
        <v>6.8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128</v>
      </c>
      <c r="C54" s="12">
        <v>19</v>
      </c>
      <c r="D54" s="8">
        <v>3.28</v>
      </c>
      <c r="E54" s="12">
        <v>14</v>
      </c>
      <c r="F54" s="8">
        <v>4.1399999999999997</v>
      </c>
      <c r="G54" s="12">
        <v>5</v>
      </c>
      <c r="H54" s="8">
        <v>2.33</v>
      </c>
      <c r="I54" s="12">
        <v>0</v>
      </c>
    </row>
    <row r="55" spans="2:9" ht="15" customHeight="1" x14ac:dyDescent="0.2">
      <c r="B55" t="s">
        <v>136</v>
      </c>
      <c r="C55" s="12">
        <v>18</v>
      </c>
      <c r="D55" s="8">
        <v>3.11</v>
      </c>
      <c r="E55" s="12">
        <v>16</v>
      </c>
      <c r="F55" s="8">
        <v>4.7300000000000004</v>
      </c>
      <c r="G55" s="12">
        <v>2</v>
      </c>
      <c r="H55" s="8">
        <v>0.93</v>
      </c>
      <c r="I55" s="12">
        <v>0</v>
      </c>
    </row>
    <row r="56" spans="2:9" ht="15" customHeight="1" x14ac:dyDescent="0.2">
      <c r="B56" t="s">
        <v>184</v>
      </c>
      <c r="C56" s="12">
        <v>17</v>
      </c>
      <c r="D56" s="8">
        <v>2.94</v>
      </c>
      <c r="E56" s="12">
        <v>0</v>
      </c>
      <c r="F56" s="8">
        <v>0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124</v>
      </c>
      <c r="C57" s="12">
        <v>15</v>
      </c>
      <c r="D57" s="8">
        <v>2.59</v>
      </c>
      <c r="E57" s="12">
        <v>7</v>
      </c>
      <c r="F57" s="8">
        <v>2.0699999999999998</v>
      </c>
      <c r="G57" s="12">
        <v>8</v>
      </c>
      <c r="H57" s="8">
        <v>3.72</v>
      </c>
      <c r="I57" s="12">
        <v>0</v>
      </c>
    </row>
    <row r="58" spans="2:9" ht="15" customHeight="1" x14ac:dyDescent="0.2">
      <c r="B58" t="s">
        <v>123</v>
      </c>
      <c r="C58" s="12">
        <v>14</v>
      </c>
      <c r="D58" s="8">
        <v>2.42</v>
      </c>
      <c r="E58" s="12">
        <v>4</v>
      </c>
      <c r="F58" s="8">
        <v>1.18</v>
      </c>
      <c r="G58" s="12">
        <v>10</v>
      </c>
      <c r="H58" s="8">
        <v>4.6500000000000004</v>
      </c>
      <c r="I58" s="12">
        <v>0</v>
      </c>
    </row>
    <row r="59" spans="2:9" ht="15" customHeight="1" x14ac:dyDescent="0.2">
      <c r="B59" t="s">
        <v>147</v>
      </c>
      <c r="C59" s="12">
        <v>12</v>
      </c>
      <c r="D59" s="8">
        <v>2.0699999999999998</v>
      </c>
      <c r="E59" s="12">
        <v>9</v>
      </c>
      <c r="F59" s="8">
        <v>2.66</v>
      </c>
      <c r="G59" s="12">
        <v>3</v>
      </c>
      <c r="H59" s="8">
        <v>1.4</v>
      </c>
      <c r="I59" s="12">
        <v>0</v>
      </c>
    </row>
    <row r="60" spans="2:9" ht="15" customHeight="1" x14ac:dyDescent="0.2">
      <c r="B60" t="s">
        <v>127</v>
      </c>
      <c r="C60" s="12">
        <v>12</v>
      </c>
      <c r="D60" s="8">
        <v>2.0699999999999998</v>
      </c>
      <c r="E60" s="12">
        <v>10</v>
      </c>
      <c r="F60" s="8">
        <v>2.96</v>
      </c>
      <c r="G60" s="12">
        <v>2</v>
      </c>
      <c r="H60" s="8">
        <v>0.93</v>
      </c>
      <c r="I60" s="12">
        <v>0</v>
      </c>
    </row>
    <row r="61" spans="2:9" ht="15" customHeight="1" x14ac:dyDescent="0.2">
      <c r="B61" t="s">
        <v>139</v>
      </c>
      <c r="C61" s="12">
        <v>11</v>
      </c>
      <c r="D61" s="8">
        <v>1.9</v>
      </c>
      <c r="E61" s="12">
        <v>9</v>
      </c>
      <c r="F61" s="8">
        <v>2.66</v>
      </c>
      <c r="G61" s="12">
        <v>2</v>
      </c>
      <c r="H61" s="8">
        <v>0.93</v>
      </c>
      <c r="I61" s="12">
        <v>0</v>
      </c>
    </row>
    <row r="62" spans="2:9" ht="15" customHeight="1" x14ac:dyDescent="0.2">
      <c r="B62" t="s">
        <v>140</v>
      </c>
      <c r="C62" s="12">
        <v>11</v>
      </c>
      <c r="D62" s="8">
        <v>1.9</v>
      </c>
      <c r="E62" s="12">
        <v>11</v>
      </c>
      <c r="F62" s="8">
        <v>3.25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125</v>
      </c>
      <c r="C63" s="12">
        <v>10</v>
      </c>
      <c r="D63" s="8">
        <v>1.73</v>
      </c>
      <c r="E63" s="12">
        <v>4</v>
      </c>
      <c r="F63" s="8">
        <v>1.18</v>
      </c>
      <c r="G63" s="12">
        <v>6</v>
      </c>
      <c r="H63" s="8">
        <v>2.79</v>
      </c>
      <c r="I63" s="12">
        <v>0</v>
      </c>
    </row>
    <row r="64" spans="2:9" ht="15" customHeight="1" x14ac:dyDescent="0.2">
      <c r="B64" t="s">
        <v>158</v>
      </c>
      <c r="C64" s="12">
        <v>9</v>
      </c>
      <c r="D64" s="8">
        <v>1.55</v>
      </c>
      <c r="E64" s="12">
        <v>8</v>
      </c>
      <c r="F64" s="8">
        <v>2.37</v>
      </c>
      <c r="G64" s="12">
        <v>1</v>
      </c>
      <c r="H64" s="8">
        <v>0.47</v>
      </c>
      <c r="I64" s="12">
        <v>0</v>
      </c>
    </row>
    <row r="65" spans="2:9" ht="15" customHeight="1" x14ac:dyDescent="0.2">
      <c r="B65" t="s">
        <v>170</v>
      </c>
      <c r="C65" s="12">
        <v>9</v>
      </c>
      <c r="D65" s="8">
        <v>1.55</v>
      </c>
      <c r="E65" s="12">
        <v>4</v>
      </c>
      <c r="F65" s="8">
        <v>1.18</v>
      </c>
      <c r="G65" s="12">
        <v>5</v>
      </c>
      <c r="H65" s="8">
        <v>2.33</v>
      </c>
      <c r="I65" s="12">
        <v>0</v>
      </c>
    </row>
    <row r="66" spans="2:9" ht="15" customHeight="1" x14ac:dyDescent="0.2">
      <c r="B66" t="s">
        <v>130</v>
      </c>
      <c r="C66" s="12">
        <v>9</v>
      </c>
      <c r="D66" s="8">
        <v>1.55</v>
      </c>
      <c r="E66" s="12">
        <v>9</v>
      </c>
      <c r="F66" s="8">
        <v>2.66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133</v>
      </c>
      <c r="C67" s="12">
        <v>9</v>
      </c>
      <c r="D67" s="8">
        <v>1.55</v>
      </c>
      <c r="E67" s="12">
        <v>3</v>
      </c>
      <c r="F67" s="8">
        <v>0.89</v>
      </c>
      <c r="G67" s="12">
        <v>5</v>
      </c>
      <c r="H67" s="8">
        <v>2.33</v>
      </c>
      <c r="I67" s="12">
        <v>0</v>
      </c>
    </row>
    <row r="68" spans="2:9" ht="15" customHeight="1" x14ac:dyDescent="0.2">
      <c r="B68" t="s">
        <v>167</v>
      </c>
      <c r="C68" s="12">
        <v>9</v>
      </c>
      <c r="D68" s="8">
        <v>1.55</v>
      </c>
      <c r="E68" s="12">
        <v>8</v>
      </c>
      <c r="F68" s="8">
        <v>2.37</v>
      </c>
      <c r="G68" s="12">
        <v>1</v>
      </c>
      <c r="H68" s="8">
        <v>0.47</v>
      </c>
      <c r="I68" s="12">
        <v>0</v>
      </c>
    </row>
    <row r="69" spans="2:9" ht="15" customHeight="1" x14ac:dyDescent="0.2">
      <c r="B69" t="s">
        <v>183</v>
      </c>
      <c r="C69" s="12">
        <v>8</v>
      </c>
      <c r="D69" s="8">
        <v>1.38</v>
      </c>
      <c r="E69" s="12">
        <v>5</v>
      </c>
      <c r="F69" s="8">
        <v>1.48</v>
      </c>
      <c r="G69" s="12">
        <v>3</v>
      </c>
      <c r="H69" s="8">
        <v>1.4</v>
      </c>
      <c r="I69" s="12">
        <v>0</v>
      </c>
    </row>
    <row r="70" spans="2:9" ht="15" customHeight="1" x14ac:dyDescent="0.2">
      <c r="B70" t="s">
        <v>129</v>
      </c>
      <c r="C70" s="12">
        <v>8</v>
      </c>
      <c r="D70" s="8">
        <v>1.38</v>
      </c>
      <c r="E70" s="12">
        <v>4</v>
      </c>
      <c r="F70" s="8">
        <v>1.18</v>
      </c>
      <c r="G70" s="12">
        <v>4</v>
      </c>
      <c r="H70" s="8">
        <v>1.86</v>
      </c>
      <c r="I70" s="12">
        <v>0</v>
      </c>
    </row>
    <row r="71" spans="2:9" ht="15" customHeight="1" x14ac:dyDescent="0.2">
      <c r="B71" t="s">
        <v>134</v>
      </c>
      <c r="C71" s="12">
        <v>8</v>
      </c>
      <c r="D71" s="8">
        <v>1.38</v>
      </c>
      <c r="E71" s="12">
        <v>5</v>
      </c>
      <c r="F71" s="8">
        <v>1.48</v>
      </c>
      <c r="G71" s="12">
        <v>3</v>
      </c>
      <c r="H71" s="8">
        <v>1.4</v>
      </c>
      <c r="I71" s="12">
        <v>0</v>
      </c>
    </row>
    <row r="73" spans="2:9" ht="15" customHeight="1" x14ac:dyDescent="0.2">
      <c r="B73" t="s">
        <v>235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53FBA-440E-4733-AE55-AD81A5434F1F}">
  <sheetPr>
    <pageSetUpPr fitToPage="1"/>
  </sheetPr>
  <dimension ref="B2:I72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266</v>
      </c>
    </row>
    <row r="4" spans="2:9" ht="33" customHeight="1" x14ac:dyDescent="0.2">
      <c r="B4" t="s">
        <v>231</v>
      </c>
      <c r="C4" s="10" t="s">
        <v>59</v>
      </c>
      <c r="D4" s="10" t="s">
        <v>60</v>
      </c>
      <c r="E4" s="10" t="s">
        <v>61</v>
      </c>
      <c r="F4" s="10" t="s">
        <v>62</v>
      </c>
      <c r="G4" s="10" t="s">
        <v>63</v>
      </c>
      <c r="H4" s="10" t="s">
        <v>64</v>
      </c>
      <c r="I4" s="10" t="s">
        <v>65</v>
      </c>
    </row>
    <row r="5" spans="2:9" ht="15" customHeight="1" x14ac:dyDescent="0.2">
      <c r="B5" t="s">
        <v>43</v>
      </c>
      <c r="C5" s="12">
        <v>2</v>
      </c>
      <c r="D5" s="8">
        <v>0.45</v>
      </c>
      <c r="E5" s="12">
        <v>0</v>
      </c>
      <c r="F5" s="8">
        <v>0</v>
      </c>
      <c r="G5" s="12">
        <v>2</v>
      </c>
      <c r="H5" s="8">
        <v>1.08</v>
      </c>
      <c r="I5" s="12">
        <v>0</v>
      </c>
    </row>
    <row r="6" spans="2:9" ht="15" customHeight="1" x14ac:dyDescent="0.2">
      <c r="B6" t="s">
        <v>44</v>
      </c>
      <c r="C6" s="12">
        <v>98</v>
      </c>
      <c r="D6" s="8">
        <v>21.83</v>
      </c>
      <c r="E6" s="12">
        <v>42</v>
      </c>
      <c r="F6" s="8">
        <v>17</v>
      </c>
      <c r="G6" s="12">
        <v>56</v>
      </c>
      <c r="H6" s="8">
        <v>30.11</v>
      </c>
      <c r="I6" s="12">
        <v>0</v>
      </c>
    </row>
    <row r="7" spans="2:9" ht="15" customHeight="1" x14ac:dyDescent="0.2">
      <c r="B7" t="s">
        <v>45</v>
      </c>
      <c r="C7" s="12">
        <v>48</v>
      </c>
      <c r="D7" s="8">
        <v>10.69</v>
      </c>
      <c r="E7" s="12">
        <v>12</v>
      </c>
      <c r="F7" s="8">
        <v>4.8600000000000003</v>
      </c>
      <c r="G7" s="12">
        <v>36</v>
      </c>
      <c r="H7" s="8">
        <v>19.350000000000001</v>
      </c>
      <c r="I7" s="12">
        <v>0</v>
      </c>
    </row>
    <row r="8" spans="2:9" ht="15" customHeight="1" x14ac:dyDescent="0.2">
      <c r="B8" t="s">
        <v>46</v>
      </c>
      <c r="C8" s="12">
        <v>2</v>
      </c>
      <c r="D8" s="8">
        <v>0.45</v>
      </c>
      <c r="E8" s="12">
        <v>0</v>
      </c>
      <c r="F8" s="8">
        <v>0</v>
      </c>
      <c r="G8" s="12">
        <v>1</v>
      </c>
      <c r="H8" s="8">
        <v>0.54</v>
      </c>
      <c r="I8" s="12">
        <v>0</v>
      </c>
    </row>
    <row r="9" spans="2:9" ht="15" customHeight="1" x14ac:dyDescent="0.2">
      <c r="B9" t="s">
        <v>47</v>
      </c>
      <c r="C9" s="12">
        <v>1</v>
      </c>
      <c r="D9" s="8">
        <v>0.22</v>
      </c>
      <c r="E9" s="12">
        <v>0</v>
      </c>
      <c r="F9" s="8">
        <v>0</v>
      </c>
      <c r="G9" s="12">
        <v>1</v>
      </c>
      <c r="H9" s="8">
        <v>0.54</v>
      </c>
      <c r="I9" s="12">
        <v>0</v>
      </c>
    </row>
    <row r="10" spans="2:9" ht="15" customHeight="1" x14ac:dyDescent="0.2">
      <c r="B10" t="s">
        <v>48</v>
      </c>
      <c r="C10" s="12">
        <v>1</v>
      </c>
      <c r="D10" s="8">
        <v>0.22</v>
      </c>
      <c r="E10" s="12">
        <v>0</v>
      </c>
      <c r="F10" s="8">
        <v>0</v>
      </c>
      <c r="G10" s="12">
        <v>1</v>
      </c>
      <c r="H10" s="8">
        <v>0.54</v>
      </c>
      <c r="I10" s="12">
        <v>0</v>
      </c>
    </row>
    <row r="11" spans="2:9" ht="15" customHeight="1" x14ac:dyDescent="0.2">
      <c r="B11" t="s">
        <v>49</v>
      </c>
      <c r="C11" s="12">
        <v>103</v>
      </c>
      <c r="D11" s="8">
        <v>22.94</v>
      </c>
      <c r="E11" s="12">
        <v>60</v>
      </c>
      <c r="F11" s="8">
        <v>24.29</v>
      </c>
      <c r="G11" s="12">
        <v>41</v>
      </c>
      <c r="H11" s="8">
        <v>22.04</v>
      </c>
      <c r="I11" s="12">
        <v>2</v>
      </c>
    </row>
    <row r="12" spans="2:9" ht="15" customHeight="1" x14ac:dyDescent="0.2">
      <c r="B12" t="s">
        <v>50</v>
      </c>
      <c r="C12" s="12">
        <v>4</v>
      </c>
      <c r="D12" s="8">
        <v>0.89</v>
      </c>
      <c r="E12" s="12">
        <v>1</v>
      </c>
      <c r="F12" s="8">
        <v>0.4</v>
      </c>
      <c r="G12" s="12">
        <v>3</v>
      </c>
      <c r="H12" s="8">
        <v>1.61</v>
      </c>
      <c r="I12" s="12">
        <v>0</v>
      </c>
    </row>
    <row r="13" spans="2:9" ht="15" customHeight="1" x14ac:dyDescent="0.2">
      <c r="B13" t="s">
        <v>51</v>
      </c>
      <c r="C13" s="12">
        <v>15</v>
      </c>
      <c r="D13" s="8">
        <v>3.34</v>
      </c>
      <c r="E13" s="12">
        <v>5</v>
      </c>
      <c r="F13" s="8">
        <v>2.02</v>
      </c>
      <c r="G13" s="12">
        <v>10</v>
      </c>
      <c r="H13" s="8">
        <v>5.38</v>
      </c>
      <c r="I13" s="12">
        <v>0</v>
      </c>
    </row>
    <row r="14" spans="2:9" ht="15" customHeight="1" x14ac:dyDescent="0.2">
      <c r="B14" t="s">
        <v>52</v>
      </c>
      <c r="C14" s="12">
        <v>14</v>
      </c>
      <c r="D14" s="8">
        <v>3.12</v>
      </c>
      <c r="E14" s="12">
        <v>7</v>
      </c>
      <c r="F14" s="8">
        <v>2.83</v>
      </c>
      <c r="G14" s="12">
        <v>6</v>
      </c>
      <c r="H14" s="8">
        <v>3.23</v>
      </c>
      <c r="I14" s="12">
        <v>0</v>
      </c>
    </row>
    <row r="15" spans="2:9" ht="15" customHeight="1" x14ac:dyDescent="0.2">
      <c r="B15" t="s">
        <v>53</v>
      </c>
      <c r="C15" s="12">
        <v>33</v>
      </c>
      <c r="D15" s="8">
        <v>7.35</v>
      </c>
      <c r="E15" s="12">
        <v>28</v>
      </c>
      <c r="F15" s="8">
        <v>11.34</v>
      </c>
      <c r="G15" s="12">
        <v>5</v>
      </c>
      <c r="H15" s="8">
        <v>2.69</v>
      </c>
      <c r="I15" s="12">
        <v>0</v>
      </c>
    </row>
    <row r="16" spans="2:9" ht="15" customHeight="1" x14ac:dyDescent="0.2">
      <c r="B16" t="s">
        <v>54</v>
      </c>
      <c r="C16" s="12">
        <v>51</v>
      </c>
      <c r="D16" s="8">
        <v>11.36</v>
      </c>
      <c r="E16" s="12">
        <v>39</v>
      </c>
      <c r="F16" s="8">
        <v>15.79</v>
      </c>
      <c r="G16" s="12">
        <v>9</v>
      </c>
      <c r="H16" s="8">
        <v>4.84</v>
      </c>
      <c r="I16" s="12">
        <v>0</v>
      </c>
    </row>
    <row r="17" spans="2:9" ht="15" customHeight="1" x14ac:dyDescent="0.2">
      <c r="B17" t="s">
        <v>55</v>
      </c>
      <c r="C17" s="12">
        <v>35</v>
      </c>
      <c r="D17" s="8">
        <v>7.8</v>
      </c>
      <c r="E17" s="12">
        <v>28</v>
      </c>
      <c r="F17" s="8">
        <v>11.34</v>
      </c>
      <c r="G17" s="12">
        <v>3</v>
      </c>
      <c r="H17" s="8">
        <v>1.61</v>
      </c>
      <c r="I17" s="12">
        <v>0</v>
      </c>
    </row>
    <row r="18" spans="2:9" ht="15" customHeight="1" x14ac:dyDescent="0.2">
      <c r="B18" t="s">
        <v>56</v>
      </c>
      <c r="C18" s="12">
        <v>21</v>
      </c>
      <c r="D18" s="8">
        <v>4.68</v>
      </c>
      <c r="E18" s="12">
        <v>14</v>
      </c>
      <c r="F18" s="8">
        <v>5.67</v>
      </c>
      <c r="G18" s="12">
        <v>4</v>
      </c>
      <c r="H18" s="8">
        <v>2.15</v>
      </c>
      <c r="I18" s="12">
        <v>0</v>
      </c>
    </row>
    <row r="19" spans="2:9" ht="15" customHeight="1" x14ac:dyDescent="0.2">
      <c r="B19" t="s">
        <v>57</v>
      </c>
      <c r="C19" s="12">
        <v>21</v>
      </c>
      <c r="D19" s="8">
        <v>4.68</v>
      </c>
      <c r="E19" s="12">
        <v>11</v>
      </c>
      <c r="F19" s="8">
        <v>4.45</v>
      </c>
      <c r="G19" s="12">
        <v>8</v>
      </c>
      <c r="H19" s="8">
        <v>4.3</v>
      </c>
      <c r="I19" s="12">
        <v>0</v>
      </c>
    </row>
    <row r="20" spans="2:9" ht="15" customHeight="1" x14ac:dyDescent="0.2">
      <c r="B20" s="9" t="s">
        <v>232</v>
      </c>
      <c r="C20" s="12">
        <f>SUM(LTBL_21403[総数／事業所数])</f>
        <v>449</v>
      </c>
      <c r="E20" s="12">
        <f>SUBTOTAL(109,LTBL_21403[個人／事業所数])</f>
        <v>247</v>
      </c>
      <c r="G20" s="12">
        <f>SUBTOTAL(109,LTBL_21403[法人／事業所数])</f>
        <v>186</v>
      </c>
      <c r="I20" s="12">
        <f>SUBTOTAL(109,LTBL_21403[法人以外の団体／事業所数])</f>
        <v>2</v>
      </c>
    </row>
    <row r="21" spans="2:9" ht="15" customHeight="1" x14ac:dyDescent="0.2">
      <c r="E21" s="11">
        <f>LTBL_21403[[#Totals],[個人／事業所数]]/LTBL_21403[[#Totals],[総数／事業所数]]</f>
        <v>0.55011135857461024</v>
      </c>
      <c r="G21" s="11">
        <f>LTBL_21403[[#Totals],[法人／事業所数]]/LTBL_21403[[#Totals],[総数／事業所数]]</f>
        <v>0.41425389755011138</v>
      </c>
      <c r="I21" s="11">
        <f>LTBL_21403[[#Totals],[法人以外の団体／事業所数]]/LTBL_21403[[#Totals],[総数／事業所数]]</f>
        <v>4.4543429844097994E-3</v>
      </c>
    </row>
    <row r="23" spans="2:9" ht="33" customHeight="1" x14ac:dyDescent="0.2">
      <c r="B23" t="s">
        <v>233</v>
      </c>
      <c r="C23" s="10" t="s">
        <v>59</v>
      </c>
      <c r="D23" s="10" t="s">
        <v>60</v>
      </c>
      <c r="E23" s="10" t="s">
        <v>61</v>
      </c>
      <c r="F23" s="10" t="s">
        <v>62</v>
      </c>
      <c r="G23" s="10" t="s">
        <v>63</v>
      </c>
      <c r="H23" s="10" t="s">
        <v>64</v>
      </c>
      <c r="I23" s="10" t="s">
        <v>65</v>
      </c>
    </row>
    <row r="24" spans="2:9" ht="15" customHeight="1" x14ac:dyDescent="0.2">
      <c r="B24" t="s">
        <v>67</v>
      </c>
      <c r="C24" s="12">
        <v>43</v>
      </c>
      <c r="D24" s="8">
        <v>9.58</v>
      </c>
      <c r="E24" s="12">
        <v>23</v>
      </c>
      <c r="F24" s="8">
        <v>9.31</v>
      </c>
      <c r="G24" s="12">
        <v>20</v>
      </c>
      <c r="H24" s="8">
        <v>10.75</v>
      </c>
      <c r="I24" s="12">
        <v>0</v>
      </c>
    </row>
    <row r="25" spans="2:9" ht="15" customHeight="1" x14ac:dyDescent="0.2">
      <c r="B25" t="s">
        <v>82</v>
      </c>
      <c r="C25" s="12">
        <v>42</v>
      </c>
      <c r="D25" s="8">
        <v>9.35</v>
      </c>
      <c r="E25" s="12">
        <v>36</v>
      </c>
      <c r="F25" s="8">
        <v>14.57</v>
      </c>
      <c r="G25" s="12">
        <v>6</v>
      </c>
      <c r="H25" s="8">
        <v>3.23</v>
      </c>
      <c r="I25" s="12">
        <v>0</v>
      </c>
    </row>
    <row r="26" spans="2:9" ht="15" customHeight="1" x14ac:dyDescent="0.2">
      <c r="B26" t="s">
        <v>66</v>
      </c>
      <c r="C26" s="12">
        <v>37</v>
      </c>
      <c r="D26" s="8">
        <v>8.24</v>
      </c>
      <c r="E26" s="12">
        <v>9</v>
      </c>
      <c r="F26" s="8">
        <v>3.64</v>
      </c>
      <c r="G26" s="12">
        <v>28</v>
      </c>
      <c r="H26" s="8">
        <v>15.05</v>
      </c>
      <c r="I26" s="12">
        <v>0</v>
      </c>
    </row>
    <row r="27" spans="2:9" ht="15" customHeight="1" x14ac:dyDescent="0.2">
      <c r="B27" t="s">
        <v>83</v>
      </c>
      <c r="C27" s="12">
        <v>35</v>
      </c>
      <c r="D27" s="8">
        <v>7.8</v>
      </c>
      <c r="E27" s="12">
        <v>28</v>
      </c>
      <c r="F27" s="8">
        <v>11.34</v>
      </c>
      <c r="G27" s="12">
        <v>3</v>
      </c>
      <c r="H27" s="8">
        <v>1.61</v>
      </c>
      <c r="I27" s="12">
        <v>0</v>
      </c>
    </row>
    <row r="28" spans="2:9" ht="15" customHeight="1" x14ac:dyDescent="0.2">
      <c r="B28" t="s">
        <v>76</v>
      </c>
      <c r="C28" s="12">
        <v>32</v>
      </c>
      <c r="D28" s="8">
        <v>7.13</v>
      </c>
      <c r="E28" s="12">
        <v>24</v>
      </c>
      <c r="F28" s="8">
        <v>9.7200000000000006</v>
      </c>
      <c r="G28" s="12">
        <v>8</v>
      </c>
      <c r="H28" s="8">
        <v>4.3</v>
      </c>
      <c r="I28" s="12">
        <v>0</v>
      </c>
    </row>
    <row r="29" spans="2:9" ht="15" customHeight="1" x14ac:dyDescent="0.2">
      <c r="B29" t="s">
        <v>81</v>
      </c>
      <c r="C29" s="12">
        <v>31</v>
      </c>
      <c r="D29" s="8">
        <v>6.9</v>
      </c>
      <c r="E29" s="12">
        <v>27</v>
      </c>
      <c r="F29" s="8">
        <v>10.93</v>
      </c>
      <c r="G29" s="12">
        <v>4</v>
      </c>
      <c r="H29" s="8">
        <v>2.15</v>
      </c>
      <c r="I29" s="12">
        <v>0</v>
      </c>
    </row>
    <row r="30" spans="2:9" ht="15" customHeight="1" x14ac:dyDescent="0.2">
      <c r="B30" t="s">
        <v>77</v>
      </c>
      <c r="C30" s="12">
        <v>30</v>
      </c>
      <c r="D30" s="8">
        <v>6.68</v>
      </c>
      <c r="E30" s="12">
        <v>16</v>
      </c>
      <c r="F30" s="8">
        <v>6.48</v>
      </c>
      <c r="G30" s="12">
        <v>14</v>
      </c>
      <c r="H30" s="8">
        <v>7.53</v>
      </c>
      <c r="I30" s="12">
        <v>0</v>
      </c>
    </row>
    <row r="31" spans="2:9" ht="15" customHeight="1" x14ac:dyDescent="0.2">
      <c r="B31" t="s">
        <v>68</v>
      </c>
      <c r="C31" s="12">
        <v>18</v>
      </c>
      <c r="D31" s="8">
        <v>4.01</v>
      </c>
      <c r="E31" s="12">
        <v>10</v>
      </c>
      <c r="F31" s="8">
        <v>4.05</v>
      </c>
      <c r="G31" s="12">
        <v>8</v>
      </c>
      <c r="H31" s="8">
        <v>4.3</v>
      </c>
      <c r="I31" s="12">
        <v>0</v>
      </c>
    </row>
    <row r="32" spans="2:9" ht="15" customHeight="1" x14ac:dyDescent="0.2">
      <c r="B32" t="s">
        <v>84</v>
      </c>
      <c r="C32" s="12">
        <v>16</v>
      </c>
      <c r="D32" s="8">
        <v>3.56</v>
      </c>
      <c r="E32" s="12">
        <v>14</v>
      </c>
      <c r="F32" s="8">
        <v>5.67</v>
      </c>
      <c r="G32" s="12">
        <v>2</v>
      </c>
      <c r="H32" s="8">
        <v>1.08</v>
      </c>
      <c r="I32" s="12">
        <v>0</v>
      </c>
    </row>
    <row r="33" spans="2:9" ht="15" customHeight="1" x14ac:dyDescent="0.2">
      <c r="B33" t="s">
        <v>74</v>
      </c>
      <c r="C33" s="12">
        <v>12</v>
      </c>
      <c r="D33" s="8">
        <v>2.67</v>
      </c>
      <c r="E33" s="12">
        <v>7</v>
      </c>
      <c r="F33" s="8">
        <v>2.83</v>
      </c>
      <c r="G33" s="12">
        <v>5</v>
      </c>
      <c r="H33" s="8">
        <v>2.69</v>
      </c>
      <c r="I33" s="12">
        <v>0</v>
      </c>
    </row>
    <row r="34" spans="2:9" ht="15" customHeight="1" x14ac:dyDescent="0.2">
      <c r="B34" t="s">
        <v>69</v>
      </c>
      <c r="C34" s="12">
        <v>11</v>
      </c>
      <c r="D34" s="8">
        <v>2.4500000000000002</v>
      </c>
      <c r="E34" s="12">
        <v>5</v>
      </c>
      <c r="F34" s="8">
        <v>2.02</v>
      </c>
      <c r="G34" s="12">
        <v>6</v>
      </c>
      <c r="H34" s="8">
        <v>3.23</v>
      </c>
      <c r="I34" s="12">
        <v>0</v>
      </c>
    </row>
    <row r="35" spans="2:9" ht="15" customHeight="1" x14ac:dyDescent="0.2">
      <c r="B35" t="s">
        <v>75</v>
      </c>
      <c r="C35" s="12">
        <v>9</v>
      </c>
      <c r="D35" s="8">
        <v>2</v>
      </c>
      <c r="E35" s="12">
        <v>5</v>
      </c>
      <c r="F35" s="8">
        <v>2.02</v>
      </c>
      <c r="G35" s="12">
        <v>4</v>
      </c>
      <c r="H35" s="8">
        <v>2.15</v>
      </c>
      <c r="I35" s="12">
        <v>0</v>
      </c>
    </row>
    <row r="36" spans="2:9" ht="15" customHeight="1" x14ac:dyDescent="0.2">
      <c r="B36" t="s">
        <v>93</v>
      </c>
      <c r="C36" s="12">
        <v>8</v>
      </c>
      <c r="D36" s="8">
        <v>1.78</v>
      </c>
      <c r="E36" s="12">
        <v>1</v>
      </c>
      <c r="F36" s="8">
        <v>0.4</v>
      </c>
      <c r="G36" s="12">
        <v>7</v>
      </c>
      <c r="H36" s="8">
        <v>3.76</v>
      </c>
      <c r="I36" s="12">
        <v>0</v>
      </c>
    </row>
    <row r="37" spans="2:9" ht="15" customHeight="1" x14ac:dyDescent="0.2">
      <c r="B37" t="s">
        <v>85</v>
      </c>
      <c r="C37" s="12">
        <v>8</v>
      </c>
      <c r="D37" s="8">
        <v>1.78</v>
      </c>
      <c r="E37" s="12">
        <v>7</v>
      </c>
      <c r="F37" s="8">
        <v>2.83</v>
      </c>
      <c r="G37" s="12">
        <v>1</v>
      </c>
      <c r="H37" s="8">
        <v>0.54</v>
      </c>
      <c r="I37" s="12">
        <v>0</v>
      </c>
    </row>
    <row r="38" spans="2:9" ht="15" customHeight="1" x14ac:dyDescent="0.2">
      <c r="B38" t="s">
        <v>73</v>
      </c>
      <c r="C38" s="12">
        <v>7</v>
      </c>
      <c r="D38" s="8">
        <v>1.56</v>
      </c>
      <c r="E38" s="12">
        <v>4</v>
      </c>
      <c r="F38" s="8">
        <v>1.62</v>
      </c>
      <c r="G38" s="12">
        <v>1</v>
      </c>
      <c r="H38" s="8">
        <v>0.54</v>
      </c>
      <c r="I38" s="12">
        <v>2</v>
      </c>
    </row>
    <row r="39" spans="2:9" ht="15" customHeight="1" x14ac:dyDescent="0.2">
      <c r="B39" t="s">
        <v>78</v>
      </c>
      <c r="C39" s="12">
        <v>7</v>
      </c>
      <c r="D39" s="8">
        <v>1.56</v>
      </c>
      <c r="E39" s="12">
        <v>4</v>
      </c>
      <c r="F39" s="8">
        <v>1.62</v>
      </c>
      <c r="G39" s="12">
        <v>3</v>
      </c>
      <c r="H39" s="8">
        <v>1.61</v>
      </c>
      <c r="I39" s="12">
        <v>0</v>
      </c>
    </row>
    <row r="40" spans="2:9" ht="15" customHeight="1" x14ac:dyDescent="0.2">
      <c r="B40" t="s">
        <v>79</v>
      </c>
      <c r="C40" s="12">
        <v>7</v>
      </c>
      <c r="D40" s="8">
        <v>1.56</v>
      </c>
      <c r="E40" s="12">
        <v>5</v>
      </c>
      <c r="F40" s="8">
        <v>2.02</v>
      </c>
      <c r="G40" s="12">
        <v>2</v>
      </c>
      <c r="H40" s="8">
        <v>1.08</v>
      </c>
      <c r="I40" s="12">
        <v>0</v>
      </c>
    </row>
    <row r="41" spans="2:9" ht="15" customHeight="1" x14ac:dyDescent="0.2">
      <c r="B41" t="s">
        <v>96</v>
      </c>
      <c r="C41" s="12">
        <v>6</v>
      </c>
      <c r="D41" s="8">
        <v>1.34</v>
      </c>
      <c r="E41" s="12">
        <v>2</v>
      </c>
      <c r="F41" s="8">
        <v>0.81</v>
      </c>
      <c r="G41" s="12">
        <v>4</v>
      </c>
      <c r="H41" s="8">
        <v>2.15</v>
      </c>
      <c r="I41" s="12">
        <v>0</v>
      </c>
    </row>
    <row r="42" spans="2:9" ht="15" customHeight="1" x14ac:dyDescent="0.2">
      <c r="B42" t="s">
        <v>80</v>
      </c>
      <c r="C42" s="12">
        <v>6</v>
      </c>
      <c r="D42" s="8">
        <v>1.34</v>
      </c>
      <c r="E42" s="12">
        <v>2</v>
      </c>
      <c r="F42" s="8">
        <v>0.81</v>
      </c>
      <c r="G42" s="12">
        <v>4</v>
      </c>
      <c r="H42" s="8">
        <v>2.15</v>
      </c>
      <c r="I42" s="12">
        <v>0</v>
      </c>
    </row>
    <row r="43" spans="2:9" ht="15" customHeight="1" x14ac:dyDescent="0.2">
      <c r="B43" t="s">
        <v>90</v>
      </c>
      <c r="C43" s="12">
        <v>6</v>
      </c>
      <c r="D43" s="8">
        <v>1.34</v>
      </c>
      <c r="E43" s="12">
        <v>2</v>
      </c>
      <c r="F43" s="8">
        <v>0.81</v>
      </c>
      <c r="G43" s="12">
        <v>3</v>
      </c>
      <c r="H43" s="8">
        <v>1.61</v>
      </c>
      <c r="I43" s="12">
        <v>0</v>
      </c>
    </row>
    <row r="46" spans="2:9" ht="33" customHeight="1" x14ac:dyDescent="0.2">
      <c r="B46" t="s">
        <v>234</v>
      </c>
      <c r="C46" s="10" t="s">
        <v>59</v>
      </c>
      <c r="D46" s="10" t="s">
        <v>60</v>
      </c>
      <c r="E46" s="10" t="s">
        <v>61</v>
      </c>
      <c r="F46" s="10" t="s">
        <v>62</v>
      </c>
      <c r="G46" s="10" t="s">
        <v>63</v>
      </c>
      <c r="H46" s="10" t="s">
        <v>64</v>
      </c>
      <c r="I46" s="10" t="s">
        <v>65</v>
      </c>
    </row>
    <row r="47" spans="2:9" ht="15" customHeight="1" x14ac:dyDescent="0.2">
      <c r="B47" t="s">
        <v>128</v>
      </c>
      <c r="C47" s="12">
        <v>23</v>
      </c>
      <c r="D47" s="8">
        <v>5.12</v>
      </c>
      <c r="E47" s="12">
        <v>16</v>
      </c>
      <c r="F47" s="8">
        <v>6.48</v>
      </c>
      <c r="G47" s="12">
        <v>7</v>
      </c>
      <c r="H47" s="8">
        <v>3.76</v>
      </c>
      <c r="I47" s="12">
        <v>0</v>
      </c>
    </row>
    <row r="48" spans="2:9" ht="15" customHeight="1" x14ac:dyDescent="0.2">
      <c r="B48" t="s">
        <v>138</v>
      </c>
      <c r="C48" s="12">
        <v>20</v>
      </c>
      <c r="D48" s="8">
        <v>4.45</v>
      </c>
      <c r="E48" s="12">
        <v>17</v>
      </c>
      <c r="F48" s="8">
        <v>6.88</v>
      </c>
      <c r="G48" s="12">
        <v>3</v>
      </c>
      <c r="H48" s="8">
        <v>1.61</v>
      </c>
      <c r="I48" s="12">
        <v>0</v>
      </c>
    </row>
    <row r="49" spans="2:9" ht="15" customHeight="1" x14ac:dyDescent="0.2">
      <c r="B49" t="s">
        <v>139</v>
      </c>
      <c r="C49" s="12">
        <v>20</v>
      </c>
      <c r="D49" s="8">
        <v>4.45</v>
      </c>
      <c r="E49" s="12">
        <v>19</v>
      </c>
      <c r="F49" s="8">
        <v>7.69</v>
      </c>
      <c r="G49" s="12">
        <v>1</v>
      </c>
      <c r="H49" s="8">
        <v>0.54</v>
      </c>
      <c r="I49" s="12">
        <v>0</v>
      </c>
    </row>
    <row r="50" spans="2:9" ht="15" customHeight="1" x14ac:dyDescent="0.2">
      <c r="B50" t="s">
        <v>136</v>
      </c>
      <c r="C50" s="12">
        <v>18</v>
      </c>
      <c r="D50" s="8">
        <v>4.01</v>
      </c>
      <c r="E50" s="12">
        <v>16</v>
      </c>
      <c r="F50" s="8">
        <v>6.48</v>
      </c>
      <c r="G50" s="12">
        <v>2</v>
      </c>
      <c r="H50" s="8">
        <v>1.08</v>
      </c>
      <c r="I50" s="12">
        <v>0</v>
      </c>
    </row>
    <row r="51" spans="2:9" ht="15" customHeight="1" x14ac:dyDescent="0.2">
      <c r="B51" t="s">
        <v>123</v>
      </c>
      <c r="C51" s="12">
        <v>14</v>
      </c>
      <c r="D51" s="8">
        <v>3.12</v>
      </c>
      <c r="E51" s="12">
        <v>4</v>
      </c>
      <c r="F51" s="8">
        <v>1.62</v>
      </c>
      <c r="G51" s="12">
        <v>10</v>
      </c>
      <c r="H51" s="8">
        <v>5.38</v>
      </c>
      <c r="I51" s="12">
        <v>0</v>
      </c>
    </row>
    <row r="52" spans="2:9" ht="15" customHeight="1" x14ac:dyDescent="0.2">
      <c r="B52" t="s">
        <v>137</v>
      </c>
      <c r="C52" s="12">
        <v>14</v>
      </c>
      <c r="D52" s="8">
        <v>3.12</v>
      </c>
      <c r="E52" s="12">
        <v>14</v>
      </c>
      <c r="F52" s="8">
        <v>5.67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140</v>
      </c>
      <c r="C53" s="12">
        <v>13</v>
      </c>
      <c r="D53" s="8">
        <v>2.9</v>
      </c>
      <c r="E53" s="12">
        <v>12</v>
      </c>
      <c r="F53" s="8">
        <v>4.8600000000000003</v>
      </c>
      <c r="G53" s="12">
        <v>1</v>
      </c>
      <c r="H53" s="8">
        <v>0.54</v>
      </c>
      <c r="I53" s="12">
        <v>0</v>
      </c>
    </row>
    <row r="54" spans="2:9" ht="15" customHeight="1" x14ac:dyDescent="0.2">
      <c r="B54" t="s">
        <v>122</v>
      </c>
      <c r="C54" s="12">
        <v>11</v>
      </c>
      <c r="D54" s="8">
        <v>2.4500000000000002</v>
      </c>
      <c r="E54" s="12">
        <v>2</v>
      </c>
      <c r="F54" s="8">
        <v>0.81</v>
      </c>
      <c r="G54" s="12">
        <v>9</v>
      </c>
      <c r="H54" s="8">
        <v>4.84</v>
      </c>
      <c r="I54" s="12">
        <v>0</v>
      </c>
    </row>
    <row r="55" spans="2:9" ht="15" customHeight="1" x14ac:dyDescent="0.2">
      <c r="B55" t="s">
        <v>183</v>
      </c>
      <c r="C55" s="12">
        <v>11</v>
      </c>
      <c r="D55" s="8">
        <v>2.4500000000000002</v>
      </c>
      <c r="E55" s="12">
        <v>8</v>
      </c>
      <c r="F55" s="8">
        <v>3.24</v>
      </c>
      <c r="G55" s="12">
        <v>3</v>
      </c>
      <c r="H55" s="8">
        <v>1.61</v>
      </c>
      <c r="I55" s="12">
        <v>0</v>
      </c>
    </row>
    <row r="56" spans="2:9" ht="15" customHeight="1" x14ac:dyDescent="0.2">
      <c r="B56" t="s">
        <v>145</v>
      </c>
      <c r="C56" s="12">
        <v>11</v>
      </c>
      <c r="D56" s="8">
        <v>2.4500000000000002</v>
      </c>
      <c r="E56" s="12">
        <v>9</v>
      </c>
      <c r="F56" s="8">
        <v>3.64</v>
      </c>
      <c r="G56" s="12">
        <v>2</v>
      </c>
      <c r="H56" s="8">
        <v>1.08</v>
      </c>
      <c r="I56" s="12">
        <v>0</v>
      </c>
    </row>
    <row r="57" spans="2:9" ht="15" customHeight="1" x14ac:dyDescent="0.2">
      <c r="B57" t="s">
        <v>124</v>
      </c>
      <c r="C57" s="12">
        <v>9</v>
      </c>
      <c r="D57" s="8">
        <v>2</v>
      </c>
      <c r="E57" s="12">
        <v>3</v>
      </c>
      <c r="F57" s="8">
        <v>1.21</v>
      </c>
      <c r="G57" s="12">
        <v>6</v>
      </c>
      <c r="H57" s="8">
        <v>3.23</v>
      </c>
      <c r="I57" s="12">
        <v>0</v>
      </c>
    </row>
    <row r="58" spans="2:9" ht="15" customHeight="1" x14ac:dyDescent="0.2">
      <c r="B58" t="s">
        <v>125</v>
      </c>
      <c r="C58" s="12">
        <v>9</v>
      </c>
      <c r="D58" s="8">
        <v>2</v>
      </c>
      <c r="E58" s="12">
        <v>6</v>
      </c>
      <c r="F58" s="8">
        <v>2.4300000000000002</v>
      </c>
      <c r="G58" s="12">
        <v>3</v>
      </c>
      <c r="H58" s="8">
        <v>1.61</v>
      </c>
      <c r="I58" s="12">
        <v>0</v>
      </c>
    </row>
    <row r="59" spans="2:9" ht="15" customHeight="1" x14ac:dyDescent="0.2">
      <c r="B59" t="s">
        <v>165</v>
      </c>
      <c r="C59" s="12">
        <v>8</v>
      </c>
      <c r="D59" s="8">
        <v>1.78</v>
      </c>
      <c r="E59" s="12">
        <v>4</v>
      </c>
      <c r="F59" s="8">
        <v>1.62</v>
      </c>
      <c r="G59" s="12">
        <v>4</v>
      </c>
      <c r="H59" s="8">
        <v>2.15</v>
      </c>
      <c r="I59" s="12">
        <v>0</v>
      </c>
    </row>
    <row r="60" spans="2:9" ht="15" customHeight="1" x14ac:dyDescent="0.2">
      <c r="B60" t="s">
        <v>130</v>
      </c>
      <c r="C60" s="12">
        <v>8</v>
      </c>
      <c r="D60" s="8">
        <v>1.78</v>
      </c>
      <c r="E60" s="12">
        <v>5</v>
      </c>
      <c r="F60" s="8">
        <v>2.02</v>
      </c>
      <c r="G60" s="12">
        <v>3</v>
      </c>
      <c r="H60" s="8">
        <v>1.61</v>
      </c>
      <c r="I60" s="12">
        <v>0</v>
      </c>
    </row>
    <row r="61" spans="2:9" ht="15" customHeight="1" x14ac:dyDescent="0.2">
      <c r="B61" t="s">
        <v>141</v>
      </c>
      <c r="C61" s="12">
        <v>8</v>
      </c>
      <c r="D61" s="8">
        <v>1.78</v>
      </c>
      <c r="E61" s="12">
        <v>7</v>
      </c>
      <c r="F61" s="8">
        <v>2.83</v>
      </c>
      <c r="G61" s="12">
        <v>1</v>
      </c>
      <c r="H61" s="8">
        <v>0.54</v>
      </c>
      <c r="I61" s="12">
        <v>0</v>
      </c>
    </row>
    <row r="62" spans="2:9" ht="15" customHeight="1" x14ac:dyDescent="0.2">
      <c r="B62" t="s">
        <v>142</v>
      </c>
      <c r="C62" s="12">
        <v>7</v>
      </c>
      <c r="D62" s="8">
        <v>1.56</v>
      </c>
      <c r="E62" s="12">
        <v>4</v>
      </c>
      <c r="F62" s="8">
        <v>1.62</v>
      </c>
      <c r="G62" s="12">
        <v>3</v>
      </c>
      <c r="H62" s="8">
        <v>1.61</v>
      </c>
      <c r="I62" s="12">
        <v>0</v>
      </c>
    </row>
    <row r="63" spans="2:9" ht="15" customHeight="1" x14ac:dyDescent="0.2">
      <c r="B63" t="s">
        <v>163</v>
      </c>
      <c r="C63" s="12">
        <v>7</v>
      </c>
      <c r="D63" s="8">
        <v>1.56</v>
      </c>
      <c r="E63" s="12">
        <v>6</v>
      </c>
      <c r="F63" s="8">
        <v>2.4300000000000002</v>
      </c>
      <c r="G63" s="12">
        <v>1</v>
      </c>
      <c r="H63" s="8">
        <v>0.54</v>
      </c>
      <c r="I63" s="12">
        <v>0</v>
      </c>
    </row>
    <row r="64" spans="2:9" ht="15" customHeight="1" x14ac:dyDescent="0.2">
      <c r="B64" t="s">
        <v>158</v>
      </c>
      <c r="C64" s="12">
        <v>6</v>
      </c>
      <c r="D64" s="8">
        <v>1.34</v>
      </c>
      <c r="E64" s="12">
        <v>4</v>
      </c>
      <c r="F64" s="8">
        <v>1.62</v>
      </c>
      <c r="G64" s="12">
        <v>2</v>
      </c>
      <c r="H64" s="8">
        <v>1.08</v>
      </c>
      <c r="I64" s="12">
        <v>0</v>
      </c>
    </row>
    <row r="65" spans="2:9" ht="15" customHeight="1" x14ac:dyDescent="0.2">
      <c r="B65" t="s">
        <v>157</v>
      </c>
      <c r="C65" s="12">
        <v>6</v>
      </c>
      <c r="D65" s="8">
        <v>1.34</v>
      </c>
      <c r="E65" s="12">
        <v>3</v>
      </c>
      <c r="F65" s="8">
        <v>1.21</v>
      </c>
      <c r="G65" s="12">
        <v>3</v>
      </c>
      <c r="H65" s="8">
        <v>1.61</v>
      </c>
      <c r="I65" s="12">
        <v>0</v>
      </c>
    </row>
    <row r="66" spans="2:9" ht="15" customHeight="1" x14ac:dyDescent="0.2">
      <c r="B66" t="s">
        <v>147</v>
      </c>
      <c r="C66" s="12">
        <v>5</v>
      </c>
      <c r="D66" s="8">
        <v>1.1100000000000001</v>
      </c>
      <c r="E66" s="12">
        <v>3</v>
      </c>
      <c r="F66" s="8">
        <v>1.21</v>
      </c>
      <c r="G66" s="12">
        <v>2</v>
      </c>
      <c r="H66" s="8">
        <v>1.08</v>
      </c>
      <c r="I66" s="12">
        <v>0</v>
      </c>
    </row>
    <row r="67" spans="2:9" ht="15" customHeight="1" x14ac:dyDescent="0.2">
      <c r="B67" t="s">
        <v>189</v>
      </c>
      <c r="C67" s="12">
        <v>5</v>
      </c>
      <c r="D67" s="8">
        <v>1.1100000000000001</v>
      </c>
      <c r="E67" s="12">
        <v>2</v>
      </c>
      <c r="F67" s="8">
        <v>0.81</v>
      </c>
      <c r="G67" s="12">
        <v>3</v>
      </c>
      <c r="H67" s="8">
        <v>1.61</v>
      </c>
      <c r="I67" s="12">
        <v>0</v>
      </c>
    </row>
    <row r="68" spans="2:9" ht="15" customHeight="1" x14ac:dyDescent="0.2">
      <c r="B68" t="s">
        <v>164</v>
      </c>
      <c r="C68" s="12">
        <v>5</v>
      </c>
      <c r="D68" s="8">
        <v>1.1100000000000001</v>
      </c>
      <c r="E68" s="12">
        <v>2</v>
      </c>
      <c r="F68" s="8">
        <v>0.81</v>
      </c>
      <c r="G68" s="12">
        <v>3</v>
      </c>
      <c r="H68" s="8">
        <v>1.61</v>
      </c>
      <c r="I68" s="12">
        <v>0</v>
      </c>
    </row>
    <row r="69" spans="2:9" ht="15" customHeight="1" x14ac:dyDescent="0.2">
      <c r="B69" t="s">
        <v>135</v>
      </c>
      <c r="C69" s="12">
        <v>5</v>
      </c>
      <c r="D69" s="8">
        <v>1.1100000000000001</v>
      </c>
      <c r="E69" s="12">
        <v>5</v>
      </c>
      <c r="F69" s="8">
        <v>2.02</v>
      </c>
      <c r="G69" s="12">
        <v>0</v>
      </c>
      <c r="H69" s="8">
        <v>0</v>
      </c>
      <c r="I69" s="12">
        <v>0</v>
      </c>
    </row>
    <row r="70" spans="2:9" ht="15" customHeight="1" x14ac:dyDescent="0.2">
      <c r="B70" t="s">
        <v>144</v>
      </c>
      <c r="C70" s="12">
        <v>5</v>
      </c>
      <c r="D70" s="8">
        <v>1.1100000000000001</v>
      </c>
      <c r="E70" s="12">
        <v>3</v>
      </c>
      <c r="F70" s="8">
        <v>1.21</v>
      </c>
      <c r="G70" s="12">
        <v>2</v>
      </c>
      <c r="H70" s="8">
        <v>1.08</v>
      </c>
      <c r="I70" s="12">
        <v>0</v>
      </c>
    </row>
    <row r="72" spans="2:9" ht="15" customHeight="1" x14ac:dyDescent="0.2">
      <c r="B72" t="s">
        <v>235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42971-7593-4172-8B9A-52286607B741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267</v>
      </c>
    </row>
    <row r="4" spans="2:9" ht="33" customHeight="1" x14ac:dyDescent="0.2">
      <c r="B4" t="s">
        <v>231</v>
      </c>
      <c r="C4" s="10" t="s">
        <v>59</v>
      </c>
      <c r="D4" s="10" t="s">
        <v>60</v>
      </c>
      <c r="E4" s="10" t="s">
        <v>61</v>
      </c>
      <c r="F4" s="10" t="s">
        <v>62</v>
      </c>
      <c r="G4" s="10" t="s">
        <v>63</v>
      </c>
      <c r="H4" s="10" t="s">
        <v>64</v>
      </c>
      <c r="I4" s="10" t="s">
        <v>65</v>
      </c>
    </row>
    <row r="5" spans="2:9" ht="15" customHeight="1" x14ac:dyDescent="0.2">
      <c r="B5" t="s">
        <v>43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44</v>
      </c>
      <c r="C6" s="12">
        <v>113</v>
      </c>
      <c r="D6" s="8">
        <v>19.82</v>
      </c>
      <c r="E6" s="12">
        <v>51</v>
      </c>
      <c r="F6" s="8">
        <v>15.6</v>
      </c>
      <c r="G6" s="12">
        <v>62</v>
      </c>
      <c r="H6" s="8">
        <v>27.68</v>
      </c>
      <c r="I6" s="12">
        <v>0</v>
      </c>
    </row>
    <row r="7" spans="2:9" ht="15" customHeight="1" x14ac:dyDescent="0.2">
      <c r="B7" t="s">
        <v>45</v>
      </c>
      <c r="C7" s="12">
        <v>80</v>
      </c>
      <c r="D7" s="8">
        <v>14.04</v>
      </c>
      <c r="E7" s="12">
        <v>32</v>
      </c>
      <c r="F7" s="8">
        <v>9.7899999999999991</v>
      </c>
      <c r="G7" s="12">
        <v>48</v>
      </c>
      <c r="H7" s="8">
        <v>21.43</v>
      </c>
      <c r="I7" s="12">
        <v>0</v>
      </c>
    </row>
    <row r="8" spans="2:9" ht="15" customHeight="1" x14ac:dyDescent="0.2">
      <c r="B8" t="s">
        <v>46</v>
      </c>
      <c r="C8" s="12">
        <v>3</v>
      </c>
      <c r="D8" s="8">
        <v>0.53</v>
      </c>
      <c r="E8" s="12">
        <v>0</v>
      </c>
      <c r="F8" s="8">
        <v>0</v>
      </c>
      <c r="G8" s="12">
        <v>3</v>
      </c>
      <c r="H8" s="8">
        <v>1.34</v>
      </c>
      <c r="I8" s="12">
        <v>0</v>
      </c>
    </row>
    <row r="9" spans="2:9" ht="15" customHeight="1" x14ac:dyDescent="0.2">
      <c r="B9" t="s">
        <v>47</v>
      </c>
      <c r="C9" s="12">
        <v>2</v>
      </c>
      <c r="D9" s="8">
        <v>0.35</v>
      </c>
      <c r="E9" s="12">
        <v>0</v>
      </c>
      <c r="F9" s="8">
        <v>0</v>
      </c>
      <c r="G9" s="12">
        <v>2</v>
      </c>
      <c r="H9" s="8">
        <v>0.89</v>
      </c>
      <c r="I9" s="12">
        <v>0</v>
      </c>
    </row>
    <row r="10" spans="2:9" ht="15" customHeight="1" x14ac:dyDescent="0.2">
      <c r="B10" t="s">
        <v>48</v>
      </c>
      <c r="C10" s="12">
        <v>6</v>
      </c>
      <c r="D10" s="8">
        <v>1.05</v>
      </c>
      <c r="E10" s="12">
        <v>2</v>
      </c>
      <c r="F10" s="8">
        <v>0.61</v>
      </c>
      <c r="G10" s="12">
        <v>4</v>
      </c>
      <c r="H10" s="8">
        <v>1.79</v>
      </c>
      <c r="I10" s="12">
        <v>0</v>
      </c>
    </row>
    <row r="11" spans="2:9" ht="15" customHeight="1" x14ac:dyDescent="0.2">
      <c r="B11" t="s">
        <v>49</v>
      </c>
      <c r="C11" s="12">
        <v>114</v>
      </c>
      <c r="D11" s="8">
        <v>20</v>
      </c>
      <c r="E11" s="12">
        <v>73</v>
      </c>
      <c r="F11" s="8">
        <v>22.32</v>
      </c>
      <c r="G11" s="12">
        <v>40</v>
      </c>
      <c r="H11" s="8">
        <v>17.86</v>
      </c>
      <c r="I11" s="12">
        <v>1</v>
      </c>
    </row>
    <row r="12" spans="2:9" ht="15" customHeight="1" x14ac:dyDescent="0.2">
      <c r="B12" t="s">
        <v>50</v>
      </c>
      <c r="C12" s="12">
        <v>5</v>
      </c>
      <c r="D12" s="8">
        <v>0.88</v>
      </c>
      <c r="E12" s="12">
        <v>0</v>
      </c>
      <c r="F12" s="8">
        <v>0</v>
      </c>
      <c r="G12" s="12">
        <v>5</v>
      </c>
      <c r="H12" s="8">
        <v>2.23</v>
      </c>
      <c r="I12" s="12">
        <v>0</v>
      </c>
    </row>
    <row r="13" spans="2:9" ht="15" customHeight="1" x14ac:dyDescent="0.2">
      <c r="B13" t="s">
        <v>51</v>
      </c>
      <c r="C13" s="12">
        <v>23</v>
      </c>
      <c r="D13" s="8">
        <v>4.04</v>
      </c>
      <c r="E13" s="12">
        <v>10</v>
      </c>
      <c r="F13" s="8">
        <v>3.06</v>
      </c>
      <c r="G13" s="12">
        <v>13</v>
      </c>
      <c r="H13" s="8">
        <v>5.8</v>
      </c>
      <c r="I13" s="12">
        <v>0</v>
      </c>
    </row>
    <row r="14" spans="2:9" ht="15" customHeight="1" x14ac:dyDescent="0.2">
      <c r="B14" t="s">
        <v>52</v>
      </c>
      <c r="C14" s="12">
        <v>27</v>
      </c>
      <c r="D14" s="8">
        <v>4.74</v>
      </c>
      <c r="E14" s="12">
        <v>20</v>
      </c>
      <c r="F14" s="8">
        <v>6.12</v>
      </c>
      <c r="G14" s="12">
        <v>7</v>
      </c>
      <c r="H14" s="8">
        <v>3.13</v>
      </c>
      <c r="I14" s="12">
        <v>0</v>
      </c>
    </row>
    <row r="15" spans="2:9" ht="15" customHeight="1" x14ac:dyDescent="0.2">
      <c r="B15" t="s">
        <v>53</v>
      </c>
      <c r="C15" s="12">
        <v>44</v>
      </c>
      <c r="D15" s="8">
        <v>7.72</v>
      </c>
      <c r="E15" s="12">
        <v>35</v>
      </c>
      <c r="F15" s="8">
        <v>10.7</v>
      </c>
      <c r="G15" s="12">
        <v>7</v>
      </c>
      <c r="H15" s="8">
        <v>3.13</v>
      </c>
      <c r="I15" s="12">
        <v>0</v>
      </c>
    </row>
    <row r="16" spans="2:9" ht="15" customHeight="1" x14ac:dyDescent="0.2">
      <c r="B16" t="s">
        <v>54</v>
      </c>
      <c r="C16" s="12">
        <v>64</v>
      </c>
      <c r="D16" s="8">
        <v>11.23</v>
      </c>
      <c r="E16" s="12">
        <v>53</v>
      </c>
      <c r="F16" s="8">
        <v>16.21</v>
      </c>
      <c r="G16" s="12">
        <v>11</v>
      </c>
      <c r="H16" s="8">
        <v>4.91</v>
      </c>
      <c r="I16" s="12">
        <v>0</v>
      </c>
    </row>
    <row r="17" spans="2:9" ht="15" customHeight="1" x14ac:dyDescent="0.2">
      <c r="B17" t="s">
        <v>55</v>
      </c>
      <c r="C17" s="12">
        <v>43</v>
      </c>
      <c r="D17" s="8">
        <v>7.54</v>
      </c>
      <c r="E17" s="12">
        <v>26</v>
      </c>
      <c r="F17" s="8">
        <v>7.95</v>
      </c>
      <c r="G17" s="12">
        <v>11</v>
      </c>
      <c r="H17" s="8">
        <v>4.91</v>
      </c>
      <c r="I17" s="12">
        <v>0</v>
      </c>
    </row>
    <row r="18" spans="2:9" ht="15" customHeight="1" x14ac:dyDescent="0.2">
      <c r="B18" t="s">
        <v>56</v>
      </c>
      <c r="C18" s="12">
        <v>27</v>
      </c>
      <c r="D18" s="8">
        <v>4.74</v>
      </c>
      <c r="E18" s="12">
        <v>14</v>
      </c>
      <c r="F18" s="8">
        <v>4.28</v>
      </c>
      <c r="G18" s="12">
        <v>5</v>
      </c>
      <c r="H18" s="8">
        <v>2.23</v>
      </c>
      <c r="I18" s="12">
        <v>0</v>
      </c>
    </row>
    <row r="19" spans="2:9" ht="15" customHeight="1" x14ac:dyDescent="0.2">
      <c r="B19" t="s">
        <v>57</v>
      </c>
      <c r="C19" s="12">
        <v>19</v>
      </c>
      <c r="D19" s="8">
        <v>3.33</v>
      </c>
      <c r="E19" s="12">
        <v>11</v>
      </c>
      <c r="F19" s="8">
        <v>3.36</v>
      </c>
      <c r="G19" s="12">
        <v>6</v>
      </c>
      <c r="H19" s="8">
        <v>2.68</v>
      </c>
      <c r="I19" s="12">
        <v>1</v>
      </c>
    </row>
    <row r="20" spans="2:9" ht="15" customHeight="1" x14ac:dyDescent="0.2">
      <c r="B20" s="9" t="s">
        <v>232</v>
      </c>
      <c r="C20" s="12">
        <f>SUM(LTBL_21404[総数／事業所数])</f>
        <v>570</v>
      </c>
      <c r="E20" s="12">
        <f>SUBTOTAL(109,LTBL_21404[個人／事業所数])</f>
        <v>327</v>
      </c>
      <c r="G20" s="12">
        <f>SUBTOTAL(109,LTBL_21404[法人／事業所数])</f>
        <v>224</v>
      </c>
      <c r="I20" s="12">
        <f>SUBTOTAL(109,LTBL_21404[法人以外の団体／事業所数])</f>
        <v>2</v>
      </c>
    </row>
    <row r="21" spans="2:9" ht="15" customHeight="1" x14ac:dyDescent="0.2">
      <c r="E21" s="11">
        <f>LTBL_21404[[#Totals],[個人／事業所数]]/LTBL_21404[[#Totals],[総数／事業所数]]</f>
        <v>0.5736842105263158</v>
      </c>
      <c r="G21" s="11">
        <f>LTBL_21404[[#Totals],[法人／事業所数]]/LTBL_21404[[#Totals],[総数／事業所数]]</f>
        <v>0.39298245614035088</v>
      </c>
      <c r="I21" s="11">
        <f>LTBL_21404[[#Totals],[法人以外の団体／事業所数]]/LTBL_21404[[#Totals],[総数／事業所数]]</f>
        <v>3.5087719298245615E-3</v>
      </c>
    </row>
    <row r="23" spans="2:9" ht="33" customHeight="1" x14ac:dyDescent="0.2">
      <c r="B23" t="s">
        <v>233</v>
      </c>
      <c r="C23" s="10" t="s">
        <v>59</v>
      </c>
      <c r="D23" s="10" t="s">
        <v>60</v>
      </c>
      <c r="E23" s="10" t="s">
        <v>61</v>
      </c>
      <c r="F23" s="10" t="s">
        <v>62</v>
      </c>
      <c r="G23" s="10" t="s">
        <v>63</v>
      </c>
      <c r="H23" s="10" t="s">
        <v>64</v>
      </c>
      <c r="I23" s="10" t="s">
        <v>65</v>
      </c>
    </row>
    <row r="24" spans="2:9" ht="15" customHeight="1" x14ac:dyDescent="0.2">
      <c r="B24" t="s">
        <v>82</v>
      </c>
      <c r="C24" s="12">
        <v>53</v>
      </c>
      <c r="D24" s="8">
        <v>9.3000000000000007</v>
      </c>
      <c r="E24" s="12">
        <v>49</v>
      </c>
      <c r="F24" s="8">
        <v>14.98</v>
      </c>
      <c r="G24" s="12">
        <v>4</v>
      </c>
      <c r="H24" s="8">
        <v>1.79</v>
      </c>
      <c r="I24" s="12">
        <v>0</v>
      </c>
    </row>
    <row r="25" spans="2:9" ht="15" customHeight="1" x14ac:dyDescent="0.2">
      <c r="B25" t="s">
        <v>66</v>
      </c>
      <c r="C25" s="12">
        <v>50</v>
      </c>
      <c r="D25" s="8">
        <v>8.77</v>
      </c>
      <c r="E25" s="12">
        <v>17</v>
      </c>
      <c r="F25" s="8">
        <v>5.2</v>
      </c>
      <c r="G25" s="12">
        <v>33</v>
      </c>
      <c r="H25" s="8">
        <v>14.73</v>
      </c>
      <c r="I25" s="12">
        <v>0</v>
      </c>
    </row>
    <row r="26" spans="2:9" ht="15" customHeight="1" x14ac:dyDescent="0.2">
      <c r="B26" t="s">
        <v>67</v>
      </c>
      <c r="C26" s="12">
        <v>44</v>
      </c>
      <c r="D26" s="8">
        <v>7.72</v>
      </c>
      <c r="E26" s="12">
        <v>27</v>
      </c>
      <c r="F26" s="8">
        <v>8.26</v>
      </c>
      <c r="G26" s="12">
        <v>17</v>
      </c>
      <c r="H26" s="8">
        <v>7.59</v>
      </c>
      <c r="I26" s="12">
        <v>0</v>
      </c>
    </row>
    <row r="27" spans="2:9" ht="15" customHeight="1" x14ac:dyDescent="0.2">
      <c r="B27" t="s">
        <v>83</v>
      </c>
      <c r="C27" s="12">
        <v>43</v>
      </c>
      <c r="D27" s="8">
        <v>7.54</v>
      </c>
      <c r="E27" s="12">
        <v>26</v>
      </c>
      <c r="F27" s="8">
        <v>7.95</v>
      </c>
      <c r="G27" s="12">
        <v>11</v>
      </c>
      <c r="H27" s="8">
        <v>4.91</v>
      </c>
      <c r="I27" s="12">
        <v>0</v>
      </c>
    </row>
    <row r="28" spans="2:9" ht="15" customHeight="1" x14ac:dyDescent="0.2">
      <c r="B28" t="s">
        <v>81</v>
      </c>
      <c r="C28" s="12">
        <v>40</v>
      </c>
      <c r="D28" s="8">
        <v>7.02</v>
      </c>
      <c r="E28" s="12">
        <v>34</v>
      </c>
      <c r="F28" s="8">
        <v>10.4</v>
      </c>
      <c r="G28" s="12">
        <v>6</v>
      </c>
      <c r="H28" s="8">
        <v>2.68</v>
      </c>
      <c r="I28" s="12">
        <v>0</v>
      </c>
    </row>
    <row r="29" spans="2:9" ht="15" customHeight="1" x14ac:dyDescent="0.2">
      <c r="B29" t="s">
        <v>77</v>
      </c>
      <c r="C29" s="12">
        <v>37</v>
      </c>
      <c r="D29" s="8">
        <v>6.49</v>
      </c>
      <c r="E29" s="12">
        <v>28</v>
      </c>
      <c r="F29" s="8">
        <v>8.56</v>
      </c>
      <c r="G29" s="12">
        <v>9</v>
      </c>
      <c r="H29" s="8">
        <v>4.0199999999999996</v>
      </c>
      <c r="I29" s="12">
        <v>0</v>
      </c>
    </row>
    <row r="30" spans="2:9" ht="15" customHeight="1" x14ac:dyDescent="0.2">
      <c r="B30" t="s">
        <v>76</v>
      </c>
      <c r="C30" s="12">
        <v>29</v>
      </c>
      <c r="D30" s="8">
        <v>5.09</v>
      </c>
      <c r="E30" s="12">
        <v>20</v>
      </c>
      <c r="F30" s="8">
        <v>6.12</v>
      </c>
      <c r="G30" s="12">
        <v>9</v>
      </c>
      <c r="H30" s="8">
        <v>4.0199999999999996</v>
      </c>
      <c r="I30" s="12">
        <v>0</v>
      </c>
    </row>
    <row r="31" spans="2:9" ht="15" customHeight="1" x14ac:dyDescent="0.2">
      <c r="B31" t="s">
        <v>68</v>
      </c>
      <c r="C31" s="12">
        <v>19</v>
      </c>
      <c r="D31" s="8">
        <v>3.33</v>
      </c>
      <c r="E31" s="12">
        <v>7</v>
      </c>
      <c r="F31" s="8">
        <v>2.14</v>
      </c>
      <c r="G31" s="12">
        <v>12</v>
      </c>
      <c r="H31" s="8">
        <v>5.36</v>
      </c>
      <c r="I31" s="12">
        <v>0</v>
      </c>
    </row>
    <row r="32" spans="2:9" ht="15" customHeight="1" x14ac:dyDescent="0.2">
      <c r="B32" t="s">
        <v>71</v>
      </c>
      <c r="C32" s="12">
        <v>17</v>
      </c>
      <c r="D32" s="8">
        <v>2.98</v>
      </c>
      <c r="E32" s="12">
        <v>4</v>
      </c>
      <c r="F32" s="8">
        <v>1.22</v>
      </c>
      <c r="G32" s="12">
        <v>13</v>
      </c>
      <c r="H32" s="8">
        <v>5.8</v>
      </c>
      <c r="I32" s="12">
        <v>0</v>
      </c>
    </row>
    <row r="33" spans="2:9" ht="15" customHeight="1" x14ac:dyDescent="0.2">
      <c r="B33" t="s">
        <v>75</v>
      </c>
      <c r="C33" s="12">
        <v>16</v>
      </c>
      <c r="D33" s="8">
        <v>2.81</v>
      </c>
      <c r="E33" s="12">
        <v>13</v>
      </c>
      <c r="F33" s="8">
        <v>3.98</v>
      </c>
      <c r="G33" s="12">
        <v>3</v>
      </c>
      <c r="H33" s="8">
        <v>1.34</v>
      </c>
      <c r="I33" s="12">
        <v>0</v>
      </c>
    </row>
    <row r="34" spans="2:9" ht="15" customHeight="1" x14ac:dyDescent="0.2">
      <c r="B34" t="s">
        <v>78</v>
      </c>
      <c r="C34" s="12">
        <v>15</v>
      </c>
      <c r="D34" s="8">
        <v>2.63</v>
      </c>
      <c r="E34" s="12">
        <v>9</v>
      </c>
      <c r="F34" s="8">
        <v>2.75</v>
      </c>
      <c r="G34" s="12">
        <v>6</v>
      </c>
      <c r="H34" s="8">
        <v>2.68</v>
      </c>
      <c r="I34" s="12">
        <v>0</v>
      </c>
    </row>
    <row r="35" spans="2:9" ht="15" customHeight="1" x14ac:dyDescent="0.2">
      <c r="B35" t="s">
        <v>80</v>
      </c>
      <c r="C35" s="12">
        <v>15</v>
      </c>
      <c r="D35" s="8">
        <v>2.63</v>
      </c>
      <c r="E35" s="12">
        <v>11</v>
      </c>
      <c r="F35" s="8">
        <v>3.36</v>
      </c>
      <c r="G35" s="12">
        <v>4</v>
      </c>
      <c r="H35" s="8">
        <v>1.79</v>
      </c>
      <c r="I35" s="12">
        <v>0</v>
      </c>
    </row>
    <row r="36" spans="2:9" ht="15" customHeight="1" x14ac:dyDescent="0.2">
      <c r="B36" t="s">
        <v>84</v>
      </c>
      <c r="C36" s="12">
        <v>15</v>
      </c>
      <c r="D36" s="8">
        <v>2.63</v>
      </c>
      <c r="E36" s="12">
        <v>14</v>
      </c>
      <c r="F36" s="8">
        <v>4.28</v>
      </c>
      <c r="G36" s="12">
        <v>1</v>
      </c>
      <c r="H36" s="8">
        <v>0.45</v>
      </c>
      <c r="I36" s="12">
        <v>0</v>
      </c>
    </row>
    <row r="37" spans="2:9" ht="15" customHeight="1" x14ac:dyDescent="0.2">
      <c r="B37" t="s">
        <v>79</v>
      </c>
      <c r="C37" s="12">
        <v>12</v>
      </c>
      <c r="D37" s="8">
        <v>2.11</v>
      </c>
      <c r="E37" s="12">
        <v>9</v>
      </c>
      <c r="F37" s="8">
        <v>2.75</v>
      </c>
      <c r="G37" s="12">
        <v>3</v>
      </c>
      <c r="H37" s="8">
        <v>1.34</v>
      </c>
      <c r="I37" s="12">
        <v>0</v>
      </c>
    </row>
    <row r="38" spans="2:9" ht="15" customHeight="1" x14ac:dyDescent="0.2">
      <c r="B38" t="s">
        <v>97</v>
      </c>
      <c r="C38" s="12">
        <v>12</v>
      </c>
      <c r="D38" s="8">
        <v>2.11</v>
      </c>
      <c r="E38" s="12">
        <v>0</v>
      </c>
      <c r="F38" s="8">
        <v>0</v>
      </c>
      <c r="G38" s="12">
        <v>4</v>
      </c>
      <c r="H38" s="8">
        <v>1.79</v>
      </c>
      <c r="I38" s="12">
        <v>0</v>
      </c>
    </row>
    <row r="39" spans="2:9" ht="15" customHeight="1" x14ac:dyDescent="0.2">
      <c r="B39" t="s">
        <v>90</v>
      </c>
      <c r="C39" s="12">
        <v>10</v>
      </c>
      <c r="D39" s="8">
        <v>1.75</v>
      </c>
      <c r="E39" s="12">
        <v>4</v>
      </c>
      <c r="F39" s="8">
        <v>1.22</v>
      </c>
      <c r="G39" s="12">
        <v>6</v>
      </c>
      <c r="H39" s="8">
        <v>2.68</v>
      </c>
      <c r="I39" s="12">
        <v>0</v>
      </c>
    </row>
    <row r="40" spans="2:9" ht="15" customHeight="1" x14ac:dyDescent="0.2">
      <c r="B40" t="s">
        <v>69</v>
      </c>
      <c r="C40" s="12">
        <v>9</v>
      </c>
      <c r="D40" s="8">
        <v>1.58</v>
      </c>
      <c r="E40" s="12">
        <v>6</v>
      </c>
      <c r="F40" s="8">
        <v>1.83</v>
      </c>
      <c r="G40" s="12">
        <v>3</v>
      </c>
      <c r="H40" s="8">
        <v>1.34</v>
      </c>
      <c r="I40" s="12">
        <v>0</v>
      </c>
    </row>
    <row r="41" spans="2:9" ht="15" customHeight="1" x14ac:dyDescent="0.2">
      <c r="B41" t="s">
        <v>72</v>
      </c>
      <c r="C41" s="12">
        <v>9</v>
      </c>
      <c r="D41" s="8">
        <v>1.58</v>
      </c>
      <c r="E41" s="12">
        <v>3</v>
      </c>
      <c r="F41" s="8">
        <v>0.92</v>
      </c>
      <c r="G41" s="12">
        <v>6</v>
      </c>
      <c r="H41" s="8">
        <v>2.68</v>
      </c>
      <c r="I41" s="12">
        <v>0</v>
      </c>
    </row>
    <row r="42" spans="2:9" ht="15" customHeight="1" x14ac:dyDescent="0.2">
      <c r="B42" t="s">
        <v>74</v>
      </c>
      <c r="C42" s="12">
        <v>9</v>
      </c>
      <c r="D42" s="8">
        <v>1.58</v>
      </c>
      <c r="E42" s="12">
        <v>6</v>
      </c>
      <c r="F42" s="8">
        <v>1.83</v>
      </c>
      <c r="G42" s="12">
        <v>3</v>
      </c>
      <c r="H42" s="8">
        <v>1.34</v>
      </c>
      <c r="I42" s="12">
        <v>0</v>
      </c>
    </row>
    <row r="43" spans="2:9" ht="15" customHeight="1" x14ac:dyDescent="0.2">
      <c r="B43" t="s">
        <v>85</v>
      </c>
      <c r="C43" s="12">
        <v>9</v>
      </c>
      <c r="D43" s="8">
        <v>1.58</v>
      </c>
      <c r="E43" s="12">
        <v>7</v>
      </c>
      <c r="F43" s="8">
        <v>2.14</v>
      </c>
      <c r="G43" s="12">
        <v>2</v>
      </c>
      <c r="H43" s="8">
        <v>0.89</v>
      </c>
      <c r="I43" s="12">
        <v>0</v>
      </c>
    </row>
    <row r="46" spans="2:9" ht="33" customHeight="1" x14ac:dyDescent="0.2">
      <c r="B46" t="s">
        <v>234</v>
      </c>
      <c r="C46" s="10" t="s">
        <v>59</v>
      </c>
      <c r="D46" s="10" t="s">
        <v>60</v>
      </c>
      <c r="E46" s="10" t="s">
        <v>61</v>
      </c>
      <c r="F46" s="10" t="s">
        <v>62</v>
      </c>
      <c r="G46" s="10" t="s">
        <v>63</v>
      </c>
      <c r="H46" s="10" t="s">
        <v>64</v>
      </c>
      <c r="I46" s="10" t="s">
        <v>65</v>
      </c>
    </row>
    <row r="47" spans="2:9" ht="15" customHeight="1" x14ac:dyDescent="0.2">
      <c r="B47" t="s">
        <v>138</v>
      </c>
      <c r="C47" s="12">
        <v>26</v>
      </c>
      <c r="D47" s="8">
        <v>4.5599999999999996</v>
      </c>
      <c r="E47" s="12">
        <v>25</v>
      </c>
      <c r="F47" s="8">
        <v>7.65</v>
      </c>
      <c r="G47" s="12">
        <v>1</v>
      </c>
      <c r="H47" s="8">
        <v>0.45</v>
      </c>
      <c r="I47" s="12">
        <v>0</v>
      </c>
    </row>
    <row r="48" spans="2:9" ht="15" customHeight="1" x14ac:dyDescent="0.2">
      <c r="B48" t="s">
        <v>139</v>
      </c>
      <c r="C48" s="12">
        <v>24</v>
      </c>
      <c r="D48" s="8">
        <v>4.21</v>
      </c>
      <c r="E48" s="12">
        <v>19</v>
      </c>
      <c r="F48" s="8">
        <v>5.81</v>
      </c>
      <c r="G48" s="12">
        <v>5</v>
      </c>
      <c r="H48" s="8">
        <v>2.23</v>
      </c>
      <c r="I48" s="12">
        <v>0</v>
      </c>
    </row>
    <row r="49" spans="2:9" ht="15" customHeight="1" x14ac:dyDescent="0.2">
      <c r="B49" t="s">
        <v>122</v>
      </c>
      <c r="C49" s="12">
        <v>21</v>
      </c>
      <c r="D49" s="8">
        <v>3.68</v>
      </c>
      <c r="E49" s="12">
        <v>5</v>
      </c>
      <c r="F49" s="8">
        <v>1.53</v>
      </c>
      <c r="G49" s="12">
        <v>16</v>
      </c>
      <c r="H49" s="8">
        <v>7.14</v>
      </c>
      <c r="I49" s="12">
        <v>0</v>
      </c>
    </row>
    <row r="50" spans="2:9" ht="15" customHeight="1" x14ac:dyDescent="0.2">
      <c r="B50" t="s">
        <v>128</v>
      </c>
      <c r="C50" s="12">
        <v>20</v>
      </c>
      <c r="D50" s="8">
        <v>3.51</v>
      </c>
      <c r="E50" s="12">
        <v>13</v>
      </c>
      <c r="F50" s="8">
        <v>3.98</v>
      </c>
      <c r="G50" s="12">
        <v>7</v>
      </c>
      <c r="H50" s="8">
        <v>3.13</v>
      </c>
      <c r="I50" s="12">
        <v>0</v>
      </c>
    </row>
    <row r="51" spans="2:9" ht="15" customHeight="1" x14ac:dyDescent="0.2">
      <c r="B51" t="s">
        <v>137</v>
      </c>
      <c r="C51" s="12">
        <v>20</v>
      </c>
      <c r="D51" s="8">
        <v>3.51</v>
      </c>
      <c r="E51" s="12">
        <v>20</v>
      </c>
      <c r="F51" s="8">
        <v>6.12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136</v>
      </c>
      <c r="C52" s="12">
        <v>15</v>
      </c>
      <c r="D52" s="8">
        <v>2.63</v>
      </c>
      <c r="E52" s="12">
        <v>14</v>
      </c>
      <c r="F52" s="8">
        <v>4.28</v>
      </c>
      <c r="G52" s="12">
        <v>1</v>
      </c>
      <c r="H52" s="8">
        <v>0.45</v>
      </c>
      <c r="I52" s="12">
        <v>0</v>
      </c>
    </row>
    <row r="53" spans="2:9" ht="15" customHeight="1" x14ac:dyDescent="0.2">
      <c r="B53" t="s">
        <v>153</v>
      </c>
      <c r="C53" s="12">
        <v>13</v>
      </c>
      <c r="D53" s="8">
        <v>2.2799999999999998</v>
      </c>
      <c r="E53" s="12">
        <v>3</v>
      </c>
      <c r="F53" s="8">
        <v>0.92</v>
      </c>
      <c r="G53" s="12">
        <v>10</v>
      </c>
      <c r="H53" s="8">
        <v>4.46</v>
      </c>
      <c r="I53" s="12">
        <v>0</v>
      </c>
    </row>
    <row r="54" spans="2:9" ht="15" customHeight="1" x14ac:dyDescent="0.2">
      <c r="B54" t="s">
        <v>145</v>
      </c>
      <c r="C54" s="12">
        <v>13</v>
      </c>
      <c r="D54" s="8">
        <v>2.2799999999999998</v>
      </c>
      <c r="E54" s="12">
        <v>7</v>
      </c>
      <c r="F54" s="8">
        <v>2.14</v>
      </c>
      <c r="G54" s="12">
        <v>6</v>
      </c>
      <c r="H54" s="8">
        <v>2.68</v>
      </c>
      <c r="I54" s="12">
        <v>0</v>
      </c>
    </row>
    <row r="55" spans="2:9" ht="15" customHeight="1" x14ac:dyDescent="0.2">
      <c r="B55" t="s">
        <v>123</v>
      </c>
      <c r="C55" s="12">
        <v>12</v>
      </c>
      <c r="D55" s="8">
        <v>2.11</v>
      </c>
      <c r="E55" s="12">
        <v>4</v>
      </c>
      <c r="F55" s="8">
        <v>1.22</v>
      </c>
      <c r="G55" s="12">
        <v>8</v>
      </c>
      <c r="H55" s="8">
        <v>3.57</v>
      </c>
      <c r="I55" s="12">
        <v>0</v>
      </c>
    </row>
    <row r="56" spans="2:9" ht="15" customHeight="1" x14ac:dyDescent="0.2">
      <c r="B56" t="s">
        <v>140</v>
      </c>
      <c r="C56" s="12">
        <v>12</v>
      </c>
      <c r="D56" s="8">
        <v>2.11</v>
      </c>
      <c r="E56" s="12">
        <v>11</v>
      </c>
      <c r="F56" s="8">
        <v>3.36</v>
      </c>
      <c r="G56" s="12">
        <v>1</v>
      </c>
      <c r="H56" s="8">
        <v>0.45</v>
      </c>
      <c r="I56" s="12">
        <v>0</v>
      </c>
    </row>
    <row r="57" spans="2:9" ht="15" customHeight="1" x14ac:dyDescent="0.2">
      <c r="B57" t="s">
        <v>124</v>
      </c>
      <c r="C57" s="12">
        <v>11</v>
      </c>
      <c r="D57" s="8">
        <v>1.93</v>
      </c>
      <c r="E57" s="12">
        <v>8</v>
      </c>
      <c r="F57" s="8">
        <v>2.4500000000000002</v>
      </c>
      <c r="G57" s="12">
        <v>3</v>
      </c>
      <c r="H57" s="8">
        <v>1.34</v>
      </c>
      <c r="I57" s="12">
        <v>0</v>
      </c>
    </row>
    <row r="58" spans="2:9" ht="15" customHeight="1" x14ac:dyDescent="0.2">
      <c r="B58" t="s">
        <v>132</v>
      </c>
      <c r="C58" s="12">
        <v>11</v>
      </c>
      <c r="D58" s="8">
        <v>1.93</v>
      </c>
      <c r="E58" s="12">
        <v>9</v>
      </c>
      <c r="F58" s="8">
        <v>2.75</v>
      </c>
      <c r="G58" s="12">
        <v>2</v>
      </c>
      <c r="H58" s="8">
        <v>0.89</v>
      </c>
      <c r="I58" s="12">
        <v>0</v>
      </c>
    </row>
    <row r="59" spans="2:9" ht="15" customHeight="1" x14ac:dyDescent="0.2">
      <c r="B59" t="s">
        <v>147</v>
      </c>
      <c r="C59" s="12">
        <v>10</v>
      </c>
      <c r="D59" s="8">
        <v>1.75</v>
      </c>
      <c r="E59" s="12">
        <v>9</v>
      </c>
      <c r="F59" s="8">
        <v>2.75</v>
      </c>
      <c r="G59" s="12">
        <v>1</v>
      </c>
      <c r="H59" s="8">
        <v>0.45</v>
      </c>
      <c r="I59" s="12">
        <v>0</v>
      </c>
    </row>
    <row r="60" spans="2:9" ht="15" customHeight="1" x14ac:dyDescent="0.2">
      <c r="B60" t="s">
        <v>134</v>
      </c>
      <c r="C60" s="12">
        <v>10</v>
      </c>
      <c r="D60" s="8">
        <v>1.75</v>
      </c>
      <c r="E60" s="12">
        <v>9</v>
      </c>
      <c r="F60" s="8">
        <v>2.75</v>
      </c>
      <c r="G60" s="12">
        <v>1</v>
      </c>
      <c r="H60" s="8">
        <v>0.45</v>
      </c>
      <c r="I60" s="12">
        <v>0</v>
      </c>
    </row>
    <row r="61" spans="2:9" ht="15" customHeight="1" x14ac:dyDescent="0.2">
      <c r="B61" t="s">
        <v>125</v>
      </c>
      <c r="C61" s="12">
        <v>9</v>
      </c>
      <c r="D61" s="8">
        <v>1.58</v>
      </c>
      <c r="E61" s="12">
        <v>4</v>
      </c>
      <c r="F61" s="8">
        <v>1.22</v>
      </c>
      <c r="G61" s="12">
        <v>5</v>
      </c>
      <c r="H61" s="8">
        <v>2.23</v>
      </c>
      <c r="I61" s="12">
        <v>0</v>
      </c>
    </row>
    <row r="62" spans="2:9" ht="15" customHeight="1" x14ac:dyDescent="0.2">
      <c r="B62" t="s">
        <v>133</v>
      </c>
      <c r="C62" s="12">
        <v>9</v>
      </c>
      <c r="D62" s="8">
        <v>1.58</v>
      </c>
      <c r="E62" s="12">
        <v>7</v>
      </c>
      <c r="F62" s="8">
        <v>2.14</v>
      </c>
      <c r="G62" s="12">
        <v>2</v>
      </c>
      <c r="H62" s="8">
        <v>0.89</v>
      </c>
      <c r="I62" s="12">
        <v>0</v>
      </c>
    </row>
    <row r="63" spans="2:9" ht="15" customHeight="1" x14ac:dyDescent="0.2">
      <c r="B63" t="s">
        <v>199</v>
      </c>
      <c r="C63" s="12">
        <v>9</v>
      </c>
      <c r="D63" s="8">
        <v>1.58</v>
      </c>
      <c r="E63" s="12">
        <v>0</v>
      </c>
      <c r="F63" s="8">
        <v>0</v>
      </c>
      <c r="G63" s="12">
        <v>2</v>
      </c>
      <c r="H63" s="8">
        <v>0.89</v>
      </c>
      <c r="I63" s="12">
        <v>0</v>
      </c>
    </row>
    <row r="64" spans="2:9" ht="15" customHeight="1" x14ac:dyDescent="0.2">
      <c r="B64" t="s">
        <v>141</v>
      </c>
      <c r="C64" s="12">
        <v>9</v>
      </c>
      <c r="D64" s="8">
        <v>1.58</v>
      </c>
      <c r="E64" s="12">
        <v>7</v>
      </c>
      <c r="F64" s="8">
        <v>2.14</v>
      </c>
      <c r="G64" s="12">
        <v>2</v>
      </c>
      <c r="H64" s="8">
        <v>0.89</v>
      </c>
      <c r="I64" s="12">
        <v>0</v>
      </c>
    </row>
    <row r="65" spans="2:9" ht="15" customHeight="1" x14ac:dyDescent="0.2">
      <c r="B65" t="s">
        <v>129</v>
      </c>
      <c r="C65" s="12">
        <v>8</v>
      </c>
      <c r="D65" s="8">
        <v>1.4</v>
      </c>
      <c r="E65" s="12">
        <v>6</v>
      </c>
      <c r="F65" s="8">
        <v>1.83</v>
      </c>
      <c r="G65" s="12">
        <v>2</v>
      </c>
      <c r="H65" s="8">
        <v>0.89</v>
      </c>
      <c r="I65" s="12">
        <v>0</v>
      </c>
    </row>
    <row r="66" spans="2:9" ht="15" customHeight="1" x14ac:dyDescent="0.2">
      <c r="B66" t="s">
        <v>130</v>
      </c>
      <c r="C66" s="12">
        <v>8</v>
      </c>
      <c r="D66" s="8">
        <v>1.4</v>
      </c>
      <c r="E66" s="12">
        <v>6</v>
      </c>
      <c r="F66" s="8">
        <v>1.83</v>
      </c>
      <c r="G66" s="12">
        <v>2</v>
      </c>
      <c r="H66" s="8">
        <v>0.89</v>
      </c>
      <c r="I66" s="12">
        <v>0</v>
      </c>
    </row>
    <row r="68" spans="2:9" ht="15" customHeight="1" x14ac:dyDescent="0.2">
      <c r="B68" t="s">
        <v>235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D19D3-5671-4C28-8946-7BDFEA7D7EE5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268</v>
      </c>
    </row>
    <row r="4" spans="2:9" ht="33" customHeight="1" x14ac:dyDescent="0.2">
      <c r="B4" t="s">
        <v>231</v>
      </c>
      <c r="C4" s="10" t="s">
        <v>59</v>
      </c>
      <c r="D4" s="10" t="s">
        <v>60</v>
      </c>
      <c r="E4" s="10" t="s">
        <v>61</v>
      </c>
      <c r="F4" s="10" t="s">
        <v>62</v>
      </c>
      <c r="G4" s="10" t="s">
        <v>63</v>
      </c>
      <c r="H4" s="10" t="s">
        <v>64</v>
      </c>
      <c r="I4" s="10" t="s">
        <v>65</v>
      </c>
    </row>
    <row r="5" spans="2:9" ht="15" customHeight="1" x14ac:dyDescent="0.2">
      <c r="B5" t="s">
        <v>43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44</v>
      </c>
      <c r="C6" s="12">
        <v>39</v>
      </c>
      <c r="D6" s="8">
        <v>9.65</v>
      </c>
      <c r="E6" s="12">
        <v>10</v>
      </c>
      <c r="F6" s="8">
        <v>4.4800000000000004</v>
      </c>
      <c r="G6" s="12">
        <v>29</v>
      </c>
      <c r="H6" s="8">
        <v>16.38</v>
      </c>
      <c r="I6" s="12">
        <v>0</v>
      </c>
    </row>
    <row r="7" spans="2:9" ht="15" customHeight="1" x14ac:dyDescent="0.2">
      <c r="B7" t="s">
        <v>45</v>
      </c>
      <c r="C7" s="12">
        <v>21</v>
      </c>
      <c r="D7" s="8">
        <v>5.2</v>
      </c>
      <c r="E7" s="12">
        <v>7</v>
      </c>
      <c r="F7" s="8">
        <v>3.14</v>
      </c>
      <c r="G7" s="12">
        <v>14</v>
      </c>
      <c r="H7" s="8">
        <v>7.91</v>
      </c>
      <c r="I7" s="12">
        <v>0</v>
      </c>
    </row>
    <row r="8" spans="2:9" ht="15" customHeight="1" x14ac:dyDescent="0.2">
      <c r="B8" t="s">
        <v>46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47</v>
      </c>
      <c r="C9" s="12">
        <v>2</v>
      </c>
      <c r="D9" s="8">
        <v>0.5</v>
      </c>
      <c r="E9" s="12">
        <v>0</v>
      </c>
      <c r="F9" s="8">
        <v>0</v>
      </c>
      <c r="G9" s="12">
        <v>2</v>
      </c>
      <c r="H9" s="8">
        <v>1.1299999999999999</v>
      </c>
      <c r="I9" s="12">
        <v>0</v>
      </c>
    </row>
    <row r="10" spans="2:9" ht="15" customHeight="1" x14ac:dyDescent="0.2">
      <c r="B10" t="s">
        <v>48</v>
      </c>
      <c r="C10" s="12">
        <v>1</v>
      </c>
      <c r="D10" s="8">
        <v>0.25</v>
      </c>
      <c r="E10" s="12">
        <v>1</v>
      </c>
      <c r="F10" s="8">
        <v>0.45</v>
      </c>
      <c r="G10" s="12">
        <v>0</v>
      </c>
      <c r="H10" s="8">
        <v>0</v>
      </c>
      <c r="I10" s="12">
        <v>0</v>
      </c>
    </row>
    <row r="11" spans="2:9" ht="15" customHeight="1" x14ac:dyDescent="0.2">
      <c r="B11" t="s">
        <v>49</v>
      </c>
      <c r="C11" s="12">
        <v>91</v>
      </c>
      <c r="D11" s="8">
        <v>22.52</v>
      </c>
      <c r="E11" s="12">
        <v>36</v>
      </c>
      <c r="F11" s="8">
        <v>16.14</v>
      </c>
      <c r="G11" s="12">
        <v>55</v>
      </c>
      <c r="H11" s="8">
        <v>31.07</v>
      </c>
      <c r="I11" s="12">
        <v>0</v>
      </c>
    </row>
    <row r="12" spans="2:9" ht="15" customHeight="1" x14ac:dyDescent="0.2">
      <c r="B12" t="s">
        <v>50</v>
      </c>
      <c r="C12" s="12">
        <v>3</v>
      </c>
      <c r="D12" s="8">
        <v>0.74</v>
      </c>
      <c r="E12" s="12">
        <v>0</v>
      </c>
      <c r="F12" s="8">
        <v>0</v>
      </c>
      <c r="G12" s="12">
        <v>3</v>
      </c>
      <c r="H12" s="8">
        <v>1.69</v>
      </c>
      <c r="I12" s="12">
        <v>0</v>
      </c>
    </row>
    <row r="13" spans="2:9" ht="15" customHeight="1" x14ac:dyDescent="0.2">
      <c r="B13" t="s">
        <v>51</v>
      </c>
      <c r="C13" s="12">
        <v>39</v>
      </c>
      <c r="D13" s="8">
        <v>9.65</v>
      </c>
      <c r="E13" s="12">
        <v>19</v>
      </c>
      <c r="F13" s="8">
        <v>8.52</v>
      </c>
      <c r="G13" s="12">
        <v>20</v>
      </c>
      <c r="H13" s="8">
        <v>11.3</v>
      </c>
      <c r="I13" s="12">
        <v>0</v>
      </c>
    </row>
    <row r="14" spans="2:9" ht="15" customHeight="1" x14ac:dyDescent="0.2">
      <c r="B14" t="s">
        <v>52</v>
      </c>
      <c r="C14" s="12">
        <v>19</v>
      </c>
      <c r="D14" s="8">
        <v>4.7</v>
      </c>
      <c r="E14" s="12">
        <v>13</v>
      </c>
      <c r="F14" s="8">
        <v>5.83</v>
      </c>
      <c r="G14" s="12">
        <v>6</v>
      </c>
      <c r="H14" s="8">
        <v>3.39</v>
      </c>
      <c r="I14" s="12">
        <v>0</v>
      </c>
    </row>
    <row r="15" spans="2:9" ht="15" customHeight="1" x14ac:dyDescent="0.2">
      <c r="B15" t="s">
        <v>53</v>
      </c>
      <c r="C15" s="12">
        <v>65</v>
      </c>
      <c r="D15" s="8">
        <v>16.09</v>
      </c>
      <c r="E15" s="12">
        <v>53</v>
      </c>
      <c r="F15" s="8">
        <v>23.77</v>
      </c>
      <c r="G15" s="12">
        <v>12</v>
      </c>
      <c r="H15" s="8">
        <v>6.78</v>
      </c>
      <c r="I15" s="12">
        <v>0</v>
      </c>
    </row>
    <row r="16" spans="2:9" ht="15" customHeight="1" x14ac:dyDescent="0.2">
      <c r="B16" t="s">
        <v>54</v>
      </c>
      <c r="C16" s="12">
        <v>73</v>
      </c>
      <c r="D16" s="8">
        <v>18.07</v>
      </c>
      <c r="E16" s="12">
        <v>55</v>
      </c>
      <c r="F16" s="8">
        <v>24.66</v>
      </c>
      <c r="G16" s="12">
        <v>18</v>
      </c>
      <c r="H16" s="8">
        <v>10.17</v>
      </c>
      <c r="I16" s="12">
        <v>0</v>
      </c>
    </row>
    <row r="17" spans="2:9" ht="15" customHeight="1" x14ac:dyDescent="0.2">
      <c r="B17" t="s">
        <v>55</v>
      </c>
      <c r="C17" s="12">
        <v>21</v>
      </c>
      <c r="D17" s="8">
        <v>5.2</v>
      </c>
      <c r="E17" s="12">
        <v>11</v>
      </c>
      <c r="F17" s="8">
        <v>4.93</v>
      </c>
      <c r="G17" s="12">
        <v>8</v>
      </c>
      <c r="H17" s="8">
        <v>4.5199999999999996</v>
      </c>
      <c r="I17" s="12">
        <v>0</v>
      </c>
    </row>
    <row r="18" spans="2:9" ht="15" customHeight="1" x14ac:dyDescent="0.2">
      <c r="B18" t="s">
        <v>56</v>
      </c>
      <c r="C18" s="12">
        <v>21</v>
      </c>
      <c r="D18" s="8">
        <v>5.2</v>
      </c>
      <c r="E18" s="12">
        <v>15</v>
      </c>
      <c r="F18" s="8">
        <v>6.73</v>
      </c>
      <c r="G18" s="12">
        <v>5</v>
      </c>
      <c r="H18" s="8">
        <v>2.82</v>
      </c>
      <c r="I18" s="12">
        <v>0</v>
      </c>
    </row>
    <row r="19" spans="2:9" ht="15" customHeight="1" x14ac:dyDescent="0.2">
      <c r="B19" t="s">
        <v>57</v>
      </c>
      <c r="C19" s="12">
        <v>9</v>
      </c>
      <c r="D19" s="8">
        <v>2.23</v>
      </c>
      <c r="E19" s="12">
        <v>3</v>
      </c>
      <c r="F19" s="8">
        <v>1.35</v>
      </c>
      <c r="G19" s="12">
        <v>5</v>
      </c>
      <c r="H19" s="8">
        <v>2.82</v>
      </c>
      <c r="I19" s="12">
        <v>0</v>
      </c>
    </row>
    <row r="20" spans="2:9" ht="15" customHeight="1" x14ac:dyDescent="0.2">
      <c r="B20" s="9" t="s">
        <v>232</v>
      </c>
      <c r="C20" s="12">
        <f>SUM(LTBL_21421[総数／事業所数])</f>
        <v>404</v>
      </c>
      <c r="E20" s="12">
        <f>SUBTOTAL(109,LTBL_21421[個人／事業所数])</f>
        <v>223</v>
      </c>
      <c r="G20" s="12">
        <f>SUBTOTAL(109,LTBL_21421[法人／事業所数])</f>
        <v>177</v>
      </c>
      <c r="I20" s="12">
        <f>SUBTOTAL(109,LTBL_21421[法人以外の団体／事業所数])</f>
        <v>0</v>
      </c>
    </row>
    <row r="21" spans="2:9" ht="15" customHeight="1" x14ac:dyDescent="0.2">
      <c r="E21" s="11">
        <f>LTBL_21421[[#Totals],[個人／事業所数]]/LTBL_21421[[#Totals],[総数／事業所数]]</f>
        <v>0.55198019801980203</v>
      </c>
      <c r="G21" s="11">
        <f>LTBL_21421[[#Totals],[法人／事業所数]]/LTBL_21421[[#Totals],[総数／事業所数]]</f>
        <v>0.43811881188118812</v>
      </c>
      <c r="I21" s="11">
        <f>LTBL_21421[[#Totals],[法人以外の団体／事業所数]]/LTBL_21421[[#Totals],[総数／事業所数]]</f>
        <v>0</v>
      </c>
    </row>
    <row r="23" spans="2:9" ht="33" customHeight="1" x14ac:dyDescent="0.2">
      <c r="B23" t="s">
        <v>233</v>
      </c>
      <c r="C23" s="10" t="s">
        <v>59</v>
      </c>
      <c r="D23" s="10" t="s">
        <v>60</v>
      </c>
      <c r="E23" s="10" t="s">
        <v>61</v>
      </c>
      <c r="F23" s="10" t="s">
        <v>62</v>
      </c>
      <c r="G23" s="10" t="s">
        <v>63</v>
      </c>
      <c r="H23" s="10" t="s">
        <v>64</v>
      </c>
      <c r="I23" s="10" t="s">
        <v>65</v>
      </c>
    </row>
    <row r="24" spans="2:9" ht="15" customHeight="1" x14ac:dyDescent="0.2">
      <c r="B24" t="s">
        <v>81</v>
      </c>
      <c r="C24" s="12">
        <v>63</v>
      </c>
      <c r="D24" s="8">
        <v>15.59</v>
      </c>
      <c r="E24" s="12">
        <v>53</v>
      </c>
      <c r="F24" s="8">
        <v>23.77</v>
      </c>
      <c r="G24" s="12">
        <v>10</v>
      </c>
      <c r="H24" s="8">
        <v>5.65</v>
      </c>
      <c r="I24" s="12">
        <v>0</v>
      </c>
    </row>
    <row r="25" spans="2:9" ht="15" customHeight="1" x14ac:dyDescent="0.2">
      <c r="B25" t="s">
        <v>82</v>
      </c>
      <c r="C25" s="12">
        <v>63</v>
      </c>
      <c r="D25" s="8">
        <v>15.59</v>
      </c>
      <c r="E25" s="12">
        <v>52</v>
      </c>
      <c r="F25" s="8">
        <v>23.32</v>
      </c>
      <c r="G25" s="12">
        <v>11</v>
      </c>
      <c r="H25" s="8">
        <v>6.21</v>
      </c>
      <c r="I25" s="12">
        <v>0</v>
      </c>
    </row>
    <row r="26" spans="2:9" ht="15" customHeight="1" x14ac:dyDescent="0.2">
      <c r="B26" t="s">
        <v>77</v>
      </c>
      <c r="C26" s="12">
        <v>38</v>
      </c>
      <c r="D26" s="8">
        <v>9.41</v>
      </c>
      <c r="E26" s="12">
        <v>15</v>
      </c>
      <c r="F26" s="8">
        <v>6.73</v>
      </c>
      <c r="G26" s="12">
        <v>23</v>
      </c>
      <c r="H26" s="8">
        <v>12.99</v>
      </c>
      <c r="I26" s="12">
        <v>0</v>
      </c>
    </row>
    <row r="27" spans="2:9" ht="15" customHeight="1" x14ac:dyDescent="0.2">
      <c r="B27" t="s">
        <v>78</v>
      </c>
      <c r="C27" s="12">
        <v>25</v>
      </c>
      <c r="D27" s="8">
        <v>6.19</v>
      </c>
      <c r="E27" s="12">
        <v>17</v>
      </c>
      <c r="F27" s="8">
        <v>7.62</v>
      </c>
      <c r="G27" s="12">
        <v>8</v>
      </c>
      <c r="H27" s="8">
        <v>4.5199999999999996</v>
      </c>
      <c r="I27" s="12">
        <v>0</v>
      </c>
    </row>
    <row r="28" spans="2:9" ht="15" customHeight="1" x14ac:dyDescent="0.2">
      <c r="B28" t="s">
        <v>83</v>
      </c>
      <c r="C28" s="12">
        <v>21</v>
      </c>
      <c r="D28" s="8">
        <v>5.2</v>
      </c>
      <c r="E28" s="12">
        <v>11</v>
      </c>
      <c r="F28" s="8">
        <v>4.93</v>
      </c>
      <c r="G28" s="12">
        <v>8</v>
      </c>
      <c r="H28" s="8">
        <v>4.5199999999999996</v>
      </c>
      <c r="I28" s="12">
        <v>0</v>
      </c>
    </row>
    <row r="29" spans="2:9" ht="15" customHeight="1" x14ac:dyDescent="0.2">
      <c r="B29" t="s">
        <v>84</v>
      </c>
      <c r="C29" s="12">
        <v>18</v>
      </c>
      <c r="D29" s="8">
        <v>4.46</v>
      </c>
      <c r="E29" s="12">
        <v>15</v>
      </c>
      <c r="F29" s="8">
        <v>6.73</v>
      </c>
      <c r="G29" s="12">
        <v>3</v>
      </c>
      <c r="H29" s="8">
        <v>1.69</v>
      </c>
      <c r="I29" s="12">
        <v>0</v>
      </c>
    </row>
    <row r="30" spans="2:9" ht="15" customHeight="1" x14ac:dyDescent="0.2">
      <c r="B30" t="s">
        <v>66</v>
      </c>
      <c r="C30" s="12">
        <v>17</v>
      </c>
      <c r="D30" s="8">
        <v>4.21</v>
      </c>
      <c r="E30" s="12">
        <v>2</v>
      </c>
      <c r="F30" s="8">
        <v>0.9</v>
      </c>
      <c r="G30" s="12">
        <v>15</v>
      </c>
      <c r="H30" s="8">
        <v>8.4700000000000006</v>
      </c>
      <c r="I30" s="12">
        <v>0</v>
      </c>
    </row>
    <row r="31" spans="2:9" ht="15" customHeight="1" x14ac:dyDescent="0.2">
      <c r="B31" t="s">
        <v>74</v>
      </c>
      <c r="C31" s="12">
        <v>15</v>
      </c>
      <c r="D31" s="8">
        <v>3.71</v>
      </c>
      <c r="E31" s="12">
        <v>7</v>
      </c>
      <c r="F31" s="8">
        <v>3.14</v>
      </c>
      <c r="G31" s="12">
        <v>8</v>
      </c>
      <c r="H31" s="8">
        <v>4.5199999999999996</v>
      </c>
      <c r="I31" s="12">
        <v>0</v>
      </c>
    </row>
    <row r="32" spans="2:9" ht="15" customHeight="1" x14ac:dyDescent="0.2">
      <c r="B32" t="s">
        <v>76</v>
      </c>
      <c r="C32" s="12">
        <v>15</v>
      </c>
      <c r="D32" s="8">
        <v>3.71</v>
      </c>
      <c r="E32" s="12">
        <v>8</v>
      </c>
      <c r="F32" s="8">
        <v>3.59</v>
      </c>
      <c r="G32" s="12">
        <v>7</v>
      </c>
      <c r="H32" s="8">
        <v>3.95</v>
      </c>
      <c r="I32" s="12">
        <v>0</v>
      </c>
    </row>
    <row r="33" spans="2:9" ht="15" customHeight="1" x14ac:dyDescent="0.2">
      <c r="B33" t="s">
        <v>67</v>
      </c>
      <c r="C33" s="12">
        <v>12</v>
      </c>
      <c r="D33" s="8">
        <v>2.97</v>
      </c>
      <c r="E33" s="12">
        <v>4</v>
      </c>
      <c r="F33" s="8">
        <v>1.79</v>
      </c>
      <c r="G33" s="12">
        <v>8</v>
      </c>
      <c r="H33" s="8">
        <v>4.5199999999999996</v>
      </c>
      <c r="I33" s="12">
        <v>0</v>
      </c>
    </row>
    <row r="34" spans="2:9" ht="15" customHeight="1" x14ac:dyDescent="0.2">
      <c r="B34" t="s">
        <v>79</v>
      </c>
      <c r="C34" s="12">
        <v>12</v>
      </c>
      <c r="D34" s="8">
        <v>2.97</v>
      </c>
      <c r="E34" s="12">
        <v>10</v>
      </c>
      <c r="F34" s="8">
        <v>4.4800000000000004</v>
      </c>
      <c r="G34" s="12">
        <v>2</v>
      </c>
      <c r="H34" s="8">
        <v>1.1299999999999999</v>
      </c>
      <c r="I34" s="12">
        <v>0</v>
      </c>
    </row>
    <row r="35" spans="2:9" ht="15" customHeight="1" x14ac:dyDescent="0.2">
      <c r="B35" t="s">
        <v>69</v>
      </c>
      <c r="C35" s="12">
        <v>11</v>
      </c>
      <c r="D35" s="8">
        <v>2.72</v>
      </c>
      <c r="E35" s="12">
        <v>3</v>
      </c>
      <c r="F35" s="8">
        <v>1.35</v>
      </c>
      <c r="G35" s="12">
        <v>8</v>
      </c>
      <c r="H35" s="8">
        <v>4.5199999999999996</v>
      </c>
      <c r="I35" s="12">
        <v>0</v>
      </c>
    </row>
    <row r="36" spans="2:9" ht="15" customHeight="1" x14ac:dyDescent="0.2">
      <c r="B36" t="s">
        <v>68</v>
      </c>
      <c r="C36" s="12">
        <v>10</v>
      </c>
      <c r="D36" s="8">
        <v>2.48</v>
      </c>
      <c r="E36" s="12">
        <v>4</v>
      </c>
      <c r="F36" s="8">
        <v>1.79</v>
      </c>
      <c r="G36" s="12">
        <v>6</v>
      </c>
      <c r="H36" s="8">
        <v>3.39</v>
      </c>
      <c r="I36" s="12">
        <v>0</v>
      </c>
    </row>
    <row r="37" spans="2:9" ht="15" customHeight="1" x14ac:dyDescent="0.2">
      <c r="B37" t="s">
        <v>102</v>
      </c>
      <c r="C37" s="12">
        <v>10</v>
      </c>
      <c r="D37" s="8">
        <v>2.48</v>
      </c>
      <c r="E37" s="12">
        <v>1</v>
      </c>
      <c r="F37" s="8">
        <v>0.45</v>
      </c>
      <c r="G37" s="12">
        <v>9</v>
      </c>
      <c r="H37" s="8">
        <v>5.08</v>
      </c>
      <c r="I37" s="12">
        <v>0</v>
      </c>
    </row>
    <row r="38" spans="2:9" ht="15" customHeight="1" x14ac:dyDescent="0.2">
      <c r="B38" t="s">
        <v>75</v>
      </c>
      <c r="C38" s="12">
        <v>9</v>
      </c>
      <c r="D38" s="8">
        <v>2.23</v>
      </c>
      <c r="E38" s="12">
        <v>4</v>
      </c>
      <c r="F38" s="8">
        <v>1.79</v>
      </c>
      <c r="G38" s="12">
        <v>5</v>
      </c>
      <c r="H38" s="8">
        <v>2.82</v>
      </c>
      <c r="I38" s="12">
        <v>0</v>
      </c>
    </row>
    <row r="39" spans="2:9" ht="15" customHeight="1" x14ac:dyDescent="0.2">
      <c r="B39" t="s">
        <v>80</v>
      </c>
      <c r="C39" s="12">
        <v>7</v>
      </c>
      <c r="D39" s="8">
        <v>1.73</v>
      </c>
      <c r="E39" s="12">
        <v>3</v>
      </c>
      <c r="F39" s="8">
        <v>1.35</v>
      </c>
      <c r="G39" s="12">
        <v>4</v>
      </c>
      <c r="H39" s="8">
        <v>2.2599999999999998</v>
      </c>
      <c r="I39" s="12">
        <v>0</v>
      </c>
    </row>
    <row r="40" spans="2:9" ht="15" customHeight="1" x14ac:dyDescent="0.2">
      <c r="B40" t="s">
        <v>90</v>
      </c>
      <c r="C40" s="12">
        <v>6</v>
      </c>
      <c r="D40" s="8">
        <v>1.49</v>
      </c>
      <c r="E40" s="12">
        <v>2</v>
      </c>
      <c r="F40" s="8">
        <v>0.9</v>
      </c>
      <c r="G40" s="12">
        <v>4</v>
      </c>
      <c r="H40" s="8">
        <v>2.2599999999999998</v>
      </c>
      <c r="I40" s="12">
        <v>0</v>
      </c>
    </row>
    <row r="41" spans="2:9" ht="15" customHeight="1" x14ac:dyDescent="0.2">
      <c r="B41" t="s">
        <v>108</v>
      </c>
      <c r="C41" s="12">
        <v>4</v>
      </c>
      <c r="D41" s="8">
        <v>0.99</v>
      </c>
      <c r="E41" s="12">
        <v>1</v>
      </c>
      <c r="F41" s="8">
        <v>0.45</v>
      </c>
      <c r="G41" s="12">
        <v>3</v>
      </c>
      <c r="H41" s="8">
        <v>1.69</v>
      </c>
      <c r="I41" s="12">
        <v>0</v>
      </c>
    </row>
    <row r="42" spans="2:9" ht="15" customHeight="1" x14ac:dyDescent="0.2">
      <c r="B42" t="s">
        <v>109</v>
      </c>
      <c r="C42" s="12">
        <v>4</v>
      </c>
      <c r="D42" s="8">
        <v>0.99</v>
      </c>
      <c r="E42" s="12">
        <v>1</v>
      </c>
      <c r="F42" s="8">
        <v>0.45</v>
      </c>
      <c r="G42" s="12">
        <v>3</v>
      </c>
      <c r="H42" s="8">
        <v>1.69</v>
      </c>
      <c r="I42" s="12">
        <v>0</v>
      </c>
    </row>
    <row r="43" spans="2:9" ht="15" customHeight="1" x14ac:dyDescent="0.2">
      <c r="B43" t="s">
        <v>88</v>
      </c>
      <c r="C43" s="12">
        <v>4</v>
      </c>
      <c r="D43" s="8">
        <v>0.99</v>
      </c>
      <c r="E43" s="12">
        <v>0</v>
      </c>
      <c r="F43" s="8">
        <v>0</v>
      </c>
      <c r="G43" s="12">
        <v>4</v>
      </c>
      <c r="H43" s="8">
        <v>2.2599999999999998</v>
      </c>
      <c r="I43" s="12">
        <v>0</v>
      </c>
    </row>
    <row r="46" spans="2:9" ht="33" customHeight="1" x14ac:dyDescent="0.2">
      <c r="B46" t="s">
        <v>234</v>
      </c>
      <c r="C46" s="10" t="s">
        <v>59</v>
      </c>
      <c r="D46" s="10" t="s">
        <v>60</v>
      </c>
      <c r="E46" s="10" t="s">
        <v>61</v>
      </c>
      <c r="F46" s="10" t="s">
        <v>62</v>
      </c>
      <c r="G46" s="10" t="s">
        <v>63</v>
      </c>
      <c r="H46" s="10" t="s">
        <v>64</v>
      </c>
      <c r="I46" s="10" t="s">
        <v>65</v>
      </c>
    </row>
    <row r="47" spans="2:9" ht="15" customHeight="1" x14ac:dyDescent="0.2">
      <c r="B47" t="s">
        <v>138</v>
      </c>
      <c r="C47" s="12">
        <v>40</v>
      </c>
      <c r="D47" s="8">
        <v>9.9</v>
      </c>
      <c r="E47" s="12">
        <v>37</v>
      </c>
      <c r="F47" s="8">
        <v>16.59</v>
      </c>
      <c r="G47" s="12">
        <v>3</v>
      </c>
      <c r="H47" s="8">
        <v>1.69</v>
      </c>
      <c r="I47" s="12">
        <v>0</v>
      </c>
    </row>
    <row r="48" spans="2:9" ht="15" customHeight="1" x14ac:dyDescent="0.2">
      <c r="B48" t="s">
        <v>132</v>
      </c>
      <c r="C48" s="12">
        <v>23</v>
      </c>
      <c r="D48" s="8">
        <v>5.69</v>
      </c>
      <c r="E48" s="12">
        <v>17</v>
      </c>
      <c r="F48" s="8">
        <v>7.62</v>
      </c>
      <c r="G48" s="12">
        <v>6</v>
      </c>
      <c r="H48" s="8">
        <v>3.39</v>
      </c>
      <c r="I48" s="12">
        <v>0</v>
      </c>
    </row>
    <row r="49" spans="2:9" ht="15" customHeight="1" x14ac:dyDescent="0.2">
      <c r="B49" t="s">
        <v>134</v>
      </c>
      <c r="C49" s="12">
        <v>20</v>
      </c>
      <c r="D49" s="8">
        <v>4.95</v>
      </c>
      <c r="E49" s="12">
        <v>13</v>
      </c>
      <c r="F49" s="8">
        <v>5.83</v>
      </c>
      <c r="G49" s="12">
        <v>7</v>
      </c>
      <c r="H49" s="8">
        <v>3.95</v>
      </c>
      <c r="I49" s="12">
        <v>0</v>
      </c>
    </row>
    <row r="50" spans="2:9" ht="15" customHeight="1" x14ac:dyDescent="0.2">
      <c r="B50" t="s">
        <v>136</v>
      </c>
      <c r="C50" s="12">
        <v>18</v>
      </c>
      <c r="D50" s="8">
        <v>4.46</v>
      </c>
      <c r="E50" s="12">
        <v>17</v>
      </c>
      <c r="F50" s="8">
        <v>7.62</v>
      </c>
      <c r="G50" s="12">
        <v>1</v>
      </c>
      <c r="H50" s="8">
        <v>0.56000000000000005</v>
      </c>
      <c r="I50" s="12">
        <v>0</v>
      </c>
    </row>
    <row r="51" spans="2:9" ht="15" customHeight="1" x14ac:dyDescent="0.2">
      <c r="B51" t="s">
        <v>135</v>
      </c>
      <c r="C51" s="12">
        <v>13</v>
      </c>
      <c r="D51" s="8">
        <v>3.22</v>
      </c>
      <c r="E51" s="12">
        <v>12</v>
      </c>
      <c r="F51" s="8">
        <v>5.38</v>
      </c>
      <c r="G51" s="12">
        <v>1</v>
      </c>
      <c r="H51" s="8">
        <v>0.56000000000000005</v>
      </c>
      <c r="I51" s="12">
        <v>0</v>
      </c>
    </row>
    <row r="52" spans="2:9" ht="15" customHeight="1" x14ac:dyDescent="0.2">
      <c r="B52" t="s">
        <v>140</v>
      </c>
      <c r="C52" s="12">
        <v>13</v>
      </c>
      <c r="D52" s="8">
        <v>3.22</v>
      </c>
      <c r="E52" s="12">
        <v>10</v>
      </c>
      <c r="F52" s="8">
        <v>4.4800000000000004</v>
      </c>
      <c r="G52" s="12">
        <v>3</v>
      </c>
      <c r="H52" s="8">
        <v>1.69</v>
      </c>
      <c r="I52" s="12">
        <v>0</v>
      </c>
    </row>
    <row r="53" spans="2:9" ht="15" customHeight="1" x14ac:dyDescent="0.2">
      <c r="B53" t="s">
        <v>130</v>
      </c>
      <c r="C53" s="12">
        <v>12</v>
      </c>
      <c r="D53" s="8">
        <v>2.97</v>
      </c>
      <c r="E53" s="12">
        <v>5</v>
      </c>
      <c r="F53" s="8">
        <v>2.2400000000000002</v>
      </c>
      <c r="G53" s="12">
        <v>7</v>
      </c>
      <c r="H53" s="8">
        <v>3.95</v>
      </c>
      <c r="I53" s="12">
        <v>0</v>
      </c>
    </row>
    <row r="54" spans="2:9" ht="15" customHeight="1" x14ac:dyDescent="0.2">
      <c r="B54" t="s">
        <v>128</v>
      </c>
      <c r="C54" s="12">
        <v>11</v>
      </c>
      <c r="D54" s="8">
        <v>2.72</v>
      </c>
      <c r="E54" s="12">
        <v>5</v>
      </c>
      <c r="F54" s="8">
        <v>2.2400000000000002</v>
      </c>
      <c r="G54" s="12">
        <v>6</v>
      </c>
      <c r="H54" s="8">
        <v>3.39</v>
      </c>
      <c r="I54" s="12">
        <v>0</v>
      </c>
    </row>
    <row r="55" spans="2:9" ht="15" customHeight="1" x14ac:dyDescent="0.2">
      <c r="B55" t="s">
        <v>144</v>
      </c>
      <c r="C55" s="12">
        <v>10</v>
      </c>
      <c r="D55" s="8">
        <v>2.48</v>
      </c>
      <c r="E55" s="12">
        <v>4</v>
      </c>
      <c r="F55" s="8">
        <v>1.79</v>
      </c>
      <c r="G55" s="12">
        <v>6</v>
      </c>
      <c r="H55" s="8">
        <v>3.39</v>
      </c>
      <c r="I55" s="12">
        <v>0</v>
      </c>
    </row>
    <row r="56" spans="2:9" ht="15" customHeight="1" x14ac:dyDescent="0.2">
      <c r="B56" t="s">
        <v>139</v>
      </c>
      <c r="C56" s="12">
        <v>10</v>
      </c>
      <c r="D56" s="8">
        <v>2.48</v>
      </c>
      <c r="E56" s="12">
        <v>6</v>
      </c>
      <c r="F56" s="8">
        <v>2.69</v>
      </c>
      <c r="G56" s="12">
        <v>4</v>
      </c>
      <c r="H56" s="8">
        <v>2.2599999999999998</v>
      </c>
      <c r="I56" s="12">
        <v>0</v>
      </c>
    </row>
    <row r="57" spans="2:9" ht="15" customHeight="1" x14ac:dyDescent="0.2">
      <c r="B57" t="s">
        <v>142</v>
      </c>
      <c r="C57" s="12">
        <v>9</v>
      </c>
      <c r="D57" s="8">
        <v>2.23</v>
      </c>
      <c r="E57" s="12">
        <v>2</v>
      </c>
      <c r="F57" s="8">
        <v>0.9</v>
      </c>
      <c r="G57" s="12">
        <v>7</v>
      </c>
      <c r="H57" s="8">
        <v>3.95</v>
      </c>
      <c r="I57" s="12">
        <v>0</v>
      </c>
    </row>
    <row r="58" spans="2:9" ht="15" customHeight="1" x14ac:dyDescent="0.2">
      <c r="B58" t="s">
        <v>137</v>
      </c>
      <c r="C58" s="12">
        <v>9</v>
      </c>
      <c r="D58" s="8">
        <v>2.23</v>
      </c>
      <c r="E58" s="12">
        <v>9</v>
      </c>
      <c r="F58" s="8">
        <v>4.04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145</v>
      </c>
      <c r="C59" s="12">
        <v>9</v>
      </c>
      <c r="D59" s="8">
        <v>2.23</v>
      </c>
      <c r="E59" s="12">
        <v>5</v>
      </c>
      <c r="F59" s="8">
        <v>2.2400000000000002</v>
      </c>
      <c r="G59" s="12">
        <v>4</v>
      </c>
      <c r="H59" s="8">
        <v>2.2599999999999998</v>
      </c>
      <c r="I59" s="12">
        <v>0</v>
      </c>
    </row>
    <row r="60" spans="2:9" ht="15" customHeight="1" x14ac:dyDescent="0.2">
      <c r="B60" t="s">
        <v>129</v>
      </c>
      <c r="C60" s="12">
        <v>8</v>
      </c>
      <c r="D60" s="8">
        <v>1.98</v>
      </c>
      <c r="E60" s="12">
        <v>3</v>
      </c>
      <c r="F60" s="8">
        <v>1.35</v>
      </c>
      <c r="G60" s="12">
        <v>5</v>
      </c>
      <c r="H60" s="8">
        <v>2.82</v>
      </c>
      <c r="I60" s="12">
        <v>0</v>
      </c>
    </row>
    <row r="61" spans="2:9" ht="15" customHeight="1" x14ac:dyDescent="0.2">
      <c r="B61" t="s">
        <v>158</v>
      </c>
      <c r="C61" s="12">
        <v>7</v>
      </c>
      <c r="D61" s="8">
        <v>1.73</v>
      </c>
      <c r="E61" s="12">
        <v>2</v>
      </c>
      <c r="F61" s="8">
        <v>0.9</v>
      </c>
      <c r="G61" s="12">
        <v>5</v>
      </c>
      <c r="H61" s="8">
        <v>2.82</v>
      </c>
      <c r="I61" s="12">
        <v>0</v>
      </c>
    </row>
    <row r="62" spans="2:9" ht="15" customHeight="1" x14ac:dyDescent="0.2">
      <c r="B62" t="s">
        <v>148</v>
      </c>
      <c r="C62" s="12">
        <v>7</v>
      </c>
      <c r="D62" s="8">
        <v>1.73</v>
      </c>
      <c r="E62" s="12">
        <v>4</v>
      </c>
      <c r="F62" s="8">
        <v>1.79</v>
      </c>
      <c r="G62" s="12">
        <v>3</v>
      </c>
      <c r="H62" s="8">
        <v>1.69</v>
      </c>
      <c r="I62" s="12">
        <v>0</v>
      </c>
    </row>
    <row r="63" spans="2:9" ht="15" customHeight="1" x14ac:dyDescent="0.2">
      <c r="B63" t="s">
        <v>174</v>
      </c>
      <c r="C63" s="12">
        <v>7</v>
      </c>
      <c r="D63" s="8">
        <v>1.73</v>
      </c>
      <c r="E63" s="12">
        <v>1</v>
      </c>
      <c r="F63" s="8">
        <v>0.45</v>
      </c>
      <c r="G63" s="12">
        <v>6</v>
      </c>
      <c r="H63" s="8">
        <v>3.39</v>
      </c>
      <c r="I63" s="12">
        <v>0</v>
      </c>
    </row>
    <row r="64" spans="2:9" ht="15" customHeight="1" x14ac:dyDescent="0.2">
      <c r="B64" t="s">
        <v>143</v>
      </c>
      <c r="C64" s="12">
        <v>7</v>
      </c>
      <c r="D64" s="8">
        <v>1.73</v>
      </c>
      <c r="E64" s="12">
        <v>7</v>
      </c>
      <c r="F64" s="8">
        <v>3.14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122</v>
      </c>
      <c r="C65" s="12">
        <v>6</v>
      </c>
      <c r="D65" s="8">
        <v>1.49</v>
      </c>
      <c r="E65" s="12">
        <v>0</v>
      </c>
      <c r="F65" s="8">
        <v>0</v>
      </c>
      <c r="G65" s="12">
        <v>6</v>
      </c>
      <c r="H65" s="8">
        <v>3.39</v>
      </c>
      <c r="I65" s="12">
        <v>0</v>
      </c>
    </row>
    <row r="66" spans="2:9" ht="15" customHeight="1" x14ac:dyDescent="0.2">
      <c r="B66" t="s">
        <v>123</v>
      </c>
      <c r="C66" s="12">
        <v>5</v>
      </c>
      <c r="D66" s="8">
        <v>1.24</v>
      </c>
      <c r="E66" s="12">
        <v>1</v>
      </c>
      <c r="F66" s="8">
        <v>0.45</v>
      </c>
      <c r="G66" s="12">
        <v>4</v>
      </c>
      <c r="H66" s="8">
        <v>2.2599999999999998</v>
      </c>
      <c r="I66" s="12">
        <v>0</v>
      </c>
    </row>
    <row r="67" spans="2:9" ht="15" customHeight="1" x14ac:dyDescent="0.2">
      <c r="B67" t="s">
        <v>200</v>
      </c>
      <c r="C67" s="12">
        <v>5</v>
      </c>
      <c r="D67" s="8">
        <v>1.24</v>
      </c>
      <c r="E67" s="12">
        <v>1</v>
      </c>
      <c r="F67" s="8">
        <v>0.45</v>
      </c>
      <c r="G67" s="12">
        <v>4</v>
      </c>
      <c r="H67" s="8">
        <v>2.2599999999999998</v>
      </c>
      <c r="I67" s="12">
        <v>0</v>
      </c>
    </row>
    <row r="68" spans="2:9" ht="15" customHeight="1" x14ac:dyDescent="0.2">
      <c r="B68" t="s">
        <v>201</v>
      </c>
      <c r="C68" s="12">
        <v>5</v>
      </c>
      <c r="D68" s="8">
        <v>1.24</v>
      </c>
      <c r="E68" s="12">
        <v>5</v>
      </c>
      <c r="F68" s="8">
        <v>2.2400000000000002</v>
      </c>
      <c r="G68" s="12">
        <v>0</v>
      </c>
      <c r="H68" s="8">
        <v>0</v>
      </c>
      <c r="I68" s="12">
        <v>0</v>
      </c>
    </row>
    <row r="70" spans="2:9" ht="15" customHeight="1" x14ac:dyDescent="0.2">
      <c r="B70" t="s">
        <v>235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1C2C1D-5C6F-4A42-BDDB-76C88A814101}">
  <sheetPr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269</v>
      </c>
    </row>
    <row r="4" spans="2:9" ht="33" customHeight="1" x14ac:dyDescent="0.2">
      <c r="B4" t="s">
        <v>231</v>
      </c>
      <c r="C4" s="10" t="s">
        <v>59</v>
      </c>
      <c r="D4" s="10" t="s">
        <v>60</v>
      </c>
      <c r="E4" s="10" t="s">
        <v>61</v>
      </c>
      <c r="F4" s="10" t="s">
        <v>62</v>
      </c>
      <c r="G4" s="10" t="s">
        <v>63</v>
      </c>
      <c r="H4" s="10" t="s">
        <v>64</v>
      </c>
      <c r="I4" s="10" t="s">
        <v>65</v>
      </c>
    </row>
    <row r="5" spans="2:9" ht="15" customHeight="1" x14ac:dyDescent="0.2">
      <c r="B5" t="s">
        <v>43</v>
      </c>
      <c r="C5" s="12">
        <v>1</v>
      </c>
      <c r="D5" s="8">
        <v>0.82</v>
      </c>
      <c r="E5" s="12">
        <v>0</v>
      </c>
      <c r="F5" s="8">
        <v>0</v>
      </c>
      <c r="G5" s="12">
        <v>1</v>
      </c>
      <c r="H5" s="8">
        <v>2.04</v>
      </c>
      <c r="I5" s="12">
        <v>0</v>
      </c>
    </row>
    <row r="6" spans="2:9" ht="15" customHeight="1" x14ac:dyDescent="0.2">
      <c r="B6" t="s">
        <v>44</v>
      </c>
      <c r="C6" s="12">
        <v>19</v>
      </c>
      <c r="D6" s="8">
        <v>15.57</v>
      </c>
      <c r="E6" s="12">
        <v>8</v>
      </c>
      <c r="F6" s="8">
        <v>11.27</v>
      </c>
      <c r="G6" s="12">
        <v>11</v>
      </c>
      <c r="H6" s="8">
        <v>22.45</v>
      </c>
      <c r="I6" s="12">
        <v>0</v>
      </c>
    </row>
    <row r="7" spans="2:9" ht="15" customHeight="1" x14ac:dyDescent="0.2">
      <c r="B7" t="s">
        <v>45</v>
      </c>
      <c r="C7" s="12">
        <v>21</v>
      </c>
      <c r="D7" s="8">
        <v>17.21</v>
      </c>
      <c r="E7" s="12">
        <v>8</v>
      </c>
      <c r="F7" s="8">
        <v>11.27</v>
      </c>
      <c r="G7" s="12">
        <v>13</v>
      </c>
      <c r="H7" s="8">
        <v>26.53</v>
      </c>
      <c r="I7" s="12">
        <v>0</v>
      </c>
    </row>
    <row r="8" spans="2:9" ht="15" customHeight="1" x14ac:dyDescent="0.2">
      <c r="B8" t="s">
        <v>46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47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48</v>
      </c>
      <c r="C10" s="12">
        <v>2</v>
      </c>
      <c r="D10" s="8">
        <v>1.64</v>
      </c>
      <c r="E10" s="12">
        <v>0</v>
      </c>
      <c r="F10" s="8">
        <v>0</v>
      </c>
      <c r="G10" s="12">
        <v>2</v>
      </c>
      <c r="H10" s="8">
        <v>4.08</v>
      </c>
      <c r="I10" s="12">
        <v>0</v>
      </c>
    </row>
    <row r="11" spans="2:9" ht="15" customHeight="1" x14ac:dyDescent="0.2">
      <c r="B11" t="s">
        <v>49</v>
      </c>
      <c r="C11" s="12">
        <v>25</v>
      </c>
      <c r="D11" s="8">
        <v>20.49</v>
      </c>
      <c r="E11" s="12">
        <v>16</v>
      </c>
      <c r="F11" s="8">
        <v>22.54</v>
      </c>
      <c r="G11" s="12">
        <v>9</v>
      </c>
      <c r="H11" s="8">
        <v>18.37</v>
      </c>
      <c r="I11" s="12">
        <v>0</v>
      </c>
    </row>
    <row r="12" spans="2:9" ht="15" customHeight="1" x14ac:dyDescent="0.2">
      <c r="B12" t="s">
        <v>50</v>
      </c>
      <c r="C12" s="12">
        <v>2</v>
      </c>
      <c r="D12" s="8">
        <v>1.64</v>
      </c>
      <c r="E12" s="12">
        <v>0</v>
      </c>
      <c r="F12" s="8">
        <v>0</v>
      </c>
      <c r="G12" s="12">
        <v>2</v>
      </c>
      <c r="H12" s="8">
        <v>4.08</v>
      </c>
      <c r="I12" s="12">
        <v>0</v>
      </c>
    </row>
    <row r="13" spans="2:9" ht="15" customHeight="1" x14ac:dyDescent="0.2">
      <c r="B13" t="s">
        <v>51</v>
      </c>
      <c r="C13" s="12">
        <v>6</v>
      </c>
      <c r="D13" s="8">
        <v>4.92</v>
      </c>
      <c r="E13" s="12">
        <v>2</v>
      </c>
      <c r="F13" s="8">
        <v>2.82</v>
      </c>
      <c r="G13" s="12">
        <v>4</v>
      </c>
      <c r="H13" s="8">
        <v>8.16</v>
      </c>
      <c r="I13" s="12">
        <v>0</v>
      </c>
    </row>
    <row r="14" spans="2:9" ht="15" customHeight="1" x14ac:dyDescent="0.2">
      <c r="B14" t="s">
        <v>52</v>
      </c>
      <c r="C14" s="12">
        <v>4</v>
      </c>
      <c r="D14" s="8">
        <v>3.28</v>
      </c>
      <c r="E14" s="12">
        <v>1</v>
      </c>
      <c r="F14" s="8">
        <v>1.41</v>
      </c>
      <c r="G14" s="12">
        <v>3</v>
      </c>
      <c r="H14" s="8">
        <v>6.12</v>
      </c>
      <c r="I14" s="12">
        <v>0</v>
      </c>
    </row>
    <row r="15" spans="2:9" ht="15" customHeight="1" x14ac:dyDescent="0.2">
      <c r="B15" t="s">
        <v>53</v>
      </c>
      <c r="C15" s="12">
        <v>16</v>
      </c>
      <c r="D15" s="8">
        <v>13.11</v>
      </c>
      <c r="E15" s="12">
        <v>14</v>
      </c>
      <c r="F15" s="8">
        <v>19.72</v>
      </c>
      <c r="G15" s="12">
        <v>1</v>
      </c>
      <c r="H15" s="8">
        <v>2.04</v>
      </c>
      <c r="I15" s="12">
        <v>0</v>
      </c>
    </row>
    <row r="16" spans="2:9" ht="15" customHeight="1" x14ac:dyDescent="0.2">
      <c r="B16" t="s">
        <v>54</v>
      </c>
      <c r="C16" s="12">
        <v>13</v>
      </c>
      <c r="D16" s="8">
        <v>10.66</v>
      </c>
      <c r="E16" s="12">
        <v>12</v>
      </c>
      <c r="F16" s="8">
        <v>16.899999999999999</v>
      </c>
      <c r="G16" s="12">
        <v>1</v>
      </c>
      <c r="H16" s="8">
        <v>2.04</v>
      </c>
      <c r="I16" s="12">
        <v>0</v>
      </c>
    </row>
    <row r="17" spans="2:9" ht="15" customHeight="1" x14ac:dyDescent="0.2">
      <c r="B17" t="s">
        <v>55</v>
      </c>
      <c r="C17" s="12">
        <v>6</v>
      </c>
      <c r="D17" s="8">
        <v>4.92</v>
      </c>
      <c r="E17" s="12">
        <v>6</v>
      </c>
      <c r="F17" s="8">
        <v>8.4499999999999993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56</v>
      </c>
      <c r="C18" s="12">
        <v>3</v>
      </c>
      <c r="D18" s="8">
        <v>2.46</v>
      </c>
      <c r="E18" s="12">
        <v>2</v>
      </c>
      <c r="F18" s="8">
        <v>2.82</v>
      </c>
      <c r="G18" s="12">
        <v>1</v>
      </c>
      <c r="H18" s="8">
        <v>2.04</v>
      </c>
      <c r="I18" s="12">
        <v>0</v>
      </c>
    </row>
    <row r="19" spans="2:9" ht="15" customHeight="1" x14ac:dyDescent="0.2">
      <c r="B19" t="s">
        <v>57</v>
      </c>
      <c r="C19" s="12">
        <v>4</v>
      </c>
      <c r="D19" s="8">
        <v>3.28</v>
      </c>
      <c r="E19" s="12">
        <v>2</v>
      </c>
      <c r="F19" s="8">
        <v>2.82</v>
      </c>
      <c r="G19" s="12">
        <v>1</v>
      </c>
      <c r="H19" s="8">
        <v>2.04</v>
      </c>
      <c r="I19" s="12">
        <v>1</v>
      </c>
    </row>
    <row r="20" spans="2:9" ht="15" customHeight="1" x14ac:dyDescent="0.2">
      <c r="B20" s="9" t="s">
        <v>232</v>
      </c>
      <c r="C20" s="12">
        <f>SUM(LTBL_21501[総数／事業所数])</f>
        <v>122</v>
      </c>
      <c r="E20" s="12">
        <f>SUBTOTAL(109,LTBL_21501[個人／事業所数])</f>
        <v>71</v>
      </c>
      <c r="G20" s="12">
        <f>SUBTOTAL(109,LTBL_21501[法人／事業所数])</f>
        <v>49</v>
      </c>
      <c r="I20" s="12">
        <f>SUBTOTAL(109,LTBL_21501[法人以外の団体／事業所数])</f>
        <v>1</v>
      </c>
    </row>
    <row r="21" spans="2:9" ht="15" customHeight="1" x14ac:dyDescent="0.2">
      <c r="E21" s="11">
        <f>LTBL_21501[[#Totals],[個人／事業所数]]/LTBL_21501[[#Totals],[総数／事業所数]]</f>
        <v>0.58196721311475408</v>
      </c>
      <c r="G21" s="11">
        <f>LTBL_21501[[#Totals],[法人／事業所数]]/LTBL_21501[[#Totals],[総数／事業所数]]</f>
        <v>0.40163934426229508</v>
      </c>
      <c r="I21" s="11">
        <f>LTBL_21501[[#Totals],[法人以外の団体／事業所数]]/LTBL_21501[[#Totals],[総数／事業所数]]</f>
        <v>8.1967213114754103E-3</v>
      </c>
    </row>
    <row r="23" spans="2:9" ht="33" customHeight="1" x14ac:dyDescent="0.2">
      <c r="B23" t="s">
        <v>233</v>
      </c>
      <c r="C23" s="10" t="s">
        <v>59</v>
      </c>
      <c r="D23" s="10" t="s">
        <v>60</v>
      </c>
      <c r="E23" s="10" t="s">
        <v>61</v>
      </c>
      <c r="F23" s="10" t="s">
        <v>62</v>
      </c>
      <c r="G23" s="10" t="s">
        <v>63</v>
      </c>
      <c r="H23" s="10" t="s">
        <v>64</v>
      </c>
      <c r="I23" s="10" t="s">
        <v>65</v>
      </c>
    </row>
    <row r="24" spans="2:9" ht="15" customHeight="1" x14ac:dyDescent="0.2">
      <c r="B24" t="s">
        <v>81</v>
      </c>
      <c r="C24" s="12">
        <v>13</v>
      </c>
      <c r="D24" s="8">
        <v>10.66</v>
      </c>
      <c r="E24" s="12">
        <v>12</v>
      </c>
      <c r="F24" s="8">
        <v>16.899999999999999</v>
      </c>
      <c r="G24" s="12">
        <v>1</v>
      </c>
      <c r="H24" s="8">
        <v>2.04</v>
      </c>
      <c r="I24" s="12">
        <v>0</v>
      </c>
    </row>
    <row r="25" spans="2:9" ht="15" customHeight="1" x14ac:dyDescent="0.2">
      <c r="B25" t="s">
        <v>82</v>
      </c>
      <c r="C25" s="12">
        <v>12</v>
      </c>
      <c r="D25" s="8">
        <v>9.84</v>
      </c>
      <c r="E25" s="12">
        <v>11</v>
      </c>
      <c r="F25" s="8">
        <v>15.49</v>
      </c>
      <c r="G25" s="12">
        <v>1</v>
      </c>
      <c r="H25" s="8">
        <v>2.04</v>
      </c>
      <c r="I25" s="12">
        <v>0</v>
      </c>
    </row>
    <row r="26" spans="2:9" ht="15" customHeight="1" x14ac:dyDescent="0.2">
      <c r="B26" t="s">
        <v>76</v>
      </c>
      <c r="C26" s="12">
        <v>8</v>
      </c>
      <c r="D26" s="8">
        <v>6.56</v>
      </c>
      <c r="E26" s="12">
        <v>7</v>
      </c>
      <c r="F26" s="8">
        <v>9.86</v>
      </c>
      <c r="G26" s="12">
        <v>1</v>
      </c>
      <c r="H26" s="8">
        <v>2.04</v>
      </c>
      <c r="I26" s="12">
        <v>0</v>
      </c>
    </row>
    <row r="27" spans="2:9" ht="15" customHeight="1" x14ac:dyDescent="0.2">
      <c r="B27" t="s">
        <v>66</v>
      </c>
      <c r="C27" s="12">
        <v>7</v>
      </c>
      <c r="D27" s="8">
        <v>5.74</v>
      </c>
      <c r="E27" s="12">
        <v>2</v>
      </c>
      <c r="F27" s="8">
        <v>2.82</v>
      </c>
      <c r="G27" s="12">
        <v>5</v>
      </c>
      <c r="H27" s="8">
        <v>10.199999999999999</v>
      </c>
      <c r="I27" s="12">
        <v>0</v>
      </c>
    </row>
    <row r="28" spans="2:9" ht="15" customHeight="1" x14ac:dyDescent="0.2">
      <c r="B28" t="s">
        <v>67</v>
      </c>
      <c r="C28" s="12">
        <v>6</v>
      </c>
      <c r="D28" s="8">
        <v>4.92</v>
      </c>
      <c r="E28" s="12">
        <v>5</v>
      </c>
      <c r="F28" s="8">
        <v>7.04</v>
      </c>
      <c r="G28" s="12">
        <v>1</v>
      </c>
      <c r="H28" s="8">
        <v>2.04</v>
      </c>
      <c r="I28" s="12">
        <v>0</v>
      </c>
    </row>
    <row r="29" spans="2:9" ht="15" customHeight="1" x14ac:dyDescent="0.2">
      <c r="B29" t="s">
        <v>68</v>
      </c>
      <c r="C29" s="12">
        <v>6</v>
      </c>
      <c r="D29" s="8">
        <v>4.92</v>
      </c>
      <c r="E29" s="12">
        <v>1</v>
      </c>
      <c r="F29" s="8">
        <v>1.41</v>
      </c>
      <c r="G29" s="12">
        <v>5</v>
      </c>
      <c r="H29" s="8">
        <v>10.199999999999999</v>
      </c>
      <c r="I29" s="12">
        <v>0</v>
      </c>
    </row>
    <row r="30" spans="2:9" ht="15" customHeight="1" x14ac:dyDescent="0.2">
      <c r="B30" t="s">
        <v>71</v>
      </c>
      <c r="C30" s="12">
        <v>6</v>
      </c>
      <c r="D30" s="8">
        <v>4.92</v>
      </c>
      <c r="E30" s="12">
        <v>3</v>
      </c>
      <c r="F30" s="8">
        <v>4.2300000000000004</v>
      </c>
      <c r="G30" s="12">
        <v>3</v>
      </c>
      <c r="H30" s="8">
        <v>6.12</v>
      </c>
      <c r="I30" s="12">
        <v>0</v>
      </c>
    </row>
    <row r="31" spans="2:9" ht="15" customHeight="1" x14ac:dyDescent="0.2">
      <c r="B31" t="s">
        <v>83</v>
      </c>
      <c r="C31" s="12">
        <v>6</v>
      </c>
      <c r="D31" s="8">
        <v>4.92</v>
      </c>
      <c r="E31" s="12">
        <v>6</v>
      </c>
      <c r="F31" s="8">
        <v>8.4499999999999993</v>
      </c>
      <c r="G31" s="12">
        <v>0</v>
      </c>
      <c r="H31" s="8">
        <v>0</v>
      </c>
      <c r="I31" s="12">
        <v>0</v>
      </c>
    </row>
    <row r="32" spans="2:9" ht="15" customHeight="1" x14ac:dyDescent="0.2">
      <c r="B32" t="s">
        <v>87</v>
      </c>
      <c r="C32" s="12">
        <v>5</v>
      </c>
      <c r="D32" s="8">
        <v>4.0999999999999996</v>
      </c>
      <c r="E32" s="12">
        <v>1</v>
      </c>
      <c r="F32" s="8">
        <v>1.41</v>
      </c>
      <c r="G32" s="12">
        <v>4</v>
      </c>
      <c r="H32" s="8">
        <v>8.16</v>
      </c>
      <c r="I32" s="12">
        <v>0</v>
      </c>
    </row>
    <row r="33" spans="2:9" ht="15" customHeight="1" x14ac:dyDescent="0.2">
      <c r="B33" t="s">
        <v>78</v>
      </c>
      <c r="C33" s="12">
        <v>5</v>
      </c>
      <c r="D33" s="8">
        <v>4.0999999999999996</v>
      </c>
      <c r="E33" s="12">
        <v>1</v>
      </c>
      <c r="F33" s="8">
        <v>1.41</v>
      </c>
      <c r="G33" s="12">
        <v>4</v>
      </c>
      <c r="H33" s="8">
        <v>8.16</v>
      </c>
      <c r="I33" s="12">
        <v>0</v>
      </c>
    </row>
    <row r="34" spans="2:9" ht="15" customHeight="1" x14ac:dyDescent="0.2">
      <c r="B34" t="s">
        <v>77</v>
      </c>
      <c r="C34" s="12">
        <v>4</v>
      </c>
      <c r="D34" s="8">
        <v>3.28</v>
      </c>
      <c r="E34" s="12">
        <v>2</v>
      </c>
      <c r="F34" s="8">
        <v>2.82</v>
      </c>
      <c r="G34" s="12">
        <v>2</v>
      </c>
      <c r="H34" s="8">
        <v>4.08</v>
      </c>
      <c r="I34" s="12">
        <v>0</v>
      </c>
    </row>
    <row r="35" spans="2:9" ht="15" customHeight="1" x14ac:dyDescent="0.2">
      <c r="B35" t="s">
        <v>70</v>
      </c>
      <c r="C35" s="12">
        <v>3</v>
      </c>
      <c r="D35" s="8">
        <v>2.46</v>
      </c>
      <c r="E35" s="12">
        <v>1</v>
      </c>
      <c r="F35" s="8">
        <v>1.41</v>
      </c>
      <c r="G35" s="12">
        <v>2</v>
      </c>
      <c r="H35" s="8">
        <v>4.08</v>
      </c>
      <c r="I35" s="12">
        <v>0</v>
      </c>
    </row>
    <row r="36" spans="2:9" ht="15" customHeight="1" x14ac:dyDescent="0.2">
      <c r="B36" t="s">
        <v>101</v>
      </c>
      <c r="C36" s="12">
        <v>3</v>
      </c>
      <c r="D36" s="8">
        <v>2.46</v>
      </c>
      <c r="E36" s="12">
        <v>1</v>
      </c>
      <c r="F36" s="8">
        <v>1.41</v>
      </c>
      <c r="G36" s="12">
        <v>2</v>
      </c>
      <c r="H36" s="8">
        <v>4.08</v>
      </c>
      <c r="I36" s="12">
        <v>0</v>
      </c>
    </row>
    <row r="37" spans="2:9" ht="15" customHeight="1" x14ac:dyDescent="0.2">
      <c r="B37" t="s">
        <v>100</v>
      </c>
      <c r="C37" s="12">
        <v>3</v>
      </c>
      <c r="D37" s="8">
        <v>2.46</v>
      </c>
      <c r="E37" s="12">
        <v>2</v>
      </c>
      <c r="F37" s="8">
        <v>2.82</v>
      </c>
      <c r="G37" s="12">
        <v>0</v>
      </c>
      <c r="H37" s="8">
        <v>0</v>
      </c>
      <c r="I37" s="12">
        <v>0</v>
      </c>
    </row>
    <row r="38" spans="2:9" ht="15" customHeight="1" x14ac:dyDescent="0.2">
      <c r="B38" t="s">
        <v>110</v>
      </c>
      <c r="C38" s="12">
        <v>2</v>
      </c>
      <c r="D38" s="8">
        <v>1.64</v>
      </c>
      <c r="E38" s="12">
        <v>1</v>
      </c>
      <c r="F38" s="8">
        <v>1.41</v>
      </c>
      <c r="G38" s="12">
        <v>1</v>
      </c>
      <c r="H38" s="8">
        <v>2.04</v>
      </c>
      <c r="I38" s="12">
        <v>0</v>
      </c>
    </row>
    <row r="39" spans="2:9" ht="15" customHeight="1" x14ac:dyDescent="0.2">
      <c r="B39" t="s">
        <v>111</v>
      </c>
      <c r="C39" s="12">
        <v>2</v>
      </c>
      <c r="D39" s="8">
        <v>1.64</v>
      </c>
      <c r="E39" s="12">
        <v>0</v>
      </c>
      <c r="F39" s="8">
        <v>0</v>
      </c>
      <c r="G39" s="12">
        <v>2</v>
      </c>
      <c r="H39" s="8">
        <v>4.08</v>
      </c>
      <c r="I39" s="12">
        <v>0</v>
      </c>
    </row>
    <row r="40" spans="2:9" ht="15" customHeight="1" x14ac:dyDescent="0.2">
      <c r="B40" t="s">
        <v>105</v>
      </c>
      <c r="C40" s="12">
        <v>2</v>
      </c>
      <c r="D40" s="8">
        <v>1.64</v>
      </c>
      <c r="E40" s="12">
        <v>1</v>
      </c>
      <c r="F40" s="8">
        <v>1.41</v>
      </c>
      <c r="G40" s="12">
        <v>1</v>
      </c>
      <c r="H40" s="8">
        <v>2.04</v>
      </c>
      <c r="I40" s="12">
        <v>0</v>
      </c>
    </row>
    <row r="41" spans="2:9" ht="15" customHeight="1" x14ac:dyDescent="0.2">
      <c r="B41" t="s">
        <v>75</v>
      </c>
      <c r="C41" s="12">
        <v>2</v>
      </c>
      <c r="D41" s="8">
        <v>1.64</v>
      </c>
      <c r="E41" s="12">
        <v>2</v>
      </c>
      <c r="F41" s="8">
        <v>2.82</v>
      </c>
      <c r="G41" s="12">
        <v>0</v>
      </c>
      <c r="H41" s="8">
        <v>0</v>
      </c>
      <c r="I41" s="12">
        <v>0</v>
      </c>
    </row>
    <row r="42" spans="2:9" ht="15" customHeight="1" x14ac:dyDescent="0.2">
      <c r="B42" t="s">
        <v>112</v>
      </c>
      <c r="C42" s="12">
        <v>2</v>
      </c>
      <c r="D42" s="8">
        <v>1.64</v>
      </c>
      <c r="E42" s="12">
        <v>0</v>
      </c>
      <c r="F42" s="8">
        <v>0</v>
      </c>
      <c r="G42" s="12">
        <v>2</v>
      </c>
      <c r="H42" s="8">
        <v>4.08</v>
      </c>
      <c r="I42" s="12">
        <v>0</v>
      </c>
    </row>
    <row r="43" spans="2:9" ht="15" customHeight="1" x14ac:dyDescent="0.2">
      <c r="B43" t="s">
        <v>79</v>
      </c>
      <c r="C43" s="12">
        <v>2</v>
      </c>
      <c r="D43" s="8">
        <v>1.64</v>
      </c>
      <c r="E43" s="12">
        <v>1</v>
      </c>
      <c r="F43" s="8">
        <v>1.41</v>
      </c>
      <c r="G43" s="12">
        <v>1</v>
      </c>
      <c r="H43" s="8">
        <v>2.04</v>
      </c>
      <c r="I43" s="12">
        <v>0</v>
      </c>
    </row>
    <row r="44" spans="2:9" ht="15" customHeight="1" x14ac:dyDescent="0.2">
      <c r="B44" t="s">
        <v>84</v>
      </c>
      <c r="C44" s="12">
        <v>2</v>
      </c>
      <c r="D44" s="8">
        <v>1.64</v>
      </c>
      <c r="E44" s="12">
        <v>2</v>
      </c>
      <c r="F44" s="8">
        <v>2.82</v>
      </c>
      <c r="G44" s="12">
        <v>0</v>
      </c>
      <c r="H44" s="8">
        <v>0</v>
      </c>
      <c r="I44" s="12">
        <v>0</v>
      </c>
    </row>
    <row r="45" spans="2:9" ht="15" customHeight="1" x14ac:dyDescent="0.2">
      <c r="B45" t="s">
        <v>85</v>
      </c>
      <c r="C45" s="12">
        <v>2</v>
      </c>
      <c r="D45" s="8">
        <v>1.64</v>
      </c>
      <c r="E45" s="12">
        <v>2</v>
      </c>
      <c r="F45" s="8">
        <v>2.82</v>
      </c>
      <c r="G45" s="12">
        <v>0</v>
      </c>
      <c r="H45" s="8">
        <v>0</v>
      </c>
      <c r="I45" s="12">
        <v>0</v>
      </c>
    </row>
    <row r="48" spans="2:9" ht="33" customHeight="1" x14ac:dyDescent="0.2">
      <c r="B48" t="s">
        <v>234</v>
      </c>
      <c r="C48" s="10" t="s">
        <v>59</v>
      </c>
      <c r="D48" s="10" t="s">
        <v>60</v>
      </c>
      <c r="E48" s="10" t="s">
        <v>61</v>
      </c>
      <c r="F48" s="10" t="s">
        <v>62</v>
      </c>
      <c r="G48" s="10" t="s">
        <v>63</v>
      </c>
      <c r="H48" s="10" t="s">
        <v>64</v>
      </c>
      <c r="I48" s="10" t="s">
        <v>65</v>
      </c>
    </row>
    <row r="49" spans="2:9" ht="15" customHeight="1" x14ac:dyDescent="0.2">
      <c r="B49" t="s">
        <v>136</v>
      </c>
      <c r="C49" s="12">
        <v>7</v>
      </c>
      <c r="D49" s="8">
        <v>5.74</v>
      </c>
      <c r="E49" s="12">
        <v>7</v>
      </c>
      <c r="F49" s="8">
        <v>9.86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138</v>
      </c>
      <c r="C50" s="12">
        <v>7</v>
      </c>
      <c r="D50" s="8">
        <v>5.74</v>
      </c>
      <c r="E50" s="12">
        <v>7</v>
      </c>
      <c r="F50" s="8">
        <v>9.86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123</v>
      </c>
      <c r="C51" s="12">
        <v>5</v>
      </c>
      <c r="D51" s="8">
        <v>4.0999999999999996</v>
      </c>
      <c r="E51" s="12">
        <v>1</v>
      </c>
      <c r="F51" s="8">
        <v>1.41</v>
      </c>
      <c r="G51" s="12">
        <v>4</v>
      </c>
      <c r="H51" s="8">
        <v>8.16</v>
      </c>
      <c r="I51" s="12">
        <v>0</v>
      </c>
    </row>
    <row r="52" spans="2:9" ht="15" customHeight="1" x14ac:dyDescent="0.2">
      <c r="B52" t="s">
        <v>128</v>
      </c>
      <c r="C52" s="12">
        <v>5</v>
      </c>
      <c r="D52" s="8">
        <v>4.0999999999999996</v>
      </c>
      <c r="E52" s="12">
        <v>5</v>
      </c>
      <c r="F52" s="8">
        <v>7.04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125</v>
      </c>
      <c r="C53" s="12">
        <v>4</v>
      </c>
      <c r="D53" s="8">
        <v>3.28</v>
      </c>
      <c r="E53" s="12">
        <v>0</v>
      </c>
      <c r="F53" s="8">
        <v>0</v>
      </c>
      <c r="G53" s="12">
        <v>4</v>
      </c>
      <c r="H53" s="8">
        <v>8.16</v>
      </c>
      <c r="I53" s="12">
        <v>0</v>
      </c>
    </row>
    <row r="54" spans="2:9" ht="15" customHeight="1" x14ac:dyDescent="0.2">
      <c r="B54" t="s">
        <v>153</v>
      </c>
      <c r="C54" s="12">
        <v>4</v>
      </c>
      <c r="D54" s="8">
        <v>3.28</v>
      </c>
      <c r="E54" s="12">
        <v>3</v>
      </c>
      <c r="F54" s="8">
        <v>4.2300000000000004</v>
      </c>
      <c r="G54" s="12">
        <v>1</v>
      </c>
      <c r="H54" s="8">
        <v>2.04</v>
      </c>
      <c r="I54" s="12">
        <v>0</v>
      </c>
    </row>
    <row r="55" spans="2:9" ht="15" customHeight="1" x14ac:dyDescent="0.2">
      <c r="B55" t="s">
        <v>139</v>
      </c>
      <c r="C55" s="12">
        <v>4</v>
      </c>
      <c r="D55" s="8">
        <v>3.28</v>
      </c>
      <c r="E55" s="12">
        <v>4</v>
      </c>
      <c r="F55" s="8">
        <v>5.63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165</v>
      </c>
      <c r="C56" s="12">
        <v>3</v>
      </c>
      <c r="D56" s="8">
        <v>2.46</v>
      </c>
      <c r="E56" s="12">
        <v>3</v>
      </c>
      <c r="F56" s="8">
        <v>4.2300000000000004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169</v>
      </c>
      <c r="C57" s="12">
        <v>3</v>
      </c>
      <c r="D57" s="8">
        <v>2.46</v>
      </c>
      <c r="E57" s="12">
        <v>1</v>
      </c>
      <c r="F57" s="8">
        <v>1.41</v>
      </c>
      <c r="G57" s="12">
        <v>2</v>
      </c>
      <c r="H57" s="8">
        <v>4.08</v>
      </c>
      <c r="I57" s="12">
        <v>0</v>
      </c>
    </row>
    <row r="58" spans="2:9" ht="15" customHeight="1" x14ac:dyDescent="0.2">
      <c r="B58" t="s">
        <v>163</v>
      </c>
      <c r="C58" s="12">
        <v>3</v>
      </c>
      <c r="D58" s="8">
        <v>2.46</v>
      </c>
      <c r="E58" s="12">
        <v>2</v>
      </c>
      <c r="F58" s="8">
        <v>2.82</v>
      </c>
      <c r="G58" s="12">
        <v>1</v>
      </c>
      <c r="H58" s="8">
        <v>2.04</v>
      </c>
      <c r="I58" s="12">
        <v>0</v>
      </c>
    </row>
    <row r="59" spans="2:9" ht="15" customHeight="1" x14ac:dyDescent="0.2">
      <c r="B59" t="s">
        <v>130</v>
      </c>
      <c r="C59" s="12">
        <v>3</v>
      </c>
      <c r="D59" s="8">
        <v>2.46</v>
      </c>
      <c r="E59" s="12">
        <v>1</v>
      </c>
      <c r="F59" s="8">
        <v>1.41</v>
      </c>
      <c r="G59" s="12">
        <v>2</v>
      </c>
      <c r="H59" s="8">
        <v>4.08</v>
      </c>
      <c r="I59" s="12">
        <v>0</v>
      </c>
    </row>
    <row r="60" spans="2:9" ht="15" customHeight="1" x14ac:dyDescent="0.2">
      <c r="B60" t="s">
        <v>131</v>
      </c>
      <c r="C60" s="12">
        <v>3</v>
      </c>
      <c r="D60" s="8">
        <v>2.46</v>
      </c>
      <c r="E60" s="12">
        <v>1</v>
      </c>
      <c r="F60" s="8">
        <v>1.41</v>
      </c>
      <c r="G60" s="12">
        <v>2</v>
      </c>
      <c r="H60" s="8">
        <v>4.08</v>
      </c>
      <c r="I60" s="12">
        <v>0</v>
      </c>
    </row>
    <row r="61" spans="2:9" ht="15" customHeight="1" x14ac:dyDescent="0.2">
      <c r="B61" t="s">
        <v>134</v>
      </c>
      <c r="C61" s="12">
        <v>3</v>
      </c>
      <c r="D61" s="8">
        <v>2.46</v>
      </c>
      <c r="E61" s="12">
        <v>3</v>
      </c>
      <c r="F61" s="8">
        <v>4.2300000000000004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137</v>
      </c>
      <c r="C62" s="12">
        <v>3</v>
      </c>
      <c r="D62" s="8">
        <v>2.46</v>
      </c>
      <c r="E62" s="12">
        <v>3</v>
      </c>
      <c r="F62" s="8">
        <v>4.2300000000000004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147</v>
      </c>
      <c r="C63" s="12">
        <v>2</v>
      </c>
      <c r="D63" s="8">
        <v>1.64</v>
      </c>
      <c r="E63" s="12">
        <v>1</v>
      </c>
      <c r="F63" s="8">
        <v>1.41</v>
      </c>
      <c r="G63" s="12">
        <v>1</v>
      </c>
      <c r="H63" s="8">
        <v>2.04</v>
      </c>
      <c r="I63" s="12">
        <v>0</v>
      </c>
    </row>
    <row r="64" spans="2:9" ht="15" customHeight="1" x14ac:dyDescent="0.2">
      <c r="B64" t="s">
        <v>158</v>
      </c>
      <c r="C64" s="12">
        <v>2</v>
      </c>
      <c r="D64" s="8">
        <v>1.64</v>
      </c>
      <c r="E64" s="12">
        <v>1</v>
      </c>
      <c r="F64" s="8">
        <v>1.41</v>
      </c>
      <c r="G64" s="12">
        <v>1</v>
      </c>
      <c r="H64" s="8">
        <v>2.04</v>
      </c>
      <c r="I64" s="12">
        <v>0</v>
      </c>
    </row>
    <row r="65" spans="2:9" ht="15" customHeight="1" x14ac:dyDescent="0.2">
      <c r="B65" t="s">
        <v>202</v>
      </c>
      <c r="C65" s="12">
        <v>2</v>
      </c>
      <c r="D65" s="8">
        <v>1.64</v>
      </c>
      <c r="E65" s="12">
        <v>0</v>
      </c>
      <c r="F65" s="8">
        <v>0</v>
      </c>
      <c r="G65" s="12">
        <v>2</v>
      </c>
      <c r="H65" s="8">
        <v>4.08</v>
      </c>
      <c r="I65" s="12">
        <v>0</v>
      </c>
    </row>
    <row r="66" spans="2:9" ht="15" customHeight="1" x14ac:dyDescent="0.2">
      <c r="B66" t="s">
        <v>203</v>
      </c>
      <c r="C66" s="12">
        <v>2</v>
      </c>
      <c r="D66" s="8">
        <v>1.64</v>
      </c>
      <c r="E66" s="12">
        <v>1</v>
      </c>
      <c r="F66" s="8">
        <v>1.41</v>
      </c>
      <c r="G66" s="12">
        <v>1</v>
      </c>
      <c r="H66" s="8">
        <v>2.04</v>
      </c>
      <c r="I66" s="12">
        <v>0</v>
      </c>
    </row>
    <row r="67" spans="2:9" ht="15" customHeight="1" x14ac:dyDescent="0.2">
      <c r="B67" t="s">
        <v>204</v>
      </c>
      <c r="C67" s="12">
        <v>2</v>
      </c>
      <c r="D67" s="8">
        <v>1.64</v>
      </c>
      <c r="E67" s="12">
        <v>0</v>
      </c>
      <c r="F67" s="8">
        <v>0</v>
      </c>
      <c r="G67" s="12">
        <v>2</v>
      </c>
      <c r="H67" s="8">
        <v>4.08</v>
      </c>
      <c r="I67" s="12">
        <v>0</v>
      </c>
    </row>
    <row r="68" spans="2:9" ht="15" customHeight="1" x14ac:dyDescent="0.2">
      <c r="B68" t="s">
        <v>205</v>
      </c>
      <c r="C68" s="12">
        <v>2</v>
      </c>
      <c r="D68" s="8">
        <v>1.64</v>
      </c>
      <c r="E68" s="12">
        <v>0</v>
      </c>
      <c r="F68" s="8">
        <v>0</v>
      </c>
      <c r="G68" s="12">
        <v>2</v>
      </c>
      <c r="H68" s="8">
        <v>4.08</v>
      </c>
      <c r="I68" s="12">
        <v>0</v>
      </c>
    </row>
    <row r="69" spans="2:9" ht="15" customHeight="1" x14ac:dyDescent="0.2">
      <c r="B69" t="s">
        <v>132</v>
      </c>
      <c r="C69" s="12">
        <v>2</v>
      </c>
      <c r="D69" s="8">
        <v>1.64</v>
      </c>
      <c r="E69" s="12">
        <v>0</v>
      </c>
      <c r="F69" s="8">
        <v>0</v>
      </c>
      <c r="G69" s="12">
        <v>2</v>
      </c>
      <c r="H69" s="8">
        <v>4.08</v>
      </c>
      <c r="I69" s="12">
        <v>0</v>
      </c>
    </row>
    <row r="70" spans="2:9" ht="15" customHeight="1" x14ac:dyDescent="0.2">
      <c r="B70" t="s">
        <v>195</v>
      </c>
      <c r="C70" s="12">
        <v>2</v>
      </c>
      <c r="D70" s="8">
        <v>1.64</v>
      </c>
      <c r="E70" s="12">
        <v>1</v>
      </c>
      <c r="F70" s="8">
        <v>1.41</v>
      </c>
      <c r="G70" s="12">
        <v>0</v>
      </c>
      <c r="H70" s="8">
        <v>0</v>
      </c>
      <c r="I70" s="12">
        <v>0</v>
      </c>
    </row>
    <row r="71" spans="2:9" ht="15" customHeight="1" x14ac:dyDescent="0.2">
      <c r="B71" t="s">
        <v>144</v>
      </c>
      <c r="C71" s="12">
        <v>2</v>
      </c>
      <c r="D71" s="8">
        <v>1.64</v>
      </c>
      <c r="E71" s="12">
        <v>1</v>
      </c>
      <c r="F71" s="8">
        <v>1.41</v>
      </c>
      <c r="G71" s="12">
        <v>1</v>
      </c>
      <c r="H71" s="8">
        <v>2.04</v>
      </c>
      <c r="I71" s="12">
        <v>0</v>
      </c>
    </row>
    <row r="72" spans="2:9" ht="15" customHeight="1" x14ac:dyDescent="0.2">
      <c r="B72" t="s">
        <v>145</v>
      </c>
      <c r="C72" s="12">
        <v>2</v>
      </c>
      <c r="D72" s="8">
        <v>1.64</v>
      </c>
      <c r="E72" s="12">
        <v>2</v>
      </c>
      <c r="F72" s="8">
        <v>2.82</v>
      </c>
      <c r="G72" s="12">
        <v>0</v>
      </c>
      <c r="H72" s="8">
        <v>0</v>
      </c>
      <c r="I72" s="12">
        <v>0</v>
      </c>
    </row>
    <row r="73" spans="2:9" ht="15" customHeight="1" x14ac:dyDescent="0.2">
      <c r="B73" t="s">
        <v>141</v>
      </c>
      <c r="C73" s="12">
        <v>2</v>
      </c>
      <c r="D73" s="8">
        <v>1.64</v>
      </c>
      <c r="E73" s="12">
        <v>2</v>
      </c>
      <c r="F73" s="8">
        <v>2.82</v>
      </c>
      <c r="G73" s="12">
        <v>0</v>
      </c>
      <c r="H73" s="8">
        <v>0</v>
      </c>
      <c r="I73" s="12">
        <v>0</v>
      </c>
    </row>
    <row r="75" spans="2:9" ht="15" customHeight="1" x14ac:dyDescent="0.2">
      <c r="B75" t="s">
        <v>235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57E85-07B6-40AF-B3E1-EE6414D8C837}">
  <sheetPr>
    <pageSetUpPr fitToPage="1"/>
  </sheetPr>
  <dimension ref="A1:I1037"/>
  <sheetViews>
    <sheetView workbookViewId="0"/>
  </sheetViews>
  <sheetFormatPr defaultRowHeight="13.2" x14ac:dyDescent="0.2"/>
  <cols>
    <col min="1" max="1" width="13" customWidth="1"/>
    <col min="2" max="2" width="45.77734375" customWidth="1"/>
    <col min="3" max="9" width="10.44140625" customWidth="1"/>
    <col min="10" max="10" width="27.109375" bestFit="1" customWidth="1"/>
  </cols>
  <sheetData>
    <row r="1" spans="1:9" ht="37.5" customHeight="1" x14ac:dyDescent="0.2">
      <c r="A1" s="6" t="s">
        <v>120</v>
      </c>
      <c r="B1" s="3" t="s">
        <v>229</v>
      </c>
      <c r="C1" s="7" t="s">
        <v>59</v>
      </c>
      <c r="D1" s="7" t="s">
        <v>60</v>
      </c>
      <c r="E1" s="7" t="s">
        <v>61</v>
      </c>
      <c r="F1" s="7" t="s">
        <v>62</v>
      </c>
      <c r="G1" s="7" t="s">
        <v>63</v>
      </c>
      <c r="H1" s="7" t="s">
        <v>64</v>
      </c>
      <c r="I1" s="7" t="s">
        <v>65</v>
      </c>
    </row>
    <row r="2" spans="1:9" x14ac:dyDescent="0.2">
      <c r="A2" s="1" t="s">
        <v>0</v>
      </c>
      <c r="C2" s="4"/>
      <c r="D2" s="8"/>
      <c r="E2" s="4"/>
      <c r="F2" s="8"/>
      <c r="G2" s="4"/>
      <c r="H2" s="8"/>
      <c r="I2" s="4"/>
    </row>
    <row r="3" spans="1:9" x14ac:dyDescent="0.2">
      <c r="A3" s="2">
        <v>1</v>
      </c>
      <c r="B3" s="1" t="s">
        <v>138</v>
      </c>
      <c r="C3" s="4">
        <v>2735</v>
      </c>
      <c r="D3" s="8">
        <v>4.8600000000000003</v>
      </c>
      <c r="E3" s="4">
        <v>2498</v>
      </c>
      <c r="F3" s="8">
        <v>7.95</v>
      </c>
      <c r="G3" s="4">
        <v>237</v>
      </c>
      <c r="H3" s="8">
        <v>0.98</v>
      </c>
      <c r="I3" s="4">
        <v>0</v>
      </c>
    </row>
    <row r="4" spans="1:9" x14ac:dyDescent="0.2">
      <c r="A4" s="2">
        <v>2</v>
      </c>
      <c r="B4" s="1" t="s">
        <v>136</v>
      </c>
      <c r="C4" s="4">
        <v>1942</v>
      </c>
      <c r="D4" s="8">
        <v>3.45</v>
      </c>
      <c r="E4" s="4">
        <v>1798</v>
      </c>
      <c r="F4" s="8">
        <v>5.72</v>
      </c>
      <c r="G4" s="4">
        <v>140</v>
      </c>
      <c r="H4" s="8">
        <v>0.57999999999999996</v>
      </c>
      <c r="I4" s="4">
        <v>4</v>
      </c>
    </row>
    <row r="5" spans="1:9" x14ac:dyDescent="0.2">
      <c r="A5" s="2">
        <v>3</v>
      </c>
      <c r="B5" s="1" t="s">
        <v>132</v>
      </c>
      <c r="C5" s="4">
        <v>1912</v>
      </c>
      <c r="D5" s="8">
        <v>3.4</v>
      </c>
      <c r="E5" s="4">
        <v>1196</v>
      </c>
      <c r="F5" s="8">
        <v>3.81</v>
      </c>
      <c r="G5" s="4">
        <v>708</v>
      </c>
      <c r="H5" s="8">
        <v>2.92</v>
      </c>
      <c r="I5" s="4">
        <v>5</v>
      </c>
    </row>
    <row r="6" spans="1:9" x14ac:dyDescent="0.2">
      <c r="A6" s="2">
        <v>4</v>
      </c>
      <c r="B6" s="1" t="s">
        <v>137</v>
      </c>
      <c r="C6" s="4">
        <v>1530</v>
      </c>
      <c r="D6" s="8">
        <v>2.72</v>
      </c>
      <c r="E6" s="4">
        <v>1481</v>
      </c>
      <c r="F6" s="8">
        <v>4.71</v>
      </c>
      <c r="G6" s="4">
        <v>49</v>
      </c>
      <c r="H6" s="8">
        <v>0.2</v>
      </c>
      <c r="I6" s="4">
        <v>0</v>
      </c>
    </row>
    <row r="7" spans="1:9" x14ac:dyDescent="0.2">
      <c r="A7" s="2">
        <v>4</v>
      </c>
      <c r="B7" s="1" t="s">
        <v>140</v>
      </c>
      <c r="C7" s="4">
        <v>1530</v>
      </c>
      <c r="D7" s="8">
        <v>2.72</v>
      </c>
      <c r="E7" s="4">
        <v>1458</v>
      </c>
      <c r="F7" s="8">
        <v>4.6399999999999997</v>
      </c>
      <c r="G7" s="4">
        <v>72</v>
      </c>
      <c r="H7" s="8">
        <v>0.3</v>
      </c>
      <c r="I7" s="4">
        <v>0</v>
      </c>
    </row>
    <row r="8" spans="1:9" x14ac:dyDescent="0.2">
      <c r="A8" s="2">
        <v>6</v>
      </c>
      <c r="B8" s="1" t="s">
        <v>134</v>
      </c>
      <c r="C8" s="4">
        <v>1358</v>
      </c>
      <c r="D8" s="8">
        <v>2.41</v>
      </c>
      <c r="E8" s="4">
        <v>1097</v>
      </c>
      <c r="F8" s="8">
        <v>3.49</v>
      </c>
      <c r="G8" s="4">
        <v>261</v>
      </c>
      <c r="H8" s="8">
        <v>1.08</v>
      </c>
      <c r="I8" s="4">
        <v>0</v>
      </c>
    </row>
    <row r="9" spans="1:9" x14ac:dyDescent="0.2">
      <c r="A9" s="2">
        <v>7</v>
      </c>
      <c r="B9" s="1" t="s">
        <v>128</v>
      </c>
      <c r="C9" s="4">
        <v>1296</v>
      </c>
      <c r="D9" s="8">
        <v>2.2999999999999998</v>
      </c>
      <c r="E9" s="4">
        <v>723</v>
      </c>
      <c r="F9" s="8">
        <v>2.2999999999999998</v>
      </c>
      <c r="G9" s="4">
        <v>573</v>
      </c>
      <c r="H9" s="8">
        <v>2.37</v>
      </c>
      <c r="I9" s="4">
        <v>0</v>
      </c>
    </row>
    <row r="10" spans="1:9" x14ac:dyDescent="0.2">
      <c r="A10" s="2">
        <v>8</v>
      </c>
      <c r="B10" s="1" t="s">
        <v>122</v>
      </c>
      <c r="C10" s="4">
        <v>1218</v>
      </c>
      <c r="D10" s="8">
        <v>2.16</v>
      </c>
      <c r="E10" s="4">
        <v>253</v>
      </c>
      <c r="F10" s="8">
        <v>0.81</v>
      </c>
      <c r="G10" s="4">
        <v>965</v>
      </c>
      <c r="H10" s="8">
        <v>3.98</v>
      </c>
      <c r="I10" s="4">
        <v>0</v>
      </c>
    </row>
    <row r="11" spans="1:9" x14ac:dyDescent="0.2">
      <c r="A11" s="2">
        <v>9</v>
      </c>
      <c r="B11" s="1" t="s">
        <v>139</v>
      </c>
      <c r="C11" s="4">
        <v>1148</v>
      </c>
      <c r="D11" s="8">
        <v>2.04</v>
      </c>
      <c r="E11" s="4">
        <v>924</v>
      </c>
      <c r="F11" s="8">
        <v>2.94</v>
      </c>
      <c r="G11" s="4">
        <v>221</v>
      </c>
      <c r="H11" s="8">
        <v>0.91</v>
      </c>
      <c r="I11" s="4">
        <v>3</v>
      </c>
    </row>
    <row r="12" spans="1:9" x14ac:dyDescent="0.2">
      <c r="A12" s="2">
        <v>10</v>
      </c>
      <c r="B12" s="1" t="s">
        <v>130</v>
      </c>
      <c r="C12" s="4">
        <v>1008</v>
      </c>
      <c r="D12" s="8">
        <v>1.79</v>
      </c>
      <c r="E12" s="4">
        <v>657</v>
      </c>
      <c r="F12" s="8">
        <v>2.09</v>
      </c>
      <c r="G12" s="4">
        <v>350</v>
      </c>
      <c r="H12" s="8">
        <v>1.44</v>
      </c>
      <c r="I12" s="4">
        <v>1</v>
      </c>
    </row>
    <row r="13" spans="1:9" x14ac:dyDescent="0.2">
      <c r="A13" s="2">
        <v>11</v>
      </c>
      <c r="B13" s="1" t="s">
        <v>124</v>
      </c>
      <c r="C13" s="4">
        <v>981</v>
      </c>
      <c r="D13" s="8">
        <v>1.74</v>
      </c>
      <c r="E13" s="4">
        <v>498</v>
      </c>
      <c r="F13" s="8">
        <v>1.58</v>
      </c>
      <c r="G13" s="4">
        <v>483</v>
      </c>
      <c r="H13" s="8">
        <v>1.99</v>
      </c>
      <c r="I13" s="4">
        <v>0</v>
      </c>
    </row>
    <row r="14" spans="1:9" x14ac:dyDescent="0.2">
      <c r="A14" s="2">
        <v>12</v>
      </c>
      <c r="B14" s="1" t="s">
        <v>123</v>
      </c>
      <c r="C14" s="4">
        <v>890</v>
      </c>
      <c r="D14" s="8">
        <v>1.58</v>
      </c>
      <c r="E14" s="4">
        <v>211</v>
      </c>
      <c r="F14" s="8">
        <v>0.67</v>
      </c>
      <c r="G14" s="4">
        <v>679</v>
      </c>
      <c r="H14" s="8">
        <v>2.8</v>
      </c>
      <c r="I14" s="4">
        <v>0</v>
      </c>
    </row>
    <row r="15" spans="1:9" x14ac:dyDescent="0.2">
      <c r="A15" s="2">
        <v>13</v>
      </c>
      <c r="B15" s="1" t="s">
        <v>125</v>
      </c>
      <c r="C15" s="4">
        <v>855</v>
      </c>
      <c r="D15" s="8">
        <v>1.52</v>
      </c>
      <c r="E15" s="4">
        <v>336</v>
      </c>
      <c r="F15" s="8">
        <v>1.07</v>
      </c>
      <c r="G15" s="4">
        <v>519</v>
      </c>
      <c r="H15" s="8">
        <v>2.14</v>
      </c>
      <c r="I15" s="4">
        <v>0</v>
      </c>
    </row>
    <row r="16" spans="1:9" x14ac:dyDescent="0.2">
      <c r="A16" s="2">
        <v>14</v>
      </c>
      <c r="B16" s="1" t="s">
        <v>135</v>
      </c>
      <c r="C16" s="4">
        <v>843</v>
      </c>
      <c r="D16" s="8">
        <v>1.5</v>
      </c>
      <c r="E16" s="4">
        <v>788</v>
      </c>
      <c r="F16" s="8">
        <v>2.5099999999999998</v>
      </c>
      <c r="G16" s="4">
        <v>55</v>
      </c>
      <c r="H16" s="8">
        <v>0.23</v>
      </c>
      <c r="I16" s="4">
        <v>0</v>
      </c>
    </row>
    <row r="17" spans="1:9" x14ac:dyDescent="0.2">
      <c r="A17" s="2">
        <v>15</v>
      </c>
      <c r="B17" s="1" t="s">
        <v>129</v>
      </c>
      <c r="C17" s="4">
        <v>771</v>
      </c>
      <c r="D17" s="8">
        <v>1.37</v>
      </c>
      <c r="E17" s="4">
        <v>333</v>
      </c>
      <c r="F17" s="8">
        <v>1.06</v>
      </c>
      <c r="G17" s="4">
        <v>438</v>
      </c>
      <c r="H17" s="8">
        <v>1.81</v>
      </c>
      <c r="I17" s="4">
        <v>0</v>
      </c>
    </row>
    <row r="18" spans="1:9" x14ac:dyDescent="0.2">
      <c r="A18" s="2">
        <v>15</v>
      </c>
      <c r="B18" s="1" t="s">
        <v>131</v>
      </c>
      <c r="C18" s="4">
        <v>771</v>
      </c>
      <c r="D18" s="8">
        <v>1.37</v>
      </c>
      <c r="E18" s="4">
        <v>205</v>
      </c>
      <c r="F18" s="8">
        <v>0.65</v>
      </c>
      <c r="G18" s="4">
        <v>565</v>
      </c>
      <c r="H18" s="8">
        <v>2.33</v>
      </c>
      <c r="I18" s="4">
        <v>0</v>
      </c>
    </row>
    <row r="19" spans="1:9" x14ac:dyDescent="0.2">
      <c r="A19" s="2">
        <v>17</v>
      </c>
      <c r="B19" s="1" t="s">
        <v>133</v>
      </c>
      <c r="C19" s="4">
        <v>762</v>
      </c>
      <c r="D19" s="8">
        <v>1.35</v>
      </c>
      <c r="E19" s="4">
        <v>295</v>
      </c>
      <c r="F19" s="8">
        <v>0.94</v>
      </c>
      <c r="G19" s="4">
        <v>442</v>
      </c>
      <c r="H19" s="8">
        <v>1.82</v>
      </c>
      <c r="I19" s="4">
        <v>1</v>
      </c>
    </row>
    <row r="20" spans="1:9" x14ac:dyDescent="0.2">
      <c r="A20" s="2">
        <v>18</v>
      </c>
      <c r="B20" s="1" t="s">
        <v>126</v>
      </c>
      <c r="C20" s="4">
        <v>739</v>
      </c>
      <c r="D20" s="8">
        <v>1.31</v>
      </c>
      <c r="E20" s="4">
        <v>445</v>
      </c>
      <c r="F20" s="8">
        <v>1.42</v>
      </c>
      <c r="G20" s="4">
        <v>294</v>
      </c>
      <c r="H20" s="8">
        <v>1.21</v>
      </c>
      <c r="I20" s="4">
        <v>0</v>
      </c>
    </row>
    <row r="21" spans="1:9" x14ac:dyDescent="0.2">
      <c r="A21" s="2">
        <v>19</v>
      </c>
      <c r="B21" s="1" t="s">
        <v>141</v>
      </c>
      <c r="C21" s="4">
        <v>735</v>
      </c>
      <c r="D21" s="8">
        <v>1.31</v>
      </c>
      <c r="E21" s="4">
        <v>546</v>
      </c>
      <c r="F21" s="8">
        <v>1.74</v>
      </c>
      <c r="G21" s="4">
        <v>189</v>
      </c>
      <c r="H21" s="8">
        <v>0.78</v>
      </c>
      <c r="I21" s="4">
        <v>0</v>
      </c>
    </row>
    <row r="22" spans="1:9" x14ac:dyDescent="0.2">
      <c r="A22" s="2">
        <v>20</v>
      </c>
      <c r="B22" s="1" t="s">
        <v>127</v>
      </c>
      <c r="C22" s="4">
        <v>715</v>
      </c>
      <c r="D22" s="8">
        <v>1.27</v>
      </c>
      <c r="E22" s="4">
        <v>458</v>
      </c>
      <c r="F22" s="8">
        <v>1.46</v>
      </c>
      <c r="G22" s="4">
        <v>256</v>
      </c>
      <c r="H22" s="8">
        <v>1.06</v>
      </c>
      <c r="I22" s="4">
        <v>1</v>
      </c>
    </row>
    <row r="23" spans="1:9" x14ac:dyDescent="0.2">
      <c r="A23" s="1"/>
      <c r="C23" s="4"/>
      <c r="D23" s="8"/>
      <c r="E23" s="4"/>
      <c r="F23" s="8"/>
      <c r="G23" s="4"/>
      <c r="H23" s="8"/>
      <c r="I23" s="4"/>
    </row>
    <row r="24" spans="1:9" x14ac:dyDescent="0.2">
      <c r="A24" s="1" t="s">
        <v>1</v>
      </c>
      <c r="C24" s="4"/>
      <c r="D24" s="8"/>
      <c r="E24" s="4"/>
      <c r="F24" s="8"/>
      <c r="G24" s="4"/>
      <c r="H24" s="8"/>
      <c r="I24" s="4"/>
    </row>
    <row r="25" spans="1:9" x14ac:dyDescent="0.2">
      <c r="A25" s="2">
        <v>1</v>
      </c>
      <c r="B25" s="1" t="s">
        <v>132</v>
      </c>
      <c r="C25" s="4">
        <v>724</v>
      </c>
      <c r="D25" s="8">
        <v>6.16</v>
      </c>
      <c r="E25" s="4">
        <v>474</v>
      </c>
      <c r="F25" s="8">
        <v>7.92</v>
      </c>
      <c r="G25" s="4">
        <v>250</v>
      </c>
      <c r="H25" s="8">
        <v>4.41</v>
      </c>
      <c r="I25" s="4">
        <v>0</v>
      </c>
    </row>
    <row r="26" spans="1:9" x14ac:dyDescent="0.2">
      <c r="A26" s="2">
        <v>2</v>
      </c>
      <c r="B26" s="1" t="s">
        <v>138</v>
      </c>
      <c r="C26" s="4">
        <v>561</v>
      </c>
      <c r="D26" s="8">
        <v>4.78</v>
      </c>
      <c r="E26" s="4">
        <v>510</v>
      </c>
      <c r="F26" s="8">
        <v>8.52</v>
      </c>
      <c r="G26" s="4">
        <v>51</v>
      </c>
      <c r="H26" s="8">
        <v>0.9</v>
      </c>
      <c r="I26" s="4">
        <v>0</v>
      </c>
    </row>
    <row r="27" spans="1:9" x14ac:dyDescent="0.2">
      <c r="A27" s="2">
        <v>3</v>
      </c>
      <c r="B27" s="1" t="s">
        <v>136</v>
      </c>
      <c r="C27" s="4">
        <v>427</v>
      </c>
      <c r="D27" s="8">
        <v>3.64</v>
      </c>
      <c r="E27" s="4">
        <v>396</v>
      </c>
      <c r="F27" s="8">
        <v>6.62</v>
      </c>
      <c r="G27" s="4">
        <v>31</v>
      </c>
      <c r="H27" s="8">
        <v>0.55000000000000004</v>
      </c>
      <c r="I27" s="4">
        <v>0</v>
      </c>
    </row>
    <row r="28" spans="1:9" x14ac:dyDescent="0.2">
      <c r="A28" s="2">
        <v>4</v>
      </c>
      <c r="B28" s="1" t="s">
        <v>134</v>
      </c>
      <c r="C28" s="4">
        <v>335</v>
      </c>
      <c r="D28" s="8">
        <v>2.85</v>
      </c>
      <c r="E28" s="4">
        <v>272</v>
      </c>
      <c r="F28" s="8">
        <v>4.54</v>
      </c>
      <c r="G28" s="4">
        <v>63</v>
      </c>
      <c r="H28" s="8">
        <v>1.1100000000000001</v>
      </c>
      <c r="I28" s="4">
        <v>0</v>
      </c>
    </row>
    <row r="29" spans="1:9" x14ac:dyDescent="0.2">
      <c r="A29" s="2">
        <v>5</v>
      </c>
      <c r="B29" s="1" t="s">
        <v>140</v>
      </c>
      <c r="C29" s="4">
        <v>326</v>
      </c>
      <c r="D29" s="8">
        <v>2.78</v>
      </c>
      <c r="E29" s="4">
        <v>304</v>
      </c>
      <c r="F29" s="8">
        <v>5.08</v>
      </c>
      <c r="G29" s="4">
        <v>22</v>
      </c>
      <c r="H29" s="8">
        <v>0.39</v>
      </c>
      <c r="I29" s="4">
        <v>0</v>
      </c>
    </row>
    <row r="30" spans="1:9" x14ac:dyDescent="0.2">
      <c r="A30" s="2">
        <v>6</v>
      </c>
      <c r="B30" s="1" t="s">
        <v>131</v>
      </c>
      <c r="C30" s="4">
        <v>301</v>
      </c>
      <c r="D30" s="8">
        <v>2.56</v>
      </c>
      <c r="E30" s="4">
        <v>83</v>
      </c>
      <c r="F30" s="8">
        <v>1.39</v>
      </c>
      <c r="G30" s="4">
        <v>218</v>
      </c>
      <c r="H30" s="8">
        <v>3.85</v>
      </c>
      <c r="I30" s="4">
        <v>0</v>
      </c>
    </row>
    <row r="31" spans="1:9" x14ac:dyDescent="0.2">
      <c r="A31" s="2">
        <v>7</v>
      </c>
      <c r="B31" s="1" t="s">
        <v>137</v>
      </c>
      <c r="C31" s="4">
        <v>286</v>
      </c>
      <c r="D31" s="8">
        <v>2.4300000000000002</v>
      </c>
      <c r="E31" s="4">
        <v>276</v>
      </c>
      <c r="F31" s="8">
        <v>4.6100000000000003</v>
      </c>
      <c r="G31" s="4">
        <v>10</v>
      </c>
      <c r="H31" s="8">
        <v>0.18</v>
      </c>
      <c r="I31" s="4">
        <v>0</v>
      </c>
    </row>
    <row r="32" spans="1:9" x14ac:dyDescent="0.2">
      <c r="A32" s="2">
        <v>8</v>
      </c>
      <c r="B32" s="1" t="s">
        <v>130</v>
      </c>
      <c r="C32" s="4">
        <v>222</v>
      </c>
      <c r="D32" s="8">
        <v>1.89</v>
      </c>
      <c r="E32" s="4">
        <v>127</v>
      </c>
      <c r="F32" s="8">
        <v>2.12</v>
      </c>
      <c r="G32" s="4">
        <v>95</v>
      </c>
      <c r="H32" s="8">
        <v>1.68</v>
      </c>
      <c r="I32" s="4">
        <v>0</v>
      </c>
    </row>
    <row r="33" spans="1:9" x14ac:dyDescent="0.2">
      <c r="A33" s="2">
        <v>9</v>
      </c>
      <c r="B33" s="1" t="s">
        <v>142</v>
      </c>
      <c r="C33" s="4">
        <v>214</v>
      </c>
      <c r="D33" s="8">
        <v>1.82</v>
      </c>
      <c r="E33" s="4">
        <v>111</v>
      </c>
      <c r="F33" s="8">
        <v>1.85</v>
      </c>
      <c r="G33" s="4">
        <v>103</v>
      </c>
      <c r="H33" s="8">
        <v>1.82</v>
      </c>
      <c r="I33" s="4">
        <v>0</v>
      </c>
    </row>
    <row r="34" spans="1:9" x14ac:dyDescent="0.2">
      <c r="A34" s="2">
        <v>10</v>
      </c>
      <c r="B34" s="1" t="s">
        <v>128</v>
      </c>
      <c r="C34" s="4">
        <v>212</v>
      </c>
      <c r="D34" s="8">
        <v>1.8</v>
      </c>
      <c r="E34" s="4">
        <v>105</v>
      </c>
      <c r="F34" s="8">
        <v>1.75</v>
      </c>
      <c r="G34" s="4">
        <v>107</v>
      </c>
      <c r="H34" s="8">
        <v>1.89</v>
      </c>
      <c r="I34" s="4">
        <v>0</v>
      </c>
    </row>
    <row r="35" spans="1:9" x14ac:dyDescent="0.2">
      <c r="A35" s="2">
        <v>11</v>
      </c>
      <c r="B35" s="1" t="s">
        <v>135</v>
      </c>
      <c r="C35" s="4">
        <v>209</v>
      </c>
      <c r="D35" s="8">
        <v>1.78</v>
      </c>
      <c r="E35" s="4">
        <v>190</v>
      </c>
      <c r="F35" s="8">
        <v>3.17</v>
      </c>
      <c r="G35" s="4">
        <v>19</v>
      </c>
      <c r="H35" s="8">
        <v>0.34</v>
      </c>
      <c r="I35" s="4">
        <v>0</v>
      </c>
    </row>
    <row r="36" spans="1:9" x14ac:dyDescent="0.2">
      <c r="A36" s="2">
        <v>11</v>
      </c>
      <c r="B36" s="1" t="s">
        <v>143</v>
      </c>
      <c r="C36" s="4">
        <v>209</v>
      </c>
      <c r="D36" s="8">
        <v>1.78</v>
      </c>
      <c r="E36" s="4">
        <v>191</v>
      </c>
      <c r="F36" s="8">
        <v>3.19</v>
      </c>
      <c r="G36" s="4">
        <v>18</v>
      </c>
      <c r="H36" s="8">
        <v>0.32</v>
      </c>
      <c r="I36" s="4">
        <v>0</v>
      </c>
    </row>
    <row r="37" spans="1:9" x14ac:dyDescent="0.2">
      <c r="A37" s="2">
        <v>13</v>
      </c>
      <c r="B37" s="1" t="s">
        <v>139</v>
      </c>
      <c r="C37" s="4">
        <v>193</v>
      </c>
      <c r="D37" s="8">
        <v>1.64</v>
      </c>
      <c r="E37" s="4">
        <v>135</v>
      </c>
      <c r="F37" s="8">
        <v>2.2599999999999998</v>
      </c>
      <c r="G37" s="4">
        <v>58</v>
      </c>
      <c r="H37" s="8">
        <v>1.02</v>
      </c>
      <c r="I37" s="4">
        <v>0</v>
      </c>
    </row>
    <row r="38" spans="1:9" x14ac:dyDescent="0.2">
      <c r="A38" s="2">
        <v>14</v>
      </c>
      <c r="B38" s="1" t="s">
        <v>133</v>
      </c>
      <c r="C38" s="4">
        <v>175</v>
      </c>
      <c r="D38" s="8">
        <v>1.49</v>
      </c>
      <c r="E38" s="4">
        <v>52</v>
      </c>
      <c r="F38" s="8">
        <v>0.87</v>
      </c>
      <c r="G38" s="4">
        <v>119</v>
      </c>
      <c r="H38" s="8">
        <v>2.1</v>
      </c>
      <c r="I38" s="4">
        <v>0</v>
      </c>
    </row>
    <row r="39" spans="1:9" x14ac:dyDescent="0.2">
      <c r="A39" s="2">
        <v>15</v>
      </c>
      <c r="B39" s="1" t="s">
        <v>129</v>
      </c>
      <c r="C39" s="4">
        <v>174</v>
      </c>
      <c r="D39" s="8">
        <v>1.48</v>
      </c>
      <c r="E39" s="4">
        <v>64</v>
      </c>
      <c r="F39" s="8">
        <v>1.07</v>
      </c>
      <c r="G39" s="4">
        <v>110</v>
      </c>
      <c r="H39" s="8">
        <v>1.94</v>
      </c>
      <c r="I39" s="4">
        <v>0</v>
      </c>
    </row>
    <row r="40" spans="1:9" x14ac:dyDescent="0.2">
      <c r="A40" s="2">
        <v>16</v>
      </c>
      <c r="B40" s="1" t="s">
        <v>123</v>
      </c>
      <c r="C40" s="4">
        <v>165</v>
      </c>
      <c r="D40" s="8">
        <v>1.4</v>
      </c>
      <c r="E40" s="4">
        <v>18</v>
      </c>
      <c r="F40" s="8">
        <v>0.3</v>
      </c>
      <c r="G40" s="4">
        <v>147</v>
      </c>
      <c r="H40" s="8">
        <v>2.59</v>
      </c>
      <c r="I40" s="4">
        <v>0</v>
      </c>
    </row>
    <row r="41" spans="1:9" x14ac:dyDescent="0.2">
      <c r="A41" s="2">
        <v>16</v>
      </c>
      <c r="B41" s="1" t="s">
        <v>125</v>
      </c>
      <c r="C41" s="4">
        <v>165</v>
      </c>
      <c r="D41" s="8">
        <v>1.4</v>
      </c>
      <c r="E41" s="4">
        <v>49</v>
      </c>
      <c r="F41" s="8">
        <v>0.82</v>
      </c>
      <c r="G41" s="4">
        <v>116</v>
      </c>
      <c r="H41" s="8">
        <v>2.0499999999999998</v>
      </c>
      <c r="I41" s="4">
        <v>0</v>
      </c>
    </row>
    <row r="42" spans="1:9" x14ac:dyDescent="0.2">
      <c r="A42" s="2">
        <v>18</v>
      </c>
      <c r="B42" s="1" t="s">
        <v>144</v>
      </c>
      <c r="C42" s="4">
        <v>163</v>
      </c>
      <c r="D42" s="8">
        <v>1.39</v>
      </c>
      <c r="E42" s="4">
        <v>102</v>
      </c>
      <c r="F42" s="8">
        <v>1.7</v>
      </c>
      <c r="G42" s="4">
        <v>61</v>
      </c>
      <c r="H42" s="8">
        <v>1.08</v>
      </c>
      <c r="I42" s="4">
        <v>0</v>
      </c>
    </row>
    <row r="43" spans="1:9" x14ac:dyDescent="0.2">
      <c r="A43" s="2">
        <v>19</v>
      </c>
      <c r="B43" s="1" t="s">
        <v>141</v>
      </c>
      <c r="C43" s="4">
        <v>151</v>
      </c>
      <c r="D43" s="8">
        <v>1.29</v>
      </c>
      <c r="E43" s="4">
        <v>101</v>
      </c>
      <c r="F43" s="8">
        <v>1.69</v>
      </c>
      <c r="G43" s="4">
        <v>50</v>
      </c>
      <c r="H43" s="8">
        <v>0.88</v>
      </c>
      <c r="I43" s="4">
        <v>0</v>
      </c>
    </row>
    <row r="44" spans="1:9" x14ac:dyDescent="0.2">
      <c r="A44" s="2">
        <v>20</v>
      </c>
      <c r="B44" s="1" t="s">
        <v>145</v>
      </c>
      <c r="C44" s="4">
        <v>150</v>
      </c>
      <c r="D44" s="8">
        <v>1.28</v>
      </c>
      <c r="E44" s="4">
        <v>76</v>
      </c>
      <c r="F44" s="8">
        <v>1.27</v>
      </c>
      <c r="G44" s="4">
        <v>74</v>
      </c>
      <c r="H44" s="8">
        <v>1.31</v>
      </c>
      <c r="I44" s="4">
        <v>0</v>
      </c>
    </row>
    <row r="45" spans="1:9" x14ac:dyDescent="0.2">
      <c r="A45" s="1"/>
      <c r="C45" s="4"/>
      <c r="D45" s="8"/>
      <c r="E45" s="4"/>
      <c r="F45" s="8"/>
      <c r="G45" s="4"/>
      <c r="H45" s="8"/>
      <c r="I45" s="4"/>
    </row>
    <row r="46" spans="1:9" x14ac:dyDescent="0.2">
      <c r="A46" s="1" t="s">
        <v>2</v>
      </c>
      <c r="C46" s="4"/>
      <c r="D46" s="8"/>
      <c r="E46" s="4"/>
      <c r="F46" s="8"/>
      <c r="G46" s="4"/>
      <c r="H46" s="8"/>
      <c r="I46" s="4"/>
    </row>
    <row r="47" spans="1:9" x14ac:dyDescent="0.2">
      <c r="A47" s="2">
        <v>1</v>
      </c>
      <c r="B47" s="1" t="s">
        <v>138</v>
      </c>
      <c r="C47" s="4">
        <v>218</v>
      </c>
      <c r="D47" s="8">
        <v>5.36</v>
      </c>
      <c r="E47" s="4">
        <v>195</v>
      </c>
      <c r="F47" s="8">
        <v>8.8800000000000008</v>
      </c>
      <c r="G47" s="4">
        <v>23</v>
      </c>
      <c r="H47" s="8">
        <v>1.26</v>
      </c>
      <c r="I47" s="4">
        <v>0</v>
      </c>
    </row>
    <row r="48" spans="1:9" x14ac:dyDescent="0.2">
      <c r="A48" s="2">
        <v>2</v>
      </c>
      <c r="B48" s="1" t="s">
        <v>132</v>
      </c>
      <c r="C48" s="4">
        <v>185</v>
      </c>
      <c r="D48" s="8">
        <v>4.55</v>
      </c>
      <c r="E48" s="4">
        <v>115</v>
      </c>
      <c r="F48" s="8">
        <v>5.23</v>
      </c>
      <c r="G48" s="4">
        <v>66</v>
      </c>
      <c r="H48" s="8">
        <v>3.61</v>
      </c>
      <c r="I48" s="4">
        <v>4</v>
      </c>
    </row>
    <row r="49" spans="1:9" x14ac:dyDescent="0.2">
      <c r="A49" s="2">
        <v>3</v>
      </c>
      <c r="B49" s="1" t="s">
        <v>137</v>
      </c>
      <c r="C49" s="4">
        <v>122</v>
      </c>
      <c r="D49" s="8">
        <v>3</v>
      </c>
      <c r="E49" s="4">
        <v>118</v>
      </c>
      <c r="F49" s="8">
        <v>5.37</v>
      </c>
      <c r="G49" s="4">
        <v>4</v>
      </c>
      <c r="H49" s="8">
        <v>0.22</v>
      </c>
      <c r="I49" s="4">
        <v>0</v>
      </c>
    </row>
    <row r="50" spans="1:9" x14ac:dyDescent="0.2">
      <c r="A50" s="2">
        <v>4</v>
      </c>
      <c r="B50" s="1" t="s">
        <v>136</v>
      </c>
      <c r="C50" s="4">
        <v>120</v>
      </c>
      <c r="D50" s="8">
        <v>2.95</v>
      </c>
      <c r="E50" s="4">
        <v>104</v>
      </c>
      <c r="F50" s="8">
        <v>4.7300000000000004</v>
      </c>
      <c r="G50" s="4">
        <v>16</v>
      </c>
      <c r="H50" s="8">
        <v>0.88</v>
      </c>
      <c r="I50" s="4">
        <v>0</v>
      </c>
    </row>
    <row r="51" spans="1:9" x14ac:dyDescent="0.2">
      <c r="A51" s="2">
        <v>5</v>
      </c>
      <c r="B51" s="1" t="s">
        <v>128</v>
      </c>
      <c r="C51" s="4">
        <v>119</v>
      </c>
      <c r="D51" s="8">
        <v>2.93</v>
      </c>
      <c r="E51" s="4">
        <v>52</v>
      </c>
      <c r="F51" s="8">
        <v>2.37</v>
      </c>
      <c r="G51" s="4">
        <v>67</v>
      </c>
      <c r="H51" s="8">
        <v>3.67</v>
      </c>
      <c r="I51" s="4">
        <v>0</v>
      </c>
    </row>
    <row r="52" spans="1:9" x14ac:dyDescent="0.2">
      <c r="A52" s="2">
        <v>5</v>
      </c>
      <c r="B52" s="1" t="s">
        <v>140</v>
      </c>
      <c r="C52" s="4">
        <v>119</v>
      </c>
      <c r="D52" s="8">
        <v>2.93</v>
      </c>
      <c r="E52" s="4">
        <v>112</v>
      </c>
      <c r="F52" s="8">
        <v>5.0999999999999996</v>
      </c>
      <c r="G52" s="4">
        <v>7</v>
      </c>
      <c r="H52" s="8">
        <v>0.38</v>
      </c>
      <c r="I52" s="4">
        <v>0</v>
      </c>
    </row>
    <row r="53" spans="1:9" x14ac:dyDescent="0.2">
      <c r="A53" s="2">
        <v>7</v>
      </c>
      <c r="B53" s="1" t="s">
        <v>139</v>
      </c>
      <c r="C53" s="4">
        <v>97</v>
      </c>
      <c r="D53" s="8">
        <v>2.39</v>
      </c>
      <c r="E53" s="4">
        <v>79</v>
      </c>
      <c r="F53" s="8">
        <v>3.6</v>
      </c>
      <c r="G53" s="4">
        <v>18</v>
      </c>
      <c r="H53" s="8">
        <v>0.99</v>
      </c>
      <c r="I53" s="4">
        <v>0</v>
      </c>
    </row>
    <row r="54" spans="1:9" x14ac:dyDescent="0.2">
      <c r="A54" s="2">
        <v>8</v>
      </c>
      <c r="B54" s="1" t="s">
        <v>134</v>
      </c>
      <c r="C54" s="4">
        <v>95</v>
      </c>
      <c r="D54" s="8">
        <v>2.34</v>
      </c>
      <c r="E54" s="4">
        <v>75</v>
      </c>
      <c r="F54" s="8">
        <v>3.41</v>
      </c>
      <c r="G54" s="4">
        <v>20</v>
      </c>
      <c r="H54" s="8">
        <v>1.1000000000000001</v>
      </c>
      <c r="I54" s="4">
        <v>0</v>
      </c>
    </row>
    <row r="55" spans="1:9" x14ac:dyDescent="0.2">
      <c r="A55" s="2">
        <v>9</v>
      </c>
      <c r="B55" s="1" t="s">
        <v>130</v>
      </c>
      <c r="C55" s="4">
        <v>92</v>
      </c>
      <c r="D55" s="8">
        <v>2.2599999999999998</v>
      </c>
      <c r="E55" s="4">
        <v>63</v>
      </c>
      <c r="F55" s="8">
        <v>2.87</v>
      </c>
      <c r="G55" s="4">
        <v>29</v>
      </c>
      <c r="H55" s="8">
        <v>1.59</v>
      </c>
      <c r="I55" s="4">
        <v>0</v>
      </c>
    </row>
    <row r="56" spans="1:9" x14ac:dyDescent="0.2">
      <c r="A56" s="2">
        <v>10</v>
      </c>
      <c r="B56" s="1" t="s">
        <v>143</v>
      </c>
      <c r="C56" s="4">
        <v>77</v>
      </c>
      <c r="D56" s="8">
        <v>1.89</v>
      </c>
      <c r="E56" s="4">
        <v>76</v>
      </c>
      <c r="F56" s="8">
        <v>3.46</v>
      </c>
      <c r="G56" s="4">
        <v>1</v>
      </c>
      <c r="H56" s="8">
        <v>0.05</v>
      </c>
      <c r="I56" s="4">
        <v>0</v>
      </c>
    </row>
    <row r="57" spans="1:9" x14ac:dyDescent="0.2">
      <c r="A57" s="2">
        <v>11</v>
      </c>
      <c r="B57" s="1" t="s">
        <v>122</v>
      </c>
      <c r="C57" s="4">
        <v>66</v>
      </c>
      <c r="D57" s="8">
        <v>1.62</v>
      </c>
      <c r="E57" s="4">
        <v>7</v>
      </c>
      <c r="F57" s="8">
        <v>0.32</v>
      </c>
      <c r="G57" s="4">
        <v>59</v>
      </c>
      <c r="H57" s="8">
        <v>3.23</v>
      </c>
      <c r="I57" s="4">
        <v>0</v>
      </c>
    </row>
    <row r="58" spans="1:9" x14ac:dyDescent="0.2">
      <c r="A58" s="2">
        <v>11</v>
      </c>
      <c r="B58" s="1" t="s">
        <v>131</v>
      </c>
      <c r="C58" s="4">
        <v>66</v>
      </c>
      <c r="D58" s="8">
        <v>1.62</v>
      </c>
      <c r="E58" s="4">
        <v>16</v>
      </c>
      <c r="F58" s="8">
        <v>0.73</v>
      </c>
      <c r="G58" s="4">
        <v>50</v>
      </c>
      <c r="H58" s="8">
        <v>2.74</v>
      </c>
      <c r="I58" s="4">
        <v>0</v>
      </c>
    </row>
    <row r="59" spans="1:9" x14ac:dyDescent="0.2">
      <c r="A59" s="2">
        <v>13</v>
      </c>
      <c r="B59" s="1" t="s">
        <v>145</v>
      </c>
      <c r="C59" s="4">
        <v>62</v>
      </c>
      <c r="D59" s="8">
        <v>1.53</v>
      </c>
      <c r="E59" s="4">
        <v>32</v>
      </c>
      <c r="F59" s="8">
        <v>1.46</v>
      </c>
      <c r="G59" s="4">
        <v>30</v>
      </c>
      <c r="H59" s="8">
        <v>1.64</v>
      </c>
      <c r="I59" s="4">
        <v>0</v>
      </c>
    </row>
    <row r="60" spans="1:9" x14ac:dyDescent="0.2">
      <c r="A60" s="2">
        <v>14</v>
      </c>
      <c r="B60" s="1" t="s">
        <v>146</v>
      </c>
      <c r="C60" s="4">
        <v>61</v>
      </c>
      <c r="D60" s="8">
        <v>1.5</v>
      </c>
      <c r="E60" s="4">
        <v>50</v>
      </c>
      <c r="F60" s="8">
        <v>2.2799999999999998</v>
      </c>
      <c r="G60" s="4">
        <v>10</v>
      </c>
      <c r="H60" s="8">
        <v>0.55000000000000004</v>
      </c>
      <c r="I60" s="4">
        <v>0</v>
      </c>
    </row>
    <row r="61" spans="1:9" x14ac:dyDescent="0.2">
      <c r="A61" s="2">
        <v>15</v>
      </c>
      <c r="B61" s="1" t="s">
        <v>125</v>
      </c>
      <c r="C61" s="4">
        <v>59</v>
      </c>
      <c r="D61" s="8">
        <v>1.45</v>
      </c>
      <c r="E61" s="4">
        <v>27</v>
      </c>
      <c r="F61" s="8">
        <v>1.23</v>
      </c>
      <c r="G61" s="4">
        <v>32</v>
      </c>
      <c r="H61" s="8">
        <v>1.75</v>
      </c>
      <c r="I61" s="4">
        <v>0</v>
      </c>
    </row>
    <row r="62" spans="1:9" x14ac:dyDescent="0.2">
      <c r="A62" s="2">
        <v>15</v>
      </c>
      <c r="B62" s="1" t="s">
        <v>129</v>
      </c>
      <c r="C62" s="4">
        <v>59</v>
      </c>
      <c r="D62" s="8">
        <v>1.45</v>
      </c>
      <c r="E62" s="4">
        <v>27</v>
      </c>
      <c r="F62" s="8">
        <v>1.23</v>
      </c>
      <c r="G62" s="4">
        <v>32</v>
      </c>
      <c r="H62" s="8">
        <v>1.75</v>
      </c>
      <c r="I62" s="4">
        <v>0</v>
      </c>
    </row>
    <row r="63" spans="1:9" x14ac:dyDescent="0.2">
      <c r="A63" s="2">
        <v>15</v>
      </c>
      <c r="B63" s="1" t="s">
        <v>133</v>
      </c>
      <c r="C63" s="4">
        <v>59</v>
      </c>
      <c r="D63" s="8">
        <v>1.45</v>
      </c>
      <c r="E63" s="4">
        <v>27</v>
      </c>
      <c r="F63" s="8">
        <v>1.23</v>
      </c>
      <c r="G63" s="4">
        <v>31</v>
      </c>
      <c r="H63" s="8">
        <v>1.7</v>
      </c>
      <c r="I63" s="4">
        <v>0</v>
      </c>
    </row>
    <row r="64" spans="1:9" x14ac:dyDescent="0.2">
      <c r="A64" s="2">
        <v>18</v>
      </c>
      <c r="B64" s="1" t="s">
        <v>135</v>
      </c>
      <c r="C64" s="4">
        <v>50</v>
      </c>
      <c r="D64" s="8">
        <v>1.23</v>
      </c>
      <c r="E64" s="4">
        <v>45</v>
      </c>
      <c r="F64" s="8">
        <v>2.0499999999999998</v>
      </c>
      <c r="G64" s="4">
        <v>5</v>
      </c>
      <c r="H64" s="8">
        <v>0.27</v>
      </c>
      <c r="I64" s="4">
        <v>0</v>
      </c>
    </row>
    <row r="65" spans="1:9" x14ac:dyDescent="0.2">
      <c r="A65" s="2">
        <v>19</v>
      </c>
      <c r="B65" s="1" t="s">
        <v>123</v>
      </c>
      <c r="C65" s="4">
        <v>49</v>
      </c>
      <c r="D65" s="8">
        <v>1.21</v>
      </c>
      <c r="E65" s="4">
        <v>13</v>
      </c>
      <c r="F65" s="8">
        <v>0.59</v>
      </c>
      <c r="G65" s="4">
        <v>36</v>
      </c>
      <c r="H65" s="8">
        <v>1.97</v>
      </c>
      <c r="I65" s="4">
        <v>0</v>
      </c>
    </row>
    <row r="66" spans="1:9" x14ac:dyDescent="0.2">
      <c r="A66" s="2">
        <v>20</v>
      </c>
      <c r="B66" s="1" t="s">
        <v>144</v>
      </c>
      <c r="C66" s="4">
        <v>48</v>
      </c>
      <c r="D66" s="8">
        <v>1.18</v>
      </c>
      <c r="E66" s="4">
        <v>29</v>
      </c>
      <c r="F66" s="8">
        <v>1.32</v>
      </c>
      <c r="G66" s="4">
        <v>19</v>
      </c>
      <c r="H66" s="8">
        <v>1.04</v>
      </c>
      <c r="I66" s="4">
        <v>0</v>
      </c>
    </row>
    <row r="67" spans="1:9" x14ac:dyDescent="0.2">
      <c r="A67" s="1"/>
      <c r="C67" s="4"/>
      <c r="D67" s="8"/>
      <c r="E67" s="4"/>
      <c r="F67" s="8"/>
      <c r="G67" s="4"/>
      <c r="H67" s="8"/>
      <c r="I67" s="4"/>
    </row>
    <row r="68" spans="1:9" x14ac:dyDescent="0.2">
      <c r="A68" s="1" t="s">
        <v>3</v>
      </c>
      <c r="C68" s="4"/>
      <c r="D68" s="8"/>
      <c r="E68" s="4"/>
      <c r="F68" s="8"/>
      <c r="G68" s="4"/>
      <c r="H68" s="8"/>
      <c r="I68" s="4"/>
    </row>
    <row r="69" spans="1:9" x14ac:dyDescent="0.2">
      <c r="A69" s="2">
        <v>1</v>
      </c>
      <c r="B69" s="1" t="s">
        <v>138</v>
      </c>
      <c r="C69" s="4">
        <v>185</v>
      </c>
      <c r="D69" s="8">
        <v>4.6100000000000003</v>
      </c>
      <c r="E69" s="4">
        <v>170</v>
      </c>
      <c r="F69" s="8">
        <v>7.18</v>
      </c>
      <c r="G69" s="4">
        <v>15</v>
      </c>
      <c r="H69" s="8">
        <v>0.93</v>
      </c>
      <c r="I69" s="4">
        <v>0</v>
      </c>
    </row>
    <row r="70" spans="1:9" x14ac:dyDescent="0.2">
      <c r="A70" s="2">
        <v>2</v>
      </c>
      <c r="B70" s="1" t="s">
        <v>132</v>
      </c>
      <c r="C70" s="4">
        <v>164</v>
      </c>
      <c r="D70" s="8">
        <v>4.09</v>
      </c>
      <c r="E70" s="4">
        <v>117</v>
      </c>
      <c r="F70" s="8">
        <v>4.9400000000000004</v>
      </c>
      <c r="G70" s="4">
        <v>47</v>
      </c>
      <c r="H70" s="8">
        <v>2.9</v>
      </c>
      <c r="I70" s="4">
        <v>0</v>
      </c>
    </row>
    <row r="71" spans="1:9" x14ac:dyDescent="0.2">
      <c r="A71" s="2">
        <v>3</v>
      </c>
      <c r="B71" s="1" t="s">
        <v>134</v>
      </c>
      <c r="C71" s="4">
        <v>126</v>
      </c>
      <c r="D71" s="8">
        <v>3.14</v>
      </c>
      <c r="E71" s="4">
        <v>91</v>
      </c>
      <c r="F71" s="8">
        <v>3.84</v>
      </c>
      <c r="G71" s="4">
        <v>35</v>
      </c>
      <c r="H71" s="8">
        <v>2.16</v>
      </c>
      <c r="I71" s="4">
        <v>0</v>
      </c>
    </row>
    <row r="72" spans="1:9" x14ac:dyDescent="0.2">
      <c r="A72" s="2">
        <v>4</v>
      </c>
      <c r="B72" s="1" t="s">
        <v>149</v>
      </c>
      <c r="C72" s="4">
        <v>121</v>
      </c>
      <c r="D72" s="8">
        <v>3.02</v>
      </c>
      <c r="E72" s="4">
        <v>77</v>
      </c>
      <c r="F72" s="8">
        <v>3.25</v>
      </c>
      <c r="G72" s="4">
        <v>44</v>
      </c>
      <c r="H72" s="8">
        <v>2.72</v>
      </c>
      <c r="I72" s="4">
        <v>0</v>
      </c>
    </row>
    <row r="73" spans="1:9" x14ac:dyDescent="0.2">
      <c r="A73" s="2">
        <v>5</v>
      </c>
      <c r="B73" s="1" t="s">
        <v>136</v>
      </c>
      <c r="C73" s="4">
        <v>119</v>
      </c>
      <c r="D73" s="8">
        <v>2.97</v>
      </c>
      <c r="E73" s="4">
        <v>104</v>
      </c>
      <c r="F73" s="8">
        <v>4.3899999999999997</v>
      </c>
      <c r="G73" s="4">
        <v>15</v>
      </c>
      <c r="H73" s="8">
        <v>0.93</v>
      </c>
      <c r="I73" s="4">
        <v>0</v>
      </c>
    </row>
    <row r="74" spans="1:9" x14ac:dyDescent="0.2">
      <c r="A74" s="2">
        <v>6</v>
      </c>
      <c r="B74" s="1" t="s">
        <v>140</v>
      </c>
      <c r="C74" s="4">
        <v>111</v>
      </c>
      <c r="D74" s="8">
        <v>2.77</v>
      </c>
      <c r="E74" s="4">
        <v>110</v>
      </c>
      <c r="F74" s="8">
        <v>4.6500000000000004</v>
      </c>
      <c r="G74" s="4">
        <v>1</v>
      </c>
      <c r="H74" s="8">
        <v>0.06</v>
      </c>
      <c r="I74" s="4">
        <v>0</v>
      </c>
    </row>
    <row r="75" spans="1:9" x14ac:dyDescent="0.2">
      <c r="A75" s="2">
        <v>7</v>
      </c>
      <c r="B75" s="1" t="s">
        <v>122</v>
      </c>
      <c r="C75" s="4">
        <v>108</v>
      </c>
      <c r="D75" s="8">
        <v>2.69</v>
      </c>
      <c r="E75" s="4">
        <v>17</v>
      </c>
      <c r="F75" s="8">
        <v>0.72</v>
      </c>
      <c r="G75" s="4">
        <v>91</v>
      </c>
      <c r="H75" s="8">
        <v>5.62</v>
      </c>
      <c r="I75" s="4">
        <v>0</v>
      </c>
    </row>
    <row r="76" spans="1:9" x14ac:dyDescent="0.2">
      <c r="A76" s="2">
        <v>8</v>
      </c>
      <c r="B76" s="1" t="s">
        <v>135</v>
      </c>
      <c r="C76" s="4">
        <v>107</v>
      </c>
      <c r="D76" s="8">
        <v>2.67</v>
      </c>
      <c r="E76" s="4">
        <v>98</v>
      </c>
      <c r="F76" s="8">
        <v>4.1399999999999997</v>
      </c>
      <c r="G76" s="4">
        <v>9</v>
      </c>
      <c r="H76" s="8">
        <v>0.56000000000000005</v>
      </c>
      <c r="I76" s="4">
        <v>0</v>
      </c>
    </row>
    <row r="77" spans="1:9" x14ac:dyDescent="0.2">
      <c r="A77" s="2">
        <v>9</v>
      </c>
      <c r="B77" s="1" t="s">
        <v>130</v>
      </c>
      <c r="C77" s="4">
        <v>106</v>
      </c>
      <c r="D77" s="8">
        <v>2.64</v>
      </c>
      <c r="E77" s="4">
        <v>77</v>
      </c>
      <c r="F77" s="8">
        <v>3.25</v>
      </c>
      <c r="G77" s="4">
        <v>29</v>
      </c>
      <c r="H77" s="8">
        <v>1.79</v>
      </c>
      <c r="I77" s="4">
        <v>0</v>
      </c>
    </row>
    <row r="78" spans="1:9" x14ac:dyDescent="0.2">
      <c r="A78" s="2">
        <v>10</v>
      </c>
      <c r="B78" s="1" t="s">
        <v>124</v>
      </c>
      <c r="C78" s="4">
        <v>95</v>
      </c>
      <c r="D78" s="8">
        <v>2.37</v>
      </c>
      <c r="E78" s="4">
        <v>56</v>
      </c>
      <c r="F78" s="8">
        <v>2.37</v>
      </c>
      <c r="G78" s="4">
        <v>39</v>
      </c>
      <c r="H78" s="8">
        <v>2.41</v>
      </c>
      <c r="I78" s="4">
        <v>0</v>
      </c>
    </row>
    <row r="79" spans="1:9" x14ac:dyDescent="0.2">
      <c r="A79" s="2">
        <v>11</v>
      </c>
      <c r="B79" s="1" t="s">
        <v>143</v>
      </c>
      <c r="C79" s="4">
        <v>87</v>
      </c>
      <c r="D79" s="8">
        <v>2.17</v>
      </c>
      <c r="E79" s="4">
        <v>81</v>
      </c>
      <c r="F79" s="8">
        <v>3.42</v>
      </c>
      <c r="G79" s="4">
        <v>6</v>
      </c>
      <c r="H79" s="8">
        <v>0.37</v>
      </c>
      <c r="I79" s="4">
        <v>0</v>
      </c>
    </row>
    <row r="80" spans="1:9" x14ac:dyDescent="0.2">
      <c r="A80" s="2">
        <v>12</v>
      </c>
      <c r="B80" s="1" t="s">
        <v>137</v>
      </c>
      <c r="C80" s="4">
        <v>81</v>
      </c>
      <c r="D80" s="8">
        <v>2.02</v>
      </c>
      <c r="E80" s="4">
        <v>77</v>
      </c>
      <c r="F80" s="8">
        <v>3.25</v>
      </c>
      <c r="G80" s="4">
        <v>4</v>
      </c>
      <c r="H80" s="8">
        <v>0.25</v>
      </c>
      <c r="I80" s="4">
        <v>0</v>
      </c>
    </row>
    <row r="81" spans="1:9" x14ac:dyDescent="0.2">
      <c r="A81" s="2">
        <v>13</v>
      </c>
      <c r="B81" s="1" t="s">
        <v>139</v>
      </c>
      <c r="C81" s="4">
        <v>79</v>
      </c>
      <c r="D81" s="8">
        <v>1.97</v>
      </c>
      <c r="E81" s="4">
        <v>69</v>
      </c>
      <c r="F81" s="8">
        <v>2.92</v>
      </c>
      <c r="G81" s="4">
        <v>10</v>
      </c>
      <c r="H81" s="8">
        <v>0.62</v>
      </c>
      <c r="I81" s="4">
        <v>0</v>
      </c>
    </row>
    <row r="82" spans="1:9" x14ac:dyDescent="0.2">
      <c r="A82" s="2">
        <v>14</v>
      </c>
      <c r="B82" s="1" t="s">
        <v>148</v>
      </c>
      <c r="C82" s="4">
        <v>76</v>
      </c>
      <c r="D82" s="8">
        <v>1.89</v>
      </c>
      <c r="E82" s="4">
        <v>41</v>
      </c>
      <c r="F82" s="8">
        <v>1.73</v>
      </c>
      <c r="G82" s="4">
        <v>35</v>
      </c>
      <c r="H82" s="8">
        <v>2.16</v>
      </c>
      <c r="I82" s="4">
        <v>0</v>
      </c>
    </row>
    <row r="83" spans="1:9" x14ac:dyDescent="0.2">
      <c r="A83" s="2">
        <v>15</v>
      </c>
      <c r="B83" s="1" t="s">
        <v>128</v>
      </c>
      <c r="C83" s="4">
        <v>75</v>
      </c>
      <c r="D83" s="8">
        <v>1.87</v>
      </c>
      <c r="E83" s="4">
        <v>33</v>
      </c>
      <c r="F83" s="8">
        <v>1.39</v>
      </c>
      <c r="G83" s="4">
        <v>42</v>
      </c>
      <c r="H83" s="8">
        <v>2.59</v>
      </c>
      <c r="I83" s="4">
        <v>0</v>
      </c>
    </row>
    <row r="84" spans="1:9" x14ac:dyDescent="0.2">
      <c r="A84" s="2">
        <v>16</v>
      </c>
      <c r="B84" s="1" t="s">
        <v>133</v>
      </c>
      <c r="C84" s="4">
        <v>72</v>
      </c>
      <c r="D84" s="8">
        <v>1.79</v>
      </c>
      <c r="E84" s="4">
        <v>30</v>
      </c>
      <c r="F84" s="8">
        <v>1.27</v>
      </c>
      <c r="G84" s="4">
        <v>40</v>
      </c>
      <c r="H84" s="8">
        <v>2.4700000000000002</v>
      </c>
      <c r="I84" s="4">
        <v>0</v>
      </c>
    </row>
    <row r="85" spans="1:9" x14ac:dyDescent="0.2">
      <c r="A85" s="2">
        <v>17</v>
      </c>
      <c r="B85" s="1" t="s">
        <v>123</v>
      </c>
      <c r="C85" s="4">
        <v>65</v>
      </c>
      <c r="D85" s="8">
        <v>1.62</v>
      </c>
      <c r="E85" s="4">
        <v>13</v>
      </c>
      <c r="F85" s="8">
        <v>0.55000000000000004</v>
      </c>
      <c r="G85" s="4">
        <v>52</v>
      </c>
      <c r="H85" s="8">
        <v>3.21</v>
      </c>
      <c r="I85" s="4">
        <v>0</v>
      </c>
    </row>
    <row r="86" spans="1:9" x14ac:dyDescent="0.2">
      <c r="A86" s="2">
        <v>17</v>
      </c>
      <c r="B86" s="1" t="s">
        <v>127</v>
      </c>
      <c r="C86" s="4">
        <v>65</v>
      </c>
      <c r="D86" s="8">
        <v>1.62</v>
      </c>
      <c r="E86" s="4">
        <v>39</v>
      </c>
      <c r="F86" s="8">
        <v>1.65</v>
      </c>
      <c r="G86" s="4">
        <v>25</v>
      </c>
      <c r="H86" s="8">
        <v>1.54</v>
      </c>
      <c r="I86" s="4">
        <v>1</v>
      </c>
    </row>
    <row r="87" spans="1:9" x14ac:dyDescent="0.2">
      <c r="A87" s="2">
        <v>19</v>
      </c>
      <c r="B87" s="1" t="s">
        <v>144</v>
      </c>
      <c r="C87" s="4">
        <v>50</v>
      </c>
      <c r="D87" s="8">
        <v>1.25</v>
      </c>
      <c r="E87" s="4">
        <v>31</v>
      </c>
      <c r="F87" s="8">
        <v>1.31</v>
      </c>
      <c r="G87" s="4">
        <v>19</v>
      </c>
      <c r="H87" s="8">
        <v>1.17</v>
      </c>
      <c r="I87" s="4">
        <v>0</v>
      </c>
    </row>
    <row r="88" spans="1:9" x14ac:dyDescent="0.2">
      <c r="A88" s="2">
        <v>20</v>
      </c>
      <c r="B88" s="1" t="s">
        <v>147</v>
      </c>
      <c r="C88" s="4">
        <v>49</v>
      </c>
      <c r="D88" s="8">
        <v>1.22</v>
      </c>
      <c r="E88" s="4">
        <v>40</v>
      </c>
      <c r="F88" s="8">
        <v>1.69</v>
      </c>
      <c r="G88" s="4">
        <v>9</v>
      </c>
      <c r="H88" s="8">
        <v>0.56000000000000005</v>
      </c>
      <c r="I88" s="4">
        <v>0</v>
      </c>
    </row>
    <row r="89" spans="1:9" x14ac:dyDescent="0.2">
      <c r="A89" s="2">
        <v>20</v>
      </c>
      <c r="B89" s="1" t="s">
        <v>129</v>
      </c>
      <c r="C89" s="4">
        <v>49</v>
      </c>
      <c r="D89" s="8">
        <v>1.22</v>
      </c>
      <c r="E89" s="4">
        <v>20</v>
      </c>
      <c r="F89" s="8">
        <v>0.84</v>
      </c>
      <c r="G89" s="4">
        <v>29</v>
      </c>
      <c r="H89" s="8">
        <v>1.79</v>
      </c>
      <c r="I89" s="4">
        <v>0</v>
      </c>
    </row>
    <row r="90" spans="1:9" x14ac:dyDescent="0.2">
      <c r="A90" s="1"/>
      <c r="C90" s="4"/>
      <c r="D90" s="8"/>
      <c r="E90" s="4"/>
      <c r="F90" s="8"/>
      <c r="G90" s="4"/>
      <c r="H90" s="8"/>
      <c r="I90" s="4"/>
    </row>
    <row r="91" spans="1:9" x14ac:dyDescent="0.2">
      <c r="A91" s="1" t="s">
        <v>4</v>
      </c>
      <c r="C91" s="4"/>
      <c r="D91" s="8"/>
      <c r="E91" s="4"/>
      <c r="F91" s="8"/>
      <c r="G91" s="4"/>
      <c r="H91" s="8"/>
      <c r="I91" s="4"/>
    </row>
    <row r="92" spans="1:9" x14ac:dyDescent="0.2">
      <c r="A92" s="2">
        <v>1</v>
      </c>
      <c r="B92" s="1" t="s">
        <v>126</v>
      </c>
      <c r="C92" s="4">
        <v>221</v>
      </c>
      <c r="D92" s="8">
        <v>8.06</v>
      </c>
      <c r="E92" s="4">
        <v>126</v>
      </c>
      <c r="F92" s="8">
        <v>9.26</v>
      </c>
      <c r="G92" s="4">
        <v>95</v>
      </c>
      <c r="H92" s="8">
        <v>6.93</v>
      </c>
      <c r="I92" s="4">
        <v>0</v>
      </c>
    </row>
    <row r="93" spans="1:9" x14ac:dyDescent="0.2">
      <c r="A93" s="2">
        <v>2</v>
      </c>
      <c r="B93" s="1" t="s">
        <v>138</v>
      </c>
      <c r="C93" s="4">
        <v>117</v>
      </c>
      <c r="D93" s="8">
        <v>4.2699999999999996</v>
      </c>
      <c r="E93" s="4">
        <v>100</v>
      </c>
      <c r="F93" s="8">
        <v>7.35</v>
      </c>
      <c r="G93" s="4">
        <v>17</v>
      </c>
      <c r="H93" s="8">
        <v>1.24</v>
      </c>
      <c r="I93" s="4">
        <v>0</v>
      </c>
    </row>
    <row r="94" spans="1:9" x14ac:dyDescent="0.2">
      <c r="A94" s="2">
        <v>3</v>
      </c>
      <c r="B94" s="1" t="s">
        <v>151</v>
      </c>
      <c r="C94" s="4">
        <v>106</v>
      </c>
      <c r="D94" s="8">
        <v>3.87</v>
      </c>
      <c r="E94" s="4">
        <v>45</v>
      </c>
      <c r="F94" s="8">
        <v>3.31</v>
      </c>
      <c r="G94" s="4">
        <v>61</v>
      </c>
      <c r="H94" s="8">
        <v>4.45</v>
      </c>
      <c r="I94" s="4">
        <v>0</v>
      </c>
    </row>
    <row r="95" spans="1:9" x14ac:dyDescent="0.2">
      <c r="A95" s="2">
        <v>4</v>
      </c>
      <c r="B95" s="1" t="s">
        <v>136</v>
      </c>
      <c r="C95" s="4">
        <v>86</v>
      </c>
      <c r="D95" s="8">
        <v>3.14</v>
      </c>
      <c r="E95" s="4">
        <v>81</v>
      </c>
      <c r="F95" s="8">
        <v>5.95</v>
      </c>
      <c r="G95" s="4">
        <v>5</v>
      </c>
      <c r="H95" s="8">
        <v>0.36</v>
      </c>
      <c r="I95" s="4">
        <v>0</v>
      </c>
    </row>
    <row r="96" spans="1:9" x14ac:dyDescent="0.2">
      <c r="A96" s="2">
        <v>5</v>
      </c>
      <c r="B96" s="1" t="s">
        <v>137</v>
      </c>
      <c r="C96" s="4">
        <v>80</v>
      </c>
      <c r="D96" s="8">
        <v>2.92</v>
      </c>
      <c r="E96" s="4">
        <v>77</v>
      </c>
      <c r="F96" s="8">
        <v>5.66</v>
      </c>
      <c r="G96" s="4">
        <v>3</v>
      </c>
      <c r="H96" s="8">
        <v>0.22</v>
      </c>
      <c r="I96" s="4">
        <v>0</v>
      </c>
    </row>
    <row r="97" spans="1:9" x14ac:dyDescent="0.2">
      <c r="A97" s="2">
        <v>6</v>
      </c>
      <c r="B97" s="1" t="s">
        <v>140</v>
      </c>
      <c r="C97" s="4">
        <v>79</v>
      </c>
      <c r="D97" s="8">
        <v>2.88</v>
      </c>
      <c r="E97" s="4">
        <v>74</v>
      </c>
      <c r="F97" s="8">
        <v>5.44</v>
      </c>
      <c r="G97" s="4">
        <v>5</v>
      </c>
      <c r="H97" s="8">
        <v>0.36</v>
      </c>
      <c r="I97" s="4">
        <v>0</v>
      </c>
    </row>
    <row r="98" spans="1:9" x14ac:dyDescent="0.2">
      <c r="A98" s="2">
        <v>7</v>
      </c>
      <c r="B98" s="1" t="s">
        <v>132</v>
      </c>
      <c r="C98" s="4">
        <v>72</v>
      </c>
      <c r="D98" s="8">
        <v>2.63</v>
      </c>
      <c r="E98" s="4">
        <v>28</v>
      </c>
      <c r="F98" s="8">
        <v>2.06</v>
      </c>
      <c r="G98" s="4">
        <v>43</v>
      </c>
      <c r="H98" s="8">
        <v>3.14</v>
      </c>
      <c r="I98" s="4">
        <v>1</v>
      </c>
    </row>
    <row r="99" spans="1:9" x14ac:dyDescent="0.2">
      <c r="A99" s="2">
        <v>8</v>
      </c>
      <c r="B99" s="1" t="s">
        <v>139</v>
      </c>
      <c r="C99" s="4">
        <v>58</v>
      </c>
      <c r="D99" s="8">
        <v>2.12</v>
      </c>
      <c r="E99" s="4">
        <v>47</v>
      </c>
      <c r="F99" s="8">
        <v>3.45</v>
      </c>
      <c r="G99" s="4">
        <v>11</v>
      </c>
      <c r="H99" s="8">
        <v>0.8</v>
      </c>
      <c r="I99" s="4">
        <v>0</v>
      </c>
    </row>
    <row r="100" spans="1:9" x14ac:dyDescent="0.2">
      <c r="A100" s="2">
        <v>9</v>
      </c>
      <c r="B100" s="1" t="s">
        <v>125</v>
      </c>
      <c r="C100" s="4">
        <v>56</v>
      </c>
      <c r="D100" s="8">
        <v>2.04</v>
      </c>
      <c r="E100" s="4">
        <v>18</v>
      </c>
      <c r="F100" s="8">
        <v>1.32</v>
      </c>
      <c r="G100" s="4">
        <v>38</v>
      </c>
      <c r="H100" s="8">
        <v>2.77</v>
      </c>
      <c r="I100" s="4">
        <v>0</v>
      </c>
    </row>
    <row r="101" spans="1:9" x14ac:dyDescent="0.2">
      <c r="A101" s="2">
        <v>10</v>
      </c>
      <c r="B101" s="1" t="s">
        <v>122</v>
      </c>
      <c r="C101" s="4">
        <v>52</v>
      </c>
      <c r="D101" s="8">
        <v>1.9</v>
      </c>
      <c r="E101" s="4">
        <v>9</v>
      </c>
      <c r="F101" s="8">
        <v>0.66</v>
      </c>
      <c r="G101" s="4">
        <v>43</v>
      </c>
      <c r="H101" s="8">
        <v>3.14</v>
      </c>
      <c r="I101" s="4">
        <v>0</v>
      </c>
    </row>
    <row r="102" spans="1:9" x14ac:dyDescent="0.2">
      <c r="A102" s="2">
        <v>10</v>
      </c>
      <c r="B102" s="1" t="s">
        <v>123</v>
      </c>
      <c r="C102" s="4">
        <v>52</v>
      </c>
      <c r="D102" s="8">
        <v>1.9</v>
      </c>
      <c r="E102" s="4">
        <v>8</v>
      </c>
      <c r="F102" s="8">
        <v>0.59</v>
      </c>
      <c r="G102" s="4">
        <v>44</v>
      </c>
      <c r="H102" s="8">
        <v>3.21</v>
      </c>
      <c r="I102" s="4">
        <v>0</v>
      </c>
    </row>
    <row r="103" spans="1:9" x14ac:dyDescent="0.2">
      <c r="A103" s="2">
        <v>12</v>
      </c>
      <c r="B103" s="1" t="s">
        <v>131</v>
      </c>
      <c r="C103" s="4">
        <v>49</v>
      </c>
      <c r="D103" s="8">
        <v>1.79</v>
      </c>
      <c r="E103" s="4">
        <v>5</v>
      </c>
      <c r="F103" s="8">
        <v>0.37</v>
      </c>
      <c r="G103" s="4">
        <v>44</v>
      </c>
      <c r="H103" s="8">
        <v>3.21</v>
      </c>
      <c r="I103" s="4">
        <v>0</v>
      </c>
    </row>
    <row r="104" spans="1:9" x14ac:dyDescent="0.2">
      <c r="A104" s="2">
        <v>13</v>
      </c>
      <c r="B104" s="1" t="s">
        <v>134</v>
      </c>
      <c r="C104" s="4">
        <v>48</v>
      </c>
      <c r="D104" s="8">
        <v>1.75</v>
      </c>
      <c r="E104" s="4">
        <v>35</v>
      </c>
      <c r="F104" s="8">
        <v>2.57</v>
      </c>
      <c r="G104" s="4">
        <v>13</v>
      </c>
      <c r="H104" s="8">
        <v>0.95</v>
      </c>
      <c r="I104" s="4">
        <v>0</v>
      </c>
    </row>
    <row r="105" spans="1:9" x14ac:dyDescent="0.2">
      <c r="A105" s="2">
        <v>14</v>
      </c>
      <c r="B105" s="1" t="s">
        <v>130</v>
      </c>
      <c r="C105" s="4">
        <v>46</v>
      </c>
      <c r="D105" s="8">
        <v>1.68</v>
      </c>
      <c r="E105" s="4">
        <v>28</v>
      </c>
      <c r="F105" s="8">
        <v>2.06</v>
      </c>
      <c r="G105" s="4">
        <v>18</v>
      </c>
      <c r="H105" s="8">
        <v>1.31</v>
      </c>
      <c r="I105" s="4">
        <v>0</v>
      </c>
    </row>
    <row r="106" spans="1:9" x14ac:dyDescent="0.2">
      <c r="A106" s="2">
        <v>14</v>
      </c>
      <c r="B106" s="1" t="s">
        <v>145</v>
      </c>
      <c r="C106" s="4">
        <v>46</v>
      </c>
      <c r="D106" s="8">
        <v>1.68</v>
      </c>
      <c r="E106" s="4">
        <v>28</v>
      </c>
      <c r="F106" s="8">
        <v>2.06</v>
      </c>
      <c r="G106" s="4">
        <v>18</v>
      </c>
      <c r="H106" s="8">
        <v>1.31</v>
      </c>
      <c r="I106" s="4">
        <v>0</v>
      </c>
    </row>
    <row r="107" spans="1:9" x14ac:dyDescent="0.2">
      <c r="A107" s="2">
        <v>16</v>
      </c>
      <c r="B107" s="1" t="s">
        <v>150</v>
      </c>
      <c r="C107" s="4">
        <v>45</v>
      </c>
      <c r="D107" s="8">
        <v>1.64</v>
      </c>
      <c r="E107" s="4">
        <v>9</v>
      </c>
      <c r="F107" s="8">
        <v>0.66</v>
      </c>
      <c r="G107" s="4">
        <v>36</v>
      </c>
      <c r="H107" s="8">
        <v>2.63</v>
      </c>
      <c r="I107" s="4">
        <v>0</v>
      </c>
    </row>
    <row r="108" spans="1:9" x14ac:dyDescent="0.2">
      <c r="A108" s="2">
        <v>17</v>
      </c>
      <c r="B108" s="1" t="s">
        <v>129</v>
      </c>
      <c r="C108" s="4">
        <v>41</v>
      </c>
      <c r="D108" s="8">
        <v>1.5</v>
      </c>
      <c r="E108" s="4">
        <v>14</v>
      </c>
      <c r="F108" s="8">
        <v>1.03</v>
      </c>
      <c r="G108" s="4">
        <v>27</v>
      </c>
      <c r="H108" s="8">
        <v>1.97</v>
      </c>
      <c r="I108" s="4">
        <v>0</v>
      </c>
    </row>
    <row r="109" spans="1:9" x14ac:dyDescent="0.2">
      <c r="A109" s="2">
        <v>18</v>
      </c>
      <c r="B109" s="1" t="s">
        <v>128</v>
      </c>
      <c r="C109" s="4">
        <v>39</v>
      </c>
      <c r="D109" s="8">
        <v>1.42</v>
      </c>
      <c r="E109" s="4">
        <v>16</v>
      </c>
      <c r="F109" s="8">
        <v>1.18</v>
      </c>
      <c r="G109" s="4">
        <v>23</v>
      </c>
      <c r="H109" s="8">
        <v>1.68</v>
      </c>
      <c r="I109" s="4">
        <v>0</v>
      </c>
    </row>
    <row r="110" spans="1:9" x14ac:dyDescent="0.2">
      <c r="A110" s="2">
        <v>19</v>
      </c>
      <c r="B110" s="1" t="s">
        <v>133</v>
      </c>
      <c r="C110" s="4">
        <v>38</v>
      </c>
      <c r="D110" s="8">
        <v>1.39</v>
      </c>
      <c r="E110" s="4">
        <v>15</v>
      </c>
      <c r="F110" s="8">
        <v>1.1000000000000001</v>
      </c>
      <c r="G110" s="4">
        <v>22</v>
      </c>
      <c r="H110" s="8">
        <v>1.61</v>
      </c>
      <c r="I110" s="4">
        <v>0</v>
      </c>
    </row>
    <row r="111" spans="1:9" x14ac:dyDescent="0.2">
      <c r="A111" s="2">
        <v>20</v>
      </c>
      <c r="B111" s="1" t="s">
        <v>141</v>
      </c>
      <c r="C111" s="4">
        <v>34</v>
      </c>
      <c r="D111" s="8">
        <v>1.24</v>
      </c>
      <c r="E111" s="4">
        <v>19</v>
      </c>
      <c r="F111" s="8">
        <v>1.4</v>
      </c>
      <c r="G111" s="4">
        <v>15</v>
      </c>
      <c r="H111" s="8">
        <v>1.0900000000000001</v>
      </c>
      <c r="I111" s="4">
        <v>0</v>
      </c>
    </row>
    <row r="112" spans="1:9" x14ac:dyDescent="0.2">
      <c r="A112" s="1"/>
      <c r="C112" s="4"/>
      <c r="D112" s="8"/>
      <c r="E112" s="4"/>
      <c r="F112" s="8"/>
      <c r="G112" s="4"/>
      <c r="H112" s="8"/>
      <c r="I112" s="4"/>
    </row>
    <row r="113" spans="1:9" x14ac:dyDescent="0.2">
      <c r="A113" s="1" t="s">
        <v>5</v>
      </c>
      <c r="C113" s="4"/>
      <c r="D113" s="8"/>
      <c r="E113" s="4"/>
      <c r="F113" s="8"/>
      <c r="G113" s="4"/>
      <c r="H113" s="8"/>
      <c r="I113" s="4"/>
    </row>
    <row r="114" spans="1:9" x14ac:dyDescent="0.2">
      <c r="A114" s="2">
        <v>1</v>
      </c>
      <c r="B114" s="1" t="s">
        <v>152</v>
      </c>
      <c r="C114" s="4">
        <v>152</v>
      </c>
      <c r="D114" s="8">
        <v>5.08</v>
      </c>
      <c r="E114" s="4">
        <v>94</v>
      </c>
      <c r="F114" s="8">
        <v>5.25</v>
      </c>
      <c r="G114" s="4">
        <v>58</v>
      </c>
      <c r="H114" s="8">
        <v>5</v>
      </c>
      <c r="I114" s="4">
        <v>0</v>
      </c>
    </row>
    <row r="115" spans="1:9" x14ac:dyDescent="0.2">
      <c r="A115" s="2">
        <v>2</v>
      </c>
      <c r="B115" s="1" t="s">
        <v>138</v>
      </c>
      <c r="C115" s="4">
        <v>139</v>
      </c>
      <c r="D115" s="8">
        <v>4.6399999999999997</v>
      </c>
      <c r="E115" s="4">
        <v>134</v>
      </c>
      <c r="F115" s="8">
        <v>7.49</v>
      </c>
      <c r="G115" s="4">
        <v>5</v>
      </c>
      <c r="H115" s="8">
        <v>0.43</v>
      </c>
      <c r="I115" s="4">
        <v>0</v>
      </c>
    </row>
    <row r="116" spans="1:9" x14ac:dyDescent="0.2">
      <c r="A116" s="2">
        <v>3</v>
      </c>
      <c r="B116" s="1" t="s">
        <v>132</v>
      </c>
      <c r="C116" s="4">
        <v>92</v>
      </c>
      <c r="D116" s="8">
        <v>3.07</v>
      </c>
      <c r="E116" s="4">
        <v>70</v>
      </c>
      <c r="F116" s="8">
        <v>3.91</v>
      </c>
      <c r="G116" s="4">
        <v>22</v>
      </c>
      <c r="H116" s="8">
        <v>1.89</v>
      </c>
      <c r="I116" s="4">
        <v>0</v>
      </c>
    </row>
    <row r="117" spans="1:9" x14ac:dyDescent="0.2">
      <c r="A117" s="2">
        <v>4</v>
      </c>
      <c r="B117" s="1" t="s">
        <v>154</v>
      </c>
      <c r="C117" s="4">
        <v>81</v>
      </c>
      <c r="D117" s="8">
        <v>2.71</v>
      </c>
      <c r="E117" s="4">
        <v>64</v>
      </c>
      <c r="F117" s="8">
        <v>3.58</v>
      </c>
      <c r="G117" s="4">
        <v>17</v>
      </c>
      <c r="H117" s="8">
        <v>1.46</v>
      </c>
      <c r="I117" s="4">
        <v>0</v>
      </c>
    </row>
    <row r="118" spans="1:9" x14ac:dyDescent="0.2">
      <c r="A118" s="2">
        <v>5</v>
      </c>
      <c r="B118" s="1" t="s">
        <v>128</v>
      </c>
      <c r="C118" s="4">
        <v>77</v>
      </c>
      <c r="D118" s="8">
        <v>2.57</v>
      </c>
      <c r="E118" s="4">
        <v>51</v>
      </c>
      <c r="F118" s="8">
        <v>2.85</v>
      </c>
      <c r="G118" s="4">
        <v>26</v>
      </c>
      <c r="H118" s="8">
        <v>2.2400000000000002</v>
      </c>
      <c r="I118" s="4">
        <v>0</v>
      </c>
    </row>
    <row r="119" spans="1:9" x14ac:dyDescent="0.2">
      <c r="A119" s="2">
        <v>6</v>
      </c>
      <c r="B119" s="1" t="s">
        <v>136</v>
      </c>
      <c r="C119" s="4">
        <v>75</v>
      </c>
      <c r="D119" s="8">
        <v>2.5099999999999998</v>
      </c>
      <c r="E119" s="4">
        <v>67</v>
      </c>
      <c r="F119" s="8">
        <v>3.75</v>
      </c>
      <c r="G119" s="4">
        <v>8</v>
      </c>
      <c r="H119" s="8">
        <v>0.69</v>
      </c>
      <c r="I119" s="4">
        <v>0</v>
      </c>
    </row>
    <row r="120" spans="1:9" x14ac:dyDescent="0.2">
      <c r="A120" s="2">
        <v>7</v>
      </c>
      <c r="B120" s="1" t="s">
        <v>137</v>
      </c>
      <c r="C120" s="4">
        <v>73</v>
      </c>
      <c r="D120" s="8">
        <v>2.44</v>
      </c>
      <c r="E120" s="4">
        <v>72</v>
      </c>
      <c r="F120" s="8">
        <v>4.0199999999999996</v>
      </c>
      <c r="G120" s="4">
        <v>1</v>
      </c>
      <c r="H120" s="8">
        <v>0.09</v>
      </c>
      <c r="I120" s="4">
        <v>0</v>
      </c>
    </row>
    <row r="121" spans="1:9" x14ac:dyDescent="0.2">
      <c r="A121" s="2">
        <v>8</v>
      </c>
      <c r="B121" s="1" t="s">
        <v>140</v>
      </c>
      <c r="C121" s="4">
        <v>62</v>
      </c>
      <c r="D121" s="8">
        <v>2.0699999999999998</v>
      </c>
      <c r="E121" s="4">
        <v>61</v>
      </c>
      <c r="F121" s="8">
        <v>3.41</v>
      </c>
      <c r="G121" s="4">
        <v>1</v>
      </c>
      <c r="H121" s="8">
        <v>0.09</v>
      </c>
      <c r="I121" s="4">
        <v>0</v>
      </c>
    </row>
    <row r="122" spans="1:9" x14ac:dyDescent="0.2">
      <c r="A122" s="2">
        <v>9</v>
      </c>
      <c r="B122" s="1" t="s">
        <v>134</v>
      </c>
      <c r="C122" s="4">
        <v>55</v>
      </c>
      <c r="D122" s="8">
        <v>1.84</v>
      </c>
      <c r="E122" s="4">
        <v>41</v>
      </c>
      <c r="F122" s="8">
        <v>2.29</v>
      </c>
      <c r="G122" s="4">
        <v>14</v>
      </c>
      <c r="H122" s="8">
        <v>1.21</v>
      </c>
      <c r="I122" s="4">
        <v>0</v>
      </c>
    </row>
    <row r="123" spans="1:9" x14ac:dyDescent="0.2">
      <c r="A123" s="2">
        <v>10</v>
      </c>
      <c r="B123" s="1" t="s">
        <v>123</v>
      </c>
      <c r="C123" s="4">
        <v>53</v>
      </c>
      <c r="D123" s="8">
        <v>1.77</v>
      </c>
      <c r="E123" s="4">
        <v>17</v>
      </c>
      <c r="F123" s="8">
        <v>0.95</v>
      </c>
      <c r="G123" s="4">
        <v>36</v>
      </c>
      <c r="H123" s="8">
        <v>3.1</v>
      </c>
      <c r="I123" s="4">
        <v>0</v>
      </c>
    </row>
    <row r="124" spans="1:9" x14ac:dyDescent="0.2">
      <c r="A124" s="2">
        <v>10</v>
      </c>
      <c r="B124" s="1" t="s">
        <v>139</v>
      </c>
      <c r="C124" s="4">
        <v>53</v>
      </c>
      <c r="D124" s="8">
        <v>1.77</v>
      </c>
      <c r="E124" s="4">
        <v>45</v>
      </c>
      <c r="F124" s="8">
        <v>2.52</v>
      </c>
      <c r="G124" s="4">
        <v>8</v>
      </c>
      <c r="H124" s="8">
        <v>0.69</v>
      </c>
      <c r="I124" s="4">
        <v>0</v>
      </c>
    </row>
    <row r="125" spans="1:9" x14ac:dyDescent="0.2">
      <c r="A125" s="2">
        <v>12</v>
      </c>
      <c r="B125" s="1" t="s">
        <v>156</v>
      </c>
      <c r="C125" s="4">
        <v>49</v>
      </c>
      <c r="D125" s="8">
        <v>1.64</v>
      </c>
      <c r="E125" s="4">
        <v>20</v>
      </c>
      <c r="F125" s="8">
        <v>1.1200000000000001</v>
      </c>
      <c r="G125" s="4">
        <v>29</v>
      </c>
      <c r="H125" s="8">
        <v>2.5</v>
      </c>
      <c r="I125" s="4">
        <v>0</v>
      </c>
    </row>
    <row r="126" spans="1:9" x14ac:dyDescent="0.2">
      <c r="A126" s="2">
        <v>12</v>
      </c>
      <c r="B126" s="1" t="s">
        <v>141</v>
      </c>
      <c r="C126" s="4">
        <v>49</v>
      </c>
      <c r="D126" s="8">
        <v>1.64</v>
      </c>
      <c r="E126" s="4">
        <v>38</v>
      </c>
      <c r="F126" s="8">
        <v>2.12</v>
      </c>
      <c r="G126" s="4">
        <v>11</v>
      </c>
      <c r="H126" s="8">
        <v>0.95</v>
      </c>
      <c r="I126" s="4">
        <v>0</v>
      </c>
    </row>
    <row r="127" spans="1:9" x14ac:dyDescent="0.2">
      <c r="A127" s="2">
        <v>14</v>
      </c>
      <c r="B127" s="1" t="s">
        <v>125</v>
      </c>
      <c r="C127" s="4">
        <v>48</v>
      </c>
      <c r="D127" s="8">
        <v>1.6</v>
      </c>
      <c r="E127" s="4">
        <v>30</v>
      </c>
      <c r="F127" s="8">
        <v>1.68</v>
      </c>
      <c r="G127" s="4">
        <v>18</v>
      </c>
      <c r="H127" s="8">
        <v>1.55</v>
      </c>
      <c r="I127" s="4">
        <v>0</v>
      </c>
    </row>
    <row r="128" spans="1:9" x14ac:dyDescent="0.2">
      <c r="A128" s="2">
        <v>15</v>
      </c>
      <c r="B128" s="1" t="s">
        <v>122</v>
      </c>
      <c r="C128" s="4">
        <v>46</v>
      </c>
      <c r="D128" s="8">
        <v>1.54</v>
      </c>
      <c r="E128" s="4">
        <v>8</v>
      </c>
      <c r="F128" s="8">
        <v>0.45</v>
      </c>
      <c r="G128" s="4">
        <v>38</v>
      </c>
      <c r="H128" s="8">
        <v>3.27</v>
      </c>
      <c r="I128" s="4">
        <v>0</v>
      </c>
    </row>
    <row r="129" spans="1:9" x14ac:dyDescent="0.2">
      <c r="A129" s="2">
        <v>16</v>
      </c>
      <c r="B129" s="1" t="s">
        <v>155</v>
      </c>
      <c r="C129" s="4">
        <v>41</v>
      </c>
      <c r="D129" s="8">
        <v>1.37</v>
      </c>
      <c r="E129" s="4">
        <v>17</v>
      </c>
      <c r="F129" s="8">
        <v>0.95</v>
      </c>
      <c r="G129" s="4">
        <v>24</v>
      </c>
      <c r="H129" s="8">
        <v>2.0699999999999998</v>
      </c>
      <c r="I129" s="4">
        <v>0</v>
      </c>
    </row>
    <row r="130" spans="1:9" x14ac:dyDescent="0.2">
      <c r="A130" s="2">
        <v>17</v>
      </c>
      <c r="B130" s="1" t="s">
        <v>153</v>
      </c>
      <c r="C130" s="4">
        <v>40</v>
      </c>
      <c r="D130" s="8">
        <v>1.34</v>
      </c>
      <c r="E130" s="4">
        <v>19</v>
      </c>
      <c r="F130" s="8">
        <v>1.06</v>
      </c>
      <c r="G130" s="4">
        <v>21</v>
      </c>
      <c r="H130" s="8">
        <v>1.81</v>
      </c>
      <c r="I130" s="4">
        <v>0</v>
      </c>
    </row>
    <row r="131" spans="1:9" x14ac:dyDescent="0.2">
      <c r="A131" s="2">
        <v>18</v>
      </c>
      <c r="B131" s="1" t="s">
        <v>129</v>
      </c>
      <c r="C131" s="4">
        <v>39</v>
      </c>
      <c r="D131" s="8">
        <v>1.3</v>
      </c>
      <c r="E131" s="4">
        <v>23</v>
      </c>
      <c r="F131" s="8">
        <v>1.29</v>
      </c>
      <c r="G131" s="4">
        <v>16</v>
      </c>
      <c r="H131" s="8">
        <v>1.38</v>
      </c>
      <c r="I131" s="4">
        <v>0</v>
      </c>
    </row>
    <row r="132" spans="1:9" x14ac:dyDescent="0.2">
      <c r="A132" s="2">
        <v>19</v>
      </c>
      <c r="B132" s="1" t="s">
        <v>130</v>
      </c>
      <c r="C132" s="4">
        <v>37</v>
      </c>
      <c r="D132" s="8">
        <v>1.24</v>
      </c>
      <c r="E132" s="4">
        <v>22</v>
      </c>
      <c r="F132" s="8">
        <v>1.23</v>
      </c>
      <c r="G132" s="4">
        <v>15</v>
      </c>
      <c r="H132" s="8">
        <v>1.29</v>
      </c>
      <c r="I132" s="4">
        <v>0</v>
      </c>
    </row>
    <row r="133" spans="1:9" x14ac:dyDescent="0.2">
      <c r="A133" s="2">
        <v>19</v>
      </c>
      <c r="B133" s="1" t="s">
        <v>133</v>
      </c>
      <c r="C133" s="4">
        <v>37</v>
      </c>
      <c r="D133" s="8">
        <v>1.24</v>
      </c>
      <c r="E133" s="4">
        <v>19</v>
      </c>
      <c r="F133" s="8">
        <v>1.06</v>
      </c>
      <c r="G133" s="4">
        <v>17</v>
      </c>
      <c r="H133" s="8">
        <v>1.46</v>
      </c>
      <c r="I133" s="4">
        <v>0</v>
      </c>
    </row>
    <row r="134" spans="1:9" x14ac:dyDescent="0.2">
      <c r="A134" s="2">
        <v>19</v>
      </c>
      <c r="B134" s="1" t="s">
        <v>135</v>
      </c>
      <c r="C134" s="4">
        <v>37</v>
      </c>
      <c r="D134" s="8">
        <v>1.24</v>
      </c>
      <c r="E134" s="4">
        <v>36</v>
      </c>
      <c r="F134" s="8">
        <v>2.0099999999999998</v>
      </c>
      <c r="G134" s="4">
        <v>1</v>
      </c>
      <c r="H134" s="8">
        <v>0.09</v>
      </c>
      <c r="I134" s="4">
        <v>0</v>
      </c>
    </row>
    <row r="135" spans="1:9" x14ac:dyDescent="0.2">
      <c r="A135" s="2">
        <v>19</v>
      </c>
      <c r="B135" s="1" t="s">
        <v>145</v>
      </c>
      <c r="C135" s="4">
        <v>37</v>
      </c>
      <c r="D135" s="8">
        <v>1.24</v>
      </c>
      <c r="E135" s="4">
        <v>28</v>
      </c>
      <c r="F135" s="8">
        <v>1.57</v>
      </c>
      <c r="G135" s="4">
        <v>9</v>
      </c>
      <c r="H135" s="8">
        <v>0.78</v>
      </c>
      <c r="I135" s="4">
        <v>0</v>
      </c>
    </row>
    <row r="136" spans="1:9" x14ac:dyDescent="0.2">
      <c r="A136" s="1"/>
      <c r="C136" s="4"/>
      <c r="D136" s="8"/>
      <c r="E136" s="4"/>
      <c r="F136" s="8"/>
      <c r="G136" s="4"/>
      <c r="H136" s="8"/>
      <c r="I136" s="4"/>
    </row>
    <row r="137" spans="1:9" x14ac:dyDescent="0.2">
      <c r="A137" s="1" t="s">
        <v>6</v>
      </c>
      <c r="C137" s="4"/>
      <c r="D137" s="8"/>
      <c r="E137" s="4"/>
      <c r="F137" s="8"/>
      <c r="G137" s="4"/>
      <c r="H137" s="8"/>
      <c r="I137" s="4"/>
    </row>
    <row r="138" spans="1:9" x14ac:dyDescent="0.2">
      <c r="A138" s="2">
        <v>1</v>
      </c>
      <c r="B138" s="1" t="s">
        <v>138</v>
      </c>
      <c r="C138" s="4">
        <v>112</v>
      </c>
      <c r="D138" s="8">
        <v>4.96</v>
      </c>
      <c r="E138" s="4">
        <v>97</v>
      </c>
      <c r="F138" s="8">
        <v>7.3</v>
      </c>
      <c r="G138" s="4">
        <v>15</v>
      </c>
      <c r="H138" s="8">
        <v>1.65</v>
      </c>
      <c r="I138" s="4">
        <v>0</v>
      </c>
    </row>
    <row r="139" spans="1:9" x14ac:dyDescent="0.2">
      <c r="A139" s="2">
        <v>2</v>
      </c>
      <c r="B139" s="1" t="s">
        <v>136</v>
      </c>
      <c r="C139" s="4">
        <v>110</v>
      </c>
      <c r="D139" s="8">
        <v>4.88</v>
      </c>
      <c r="E139" s="4">
        <v>103</v>
      </c>
      <c r="F139" s="8">
        <v>7.75</v>
      </c>
      <c r="G139" s="4">
        <v>6</v>
      </c>
      <c r="H139" s="8">
        <v>0.66</v>
      </c>
      <c r="I139" s="4">
        <v>1</v>
      </c>
    </row>
    <row r="140" spans="1:9" x14ac:dyDescent="0.2">
      <c r="A140" s="2">
        <v>3</v>
      </c>
      <c r="B140" s="1" t="s">
        <v>124</v>
      </c>
      <c r="C140" s="4">
        <v>76</v>
      </c>
      <c r="D140" s="8">
        <v>3.37</v>
      </c>
      <c r="E140" s="4">
        <v>54</v>
      </c>
      <c r="F140" s="8">
        <v>4.0599999999999996</v>
      </c>
      <c r="G140" s="4">
        <v>22</v>
      </c>
      <c r="H140" s="8">
        <v>2.41</v>
      </c>
      <c r="I140" s="4">
        <v>0</v>
      </c>
    </row>
    <row r="141" spans="1:9" x14ac:dyDescent="0.2">
      <c r="A141" s="2">
        <v>4</v>
      </c>
      <c r="B141" s="1" t="s">
        <v>140</v>
      </c>
      <c r="C141" s="4">
        <v>70</v>
      </c>
      <c r="D141" s="8">
        <v>3.1</v>
      </c>
      <c r="E141" s="4">
        <v>68</v>
      </c>
      <c r="F141" s="8">
        <v>5.12</v>
      </c>
      <c r="G141" s="4">
        <v>2</v>
      </c>
      <c r="H141" s="8">
        <v>0.22</v>
      </c>
      <c r="I141" s="4">
        <v>0</v>
      </c>
    </row>
    <row r="142" spans="1:9" x14ac:dyDescent="0.2">
      <c r="A142" s="2">
        <v>5</v>
      </c>
      <c r="B142" s="1" t="s">
        <v>122</v>
      </c>
      <c r="C142" s="4">
        <v>67</v>
      </c>
      <c r="D142" s="8">
        <v>2.97</v>
      </c>
      <c r="E142" s="4">
        <v>18</v>
      </c>
      <c r="F142" s="8">
        <v>1.35</v>
      </c>
      <c r="G142" s="4">
        <v>49</v>
      </c>
      <c r="H142" s="8">
        <v>5.38</v>
      </c>
      <c r="I142" s="4">
        <v>0</v>
      </c>
    </row>
    <row r="143" spans="1:9" x14ac:dyDescent="0.2">
      <c r="A143" s="2">
        <v>6</v>
      </c>
      <c r="B143" s="1" t="s">
        <v>137</v>
      </c>
      <c r="C143" s="4">
        <v>60</v>
      </c>
      <c r="D143" s="8">
        <v>2.66</v>
      </c>
      <c r="E143" s="4">
        <v>59</v>
      </c>
      <c r="F143" s="8">
        <v>4.4400000000000004</v>
      </c>
      <c r="G143" s="4">
        <v>1</v>
      </c>
      <c r="H143" s="8">
        <v>0.11</v>
      </c>
      <c r="I143" s="4">
        <v>0</v>
      </c>
    </row>
    <row r="144" spans="1:9" x14ac:dyDescent="0.2">
      <c r="A144" s="2">
        <v>7</v>
      </c>
      <c r="B144" s="1" t="s">
        <v>134</v>
      </c>
      <c r="C144" s="4">
        <v>52</v>
      </c>
      <c r="D144" s="8">
        <v>2.2999999999999998</v>
      </c>
      <c r="E144" s="4">
        <v>45</v>
      </c>
      <c r="F144" s="8">
        <v>3.39</v>
      </c>
      <c r="G144" s="4">
        <v>7</v>
      </c>
      <c r="H144" s="8">
        <v>0.77</v>
      </c>
      <c r="I144" s="4">
        <v>0</v>
      </c>
    </row>
    <row r="145" spans="1:9" x14ac:dyDescent="0.2">
      <c r="A145" s="2">
        <v>8</v>
      </c>
      <c r="B145" s="1" t="s">
        <v>125</v>
      </c>
      <c r="C145" s="4">
        <v>43</v>
      </c>
      <c r="D145" s="8">
        <v>1.91</v>
      </c>
      <c r="E145" s="4">
        <v>19</v>
      </c>
      <c r="F145" s="8">
        <v>1.43</v>
      </c>
      <c r="G145" s="4">
        <v>24</v>
      </c>
      <c r="H145" s="8">
        <v>2.63</v>
      </c>
      <c r="I145" s="4">
        <v>0</v>
      </c>
    </row>
    <row r="146" spans="1:9" x14ac:dyDescent="0.2">
      <c r="A146" s="2">
        <v>8</v>
      </c>
      <c r="B146" s="1" t="s">
        <v>128</v>
      </c>
      <c r="C146" s="4">
        <v>43</v>
      </c>
      <c r="D146" s="8">
        <v>1.91</v>
      </c>
      <c r="E146" s="4">
        <v>23</v>
      </c>
      <c r="F146" s="8">
        <v>1.73</v>
      </c>
      <c r="G146" s="4">
        <v>20</v>
      </c>
      <c r="H146" s="8">
        <v>2.2000000000000002</v>
      </c>
      <c r="I146" s="4">
        <v>0</v>
      </c>
    </row>
    <row r="147" spans="1:9" x14ac:dyDescent="0.2">
      <c r="A147" s="2">
        <v>10</v>
      </c>
      <c r="B147" s="1" t="s">
        <v>148</v>
      </c>
      <c r="C147" s="4">
        <v>40</v>
      </c>
      <c r="D147" s="8">
        <v>1.77</v>
      </c>
      <c r="E147" s="4">
        <v>28</v>
      </c>
      <c r="F147" s="8">
        <v>2.11</v>
      </c>
      <c r="G147" s="4">
        <v>11</v>
      </c>
      <c r="H147" s="8">
        <v>1.21</v>
      </c>
      <c r="I147" s="4">
        <v>1</v>
      </c>
    </row>
    <row r="148" spans="1:9" x14ac:dyDescent="0.2">
      <c r="A148" s="2">
        <v>11</v>
      </c>
      <c r="B148" s="1" t="s">
        <v>130</v>
      </c>
      <c r="C148" s="4">
        <v>37</v>
      </c>
      <c r="D148" s="8">
        <v>1.64</v>
      </c>
      <c r="E148" s="4">
        <v>25</v>
      </c>
      <c r="F148" s="8">
        <v>1.88</v>
      </c>
      <c r="G148" s="4">
        <v>12</v>
      </c>
      <c r="H148" s="8">
        <v>1.32</v>
      </c>
      <c r="I148" s="4">
        <v>0</v>
      </c>
    </row>
    <row r="149" spans="1:9" x14ac:dyDescent="0.2">
      <c r="A149" s="2">
        <v>12</v>
      </c>
      <c r="B149" s="1" t="s">
        <v>133</v>
      </c>
      <c r="C149" s="4">
        <v>35</v>
      </c>
      <c r="D149" s="8">
        <v>1.55</v>
      </c>
      <c r="E149" s="4">
        <v>15</v>
      </c>
      <c r="F149" s="8">
        <v>1.1299999999999999</v>
      </c>
      <c r="G149" s="4">
        <v>18</v>
      </c>
      <c r="H149" s="8">
        <v>1.98</v>
      </c>
      <c r="I149" s="4">
        <v>0</v>
      </c>
    </row>
    <row r="150" spans="1:9" x14ac:dyDescent="0.2">
      <c r="A150" s="2">
        <v>13</v>
      </c>
      <c r="B150" s="1" t="s">
        <v>147</v>
      </c>
      <c r="C150" s="4">
        <v>34</v>
      </c>
      <c r="D150" s="8">
        <v>1.51</v>
      </c>
      <c r="E150" s="4">
        <v>31</v>
      </c>
      <c r="F150" s="8">
        <v>2.33</v>
      </c>
      <c r="G150" s="4">
        <v>3</v>
      </c>
      <c r="H150" s="8">
        <v>0.33</v>
      </c>
      <c r="I150" s="4">
        <v>0</v>
      </c>
    </row>
    <row r="151" spans="1:9" x14ac:dyDescent="0.2">
      <c r="A151" s="2">
        <v>13</v>
      </c>
      <c r="B151" s="1" t="s">
        <v>135</v>
      </c>
      <c r="C151" s="4">
        <v>34</v>
      </c>
      <c r="D151" s="8">
        <v>1.51</v>
      </c>
      <c r="E151" s="4">
        <v>32</v>
      </c>
      <c r="F151" s="8">
        <v>2.41</v>
      </c>
      <c r="G151" s="4">
        <v>2</v>
      </c>
      <c r="H151" s="8">
        <v>0.22</v>
      </c>
      <c r="I151" s="4">
        <v>0</v>
      </c>
    </row>
    <row r="152" spans="1:9" x14ac:dyDescent="0.2">
      <c r="A152" s="2">
        <v>13</v>
      </c>
      <c r="B152" s="1" t="s">
        <v>139</v>
      </c>
      <c r="C152" s="4">
        <v>34</v>
      </c>
      <c r="D152" s="8">
        <v>1.51</v>
      </c>
      <c r="E152" s="4">
        <v>28</v>
      </c>
      <c r="F152" s="8">
        <v>2.11</v>
      </c>
      <c r="G152" s="4">
        <v>6</v>
      </c>
      <c r="H152" s="8">
        <v>0.66</v>
      </c>
      <c r="I152" s="4">
        <v>0</v>
      </c>
    </row>
    <row r="153" spans="1:9" x14ac:dyDescent="0.2">
      <c r="A153" s="2">
        <v>16</v>
      </c>
      <c r="B153" s="1" t="s">
        <v>129</v>
      </c>
      <c r="C153" s="4">
        <v>30</v>
      </c>
      <c r="D153" s="8">
        <v>1.33</v>
      </c>
      <c r="E153" s="4">
        <v>9</v>
      </c>
      <c r="F153" s="8">
        <v>0.68</v>
      </c>
      <c r="G153" s="4">
        <v>21</v>
      </c>
      <c r="H153" s="8">
        <v>2.31</v>
      </c>
      <c r="I153" s="4">
        <v>0</v>
      </c>
    </row>
    <row r="154" spans="1:9" x14ac:dyDescent="0.2">
      <c r="A154" s="2">
        <v>17</v>
      </c>
      <c r="B154" s="1" t="s">
        <v>132</v>
      </c>
      <c r="C154" s="4">
        <v>29</v>
      </c>
      <c r="D154" s="8">
        <v>1.29</v>
      </c>
      <c r="E154" s="4">
        <v>18</v>
      </c>
      <c r="F154" s="8">
        <v>1.35</v>
      </c>
      <c r="G154" s="4">
        <v>10</v>
      </c>
      <c r="H154" s="8">
        <v>1.1000000000000001</v>
      </c>
      <c r="I154" s="4">
        <v>0</v>
      </c>
    </row>
    <row r="155" spans="1:9" x14ac:dyDescent="0.2">
      <c r="A155" s="2">
        <v>18</v>
      </c>
      <c r="B155" s="1" t="s">
        <v>123</v>
      </c>
      <c r="C155" s="4">
        <v>28</v>
      </c>
      <c r="D155" s="8">
        <v>1.24</v>
      </c>
      <c r="E155" s="4">
        <v>11</v>
      </c>
      <c r="F155" s="8">
        <v>0.83</v>
      </c>
      <c r="G155" s="4">
        <v>17</v>
      </c>
      <c r="H155" s="8">
        <v>1.87</v>
      </c>
      <c r="I155" s="4">
        <v>0</v>
      </c>
    </row>
    <row r="156" spans="1:9" x14ac:dyDescent="0.2">
      <c r="A156" s="2">
        <v>18</v>
      </c>
      <c r="B156" s="1" t="s">
        <v>157</v>
      </c>
      <c r="C156" s="4">
        <v>28</v>
      </c>
      <c r="D156" s="8">
        <v>1.24</v>
      </c>
      <c r="E156" s="4">
        <v>15</v>
      </c>
      <c r="F156" s="8">
        <v>1.1299999999999999</v>
      </c>
      <c r="G156" s="4">
        <v>13</v>
      </c>
      <c r="H156" s="8">
        <v>1.43</v>
      </c>
      <c r="I156" s="4">
        <v>0</v>
      </c>
    </row>
    <row r="157" spans="1:9" x14ac:dyDescent="0.2">
      <c r="A157" s="2">
        <v>18</v>
      </c>
      <c r="B157" s="1" t="s">
        <v>127</v>
      </c>
      <c r="C157" s="4">
        <v>28</v>
      </c>
      <c r="D157" s="8">
        <v>1.24</v>
      </c>
      <c r="E157" s="4">
        <v>21</v>
      </c>
      <c r="F157" s="8">
        <v>1.58</v>
      </c>
      <c r="G157" s="4">
        <v>7</v>
      </c>
      <c r="H157" s="8">
        <v>0.77</v>
      </c>
      <c r="I157" s="4">
        <v>0</v>
      </c>
    </row>
    <row r="158" spans="1:9" x14ac:dyDescent="0.2">
      <c r="A158" s="1"/>
      <c r="C158" s="4"/>
      <c r="D158" s="8"/>
      <c r="E158" s="4"/>
      <c r="F158" s="8"/>
      <c r="G158" s="4"/>
      <c r="H158" s="8"/>
      <c r="I158" s="4"/>
    </row>
    <row r="159" spans="1:9" x14ac:dyDescent="0.2">
      <c r="A159" s="1" t="s">
        <v>7</v>
      </c>
      <c r="C159" s="4"/>
      <c r="D159" s="8"/>
      <c r="E159" s="4"/>
      <c r="F159" s="8"/>
      <c r="G159" s="4"/>
      <c r="H159" s="8"/>
      <c r="I159" s="4"/>
    </row>
    <row r="160" spans="1:9" x14ac:dyDescent="0.2">
      <c r="A160" s="2">
        <v>1</v>
      </c>
      <c r="B160" s="1" t="s">
        <v>138</v>
      </c>
      <c r="C160" s="4">
        <v>30</v>
      </c>
      <c r="D160" s="8">
        <v>3.85</v>
      </c>
      <c r="E160" s="4">
        <v>27</v>
      </c>
      <c r="F160" s="8">
        <v>5.82</v>
      </c>
      <c r="G160" s="4">
        <v>3</v>
      </c>
      <c r="H160" s="8">
        <v>0.98</v>
      </c>
      <c r="I160" s="4">
        <v>0</v>
      </c>
    </row>
    <row r="161" spans="1:9" x14ac:dyDescent="0.2">
      <c r="A161" s="2">
        <v>2</v>
      </c>
      <c r="B161" s="1" t="s">
        <v>132</v>
      </c>
      <c r="C161" s="4">
        <v>23</v>
      </c>
      <c r="D161" s="8">
        <v>2.95</v>
      </c>
      <c r="E161" s="4">
        <v>16</v>
      </c>
      <c r="F161" s="8">
        <v>3.45</v>
      </c>
      <c r="G161" s="4">
        <v>6</v>
      </c>
      <c r="H161" s="8">
        <v>1.97</v>
      </c>
      <c r="I161" s="4">
        <v>0</v>
      </c>
    </row>
    <row r="162" spans="1:9" x14ac:dyDescent="0.2">
      <c r="A162" s="2">
        <v>3</v>
      </c>
      <c r="B162" s="1" t="s">
        <v>130</v>
      </c>
      <c r="C162" s="4">
        <v>18</v>
      </c>
      <c r="D162" s="8">
        <v>2.31</v>
      </c>
      <c r="E162" s="4">
        <v>12</v>
      </c>
      <c r="F162" s="8">
        <v>2.59</v>
      </c>
      <c r="G162" s="4">
        <v>6</v>
      </c>
      <c r="H162" s="8">
        <v>1.97</v>
      </c>
      <c r="I162" s="4">
        <v>0</v>
      </c>
    </row>
    <row r="163" spans="1:9" x14ac:dyDescent="0.2">
      <c r="A163" s="2">
        <v>4</v>
      </c>
      <c r="B163" s="1" t="s">
        <v>122</v>
      </c>
      <c r="C163" s="4">
        <v>17</v>
      </c>
      <c r="D163" s="8">
        <v>2.1800000000000002</v>
      </c>
      <c r="E163" s="4">
        <v>3</v>
      </c>
      <c r="F163" s="8">
        <v>0.65</v>
      </c>
      <c r="G163" s="4">
        <v>14</v>
      </c>
      <c r="H163" s="8">
        <v>4.59</v>
      </c>
      <c r="I163" s="4">
        <v>0</v>
      </c>
    </row>
    <row r="164" spans="1:9" x14ac:dyDescent="0.2">
      <c r="A164" s="2">
        <v>4</v>
      </c>
      <c r="B164" s="1" t="s">
        <v>124</v>
      </c>
      <c r="C164" s="4">
        <v>17</v>
      </c>
      <c r="D164" s="8">
        <v>2.1800000000000002</v>
      </c>
      <c r="E164" s="4">
        <v>13</v>
      </c>
      <c r="F164" s="8">
        <v>2.8</v>
      </c>
      <c r="G164" s="4">
        <v>4</v>
      </c>
      <c r="H164" s="8">
        <v>1.31</v>
      </c>
      <c r="I164" s="4">
        <v>0</v>
      </c>
    </row>
    <row r="165" spans="1:9" x14ac:dyDescent="0.2">
      <c r="A165" s="2">
        <v>4</v>
      </c>
      <c r="B165" s="1" t="s">
        <v>136</v>
      </c>
      <c r="C165" s="4">
        <v>17</v>
      </c>
      <c r="D165" s="8">
        <v>2.1800000000000002</v>
      </c>
      <c r="E165" s="4">
        <v>15</v>
      </c>
      <c r="F165" s="8">
        <v>3.23</v>
      </c>
      <c r="G165" s="4">
        <v>2</v>
      </c>
      <c r="H165" s="8">
        <v>0.66</v>
      </c>
      <c r="I165" s="4">
        <v>0</v>
      </c>
    </row>
    <row r="166" spans="1:9" x14ac:dyDescent="0.2">
      <c r="A166" s="2">
        <v>4</v>
      </c>
      <c r="B166" s="1" t="s">
        <v>137</v>
      </c>
      <c r="C166" s="4">
        <v>17</v>
      </c>
      <c r="D166" s="8">
        <v>2.1800000000000002</v>
      </c>
      <c r="E166" s="4">
        <v>17</v>
      </c>
      <c r="F166" s="8">
        <v>3.66</v>
      </c>
      <c r="G166" s="4">
        <v>0</v>
      </c>
      <c r="H166" s="8">
        <v>0</v>
      </c>
      <c r="I166" s="4">
        <v>0</v>
      </c>
    </row>
    <row r="167" spans="1:9" x14ac:dyDescent="0.2">
      <c r="A167" s="2">
        <v>8</v>
      </c>
      <c r="B167" s="1" t="s">
        <v>162</v>
      </c>
      <c r="C167" s="4">
        <v>16</v>
      </c>
      <c r="D167" s="8">
        <v>2.0499999999999998</v>
      </c>
      <c r="E167" s="4">
        <v>11</v>
      </c>
      <c r="F167" s="8">
        <v>2.37</v>
      </c>
      <c r="G167" s="4">
        <v>5</v>
      </c>
      <c r="H167" s="8">
        <v>1.64</v>
      </c>
      <c r="I167" s="4">
        <v>0</v>
      </c>
    </row>
    <row r="168" spans="1:9" x14ac:dyDescent="0.2">
      <c r="A168" s="2">
        <v>8</v>
      </c>
      <c r="B168" s="1" t="s">
        <v>134</v>
      </c>
      <c r="C168" s="4">
        <v>16</v>
      </c>
      <c r="D168" s="8">
        <v>2.0499999999999998</v>
      </c>
      <c r="E168" s="4">
        <v>14</v>
      </c>
      <c r="F168" s="8">
        <v>3.02</v>
      </c>
      <c r="G168" s="4">
        <v>2</v>
      </c>
      <c r="H168" s="8">
        <v>0.66</v>
      </c>
      <c r="I168" s="4">
        <v>0</v>
      </c>
    </row>
    <row r="169" spans="1:9" x14ac:dyDescent="0.2">
      <c r="A169" s="2">
        <v>10</v>
      </c>
      <c r="B169" s="1" t="s">
        <v>154</v>
      </c>
      <c r="C169" s="4">
        <v>14</v>
      </c>
      <c r="D169" s="8">
        <v>1.79</v>
      </c>
      <c r="E169" s="4">
        <v>10</v>
      </c>
      <c r="F169" s="8">
        <v>2.16</v>
      </c>
      <c r="G169" s="4">
        <v>4</v>
      </c>
      <c r="H169" s="8">
        <v>1.31</v>
      </c>
      <c r="I169" s="4">
        <v>0</v>
      </c>
    </row>
    <row r="170" spans="1:9" x14ac:dyDescent="0.2">
      <c r="A170" s="2">
        <v>10</v>
      </c>
      <c r="B170" s="1" t="s">
        <v>148</v>
      </c>
      <c r="C170" s="4">
        <v>14</v>
      </c>
      <c r="D170" s="8">
        <v>1.79</v>
      </c>
      <c r="E170" s="4">
        <v>12</v>
      </c>
      <c r="F170" s="8">
        <v>2.59</v>
      </c>
      <c r="G170" s="4">
        <v>2</v>
      </c>
      <c r="H170" s="8">
        <v>0.66</v>
      </c>
      <c r="I170" s="4">
        <v>0</v>
      </c>
    </row>
    <row r="171" spans="1:9" x14ac:dyDescent="0.2">
      <c r="A171" s="2">
        <v>12</v>
      </c>
      <c r="B171" s="1" t="s">
        <v>139</v>
      </c>
      <c r="C171" s="4">
        <v>13</v>
      </c>
      <c r="D171" s="8">
        <v>1.67</v>
      </c>
      <c r="E171" s="4">
        <v>11</v>
      </c>
      <c r="F171" s="8">
        <v>2.37</v>
      </c>
      <c r="G171" s="4">
        <v>2</v>
      </c>
      <c r="H171" s="8">
        <v>0.66</v>
      </c>
      <c r="I171" s="4">
        <v>0</v>
      </c>
    </row>
    <row r="172" spans="1:9" x14ac:dyDescent="0.2">
      <c r="A172" s="2">
        <v>13</v>
      </c>
      <c r="B172" s="1" t="s">
        <v>159</v>
      </c>
      <c r="C172" s="4">
        <v>11</v>
      </c>
      <c r="D172" s="8">
        <v>1.41</v>
      </c>
      <c r="E172" s="4">
        <v>9</v>
      </c>
      <c r="F172" s="8">
        <v>1.94</v>
      </c>
      <c r="G172" s="4">
        <v>2</v>
      </c>
      <c r="H172" s="8">
        <v>0.66</v>
      </c>
      <c r="I172" s="4">
        <v>0</v>
      </c>
    </row>
    <row r="173" spans="1:9" x14ac:dyDescent="0.2">
      <c r="A173" s="2">
        <v>13</v>
      </c>
      <c r="B173" s="1" t="s">
        <v>133</v>
      </c>
      <c r="C173" s="4">
        <v>11</v>
      </c>
      <c r="D173" s="8">
        <v>1.41</v>
      </c>
      <c r="E173" s="4">
        <v>5</v>
      </c>
      <c r="F173" s="8">
        <v>1.08</v>
      </c>
      <c r="G173" s="4">
        <v>6</v>
      </c>
      <c r="H173" s="8">
        <v>1.97</v>
      </c>
      <c r="I173" s="4">
        <v>0</v>
      </c>
    </row>
    <row r="174" spans="1:9" x14ac:dyDescent="0.2">
      <c r="A174" s="2">
        <v>15</v>
      </c>
      <c r="B174" s="1" t="s">
        <v>125</v>
      </c>
      <c r="C174" s="4">
        <v>10</v>
      </c>
      <c r="D174" s="8">
        <v>1.28</v>
      </c>
      <c r="E174" s="4">
        <v>5</v>
      </c>
      <c r="F174" s="8">
        <v>1.08</v>
      </c>
      <c r="G174" s="4">
        <v>5</v>
      </c>
      <c r="H174" s="8">
        <v>1.64</v>
      </c>
      <c r="I174" s="4">
        <v>0</v>
      </c>
    </row>
    <row r="175" spans="1:9" x14ac:dyDescent="0.2">
      <c r="A175" s="2">
        <v>15</v>
      </c>
      <c r="B175" s="1" t="s">
        <v>158</v>
      </c>
      <c r="C175" s="4">
        <v>10</v>
      </c>
      <c r="D175" s="8">
        <v>1.28</v>
      </c>
      <c r="E175" s="4">
        <v>4</v>
      </c>
      <c r="F175" s="8">
        <v>0.86</v>
      </c>
      <c r="G175" s="4">
        <v>6</v>
      </c>
      <c r="H175" s="8">
        <v>1.97</v>
      </c>
      <c r="I175" s="4">
        <v>0</v>
      </c>
    </row>
    <row r="176" spans="1:9" x14ac:dyDescent="0.2">
      <c r="A176" s="2">
        <v>15</v>
      </c>
      <c r="B176" s="1" t="s">
        <v>160</v>
      </c>
      <c r="C176" s="4">
        <v>10</v>
      </c>
      <c r="D176" s="8">
        <v>1.28</v>
      </c>
      <c r="E176" s="4">
        <v>6</v>
      </c>
      <c r="F176" s="8">
        <v>1.29</v>
      </c>
      <c r="G176" s="4">
        <v>4</v>
      </c>
      <c r="H176" s="8">
        <v>1.31</v>
      </c>
      <c r="I176" s="4">
        <v>0</v>
      </c>
    </row>
    <row r="177" spans="1:9" x14ac:dyDescent="0.2">
      <c r="A177" s="2">
        <v>15</v>
      </c>
      <c r="B177" s="1" t="s">
        <v>161</v>
      </c>
      <c r="C177" s="4">
        <v>10</v>
      </c>
      <c r="D177" s="8">
        <v>1.28</v>
      </c>
      <c r="E177" s="4">
        <v>5</v>
      </c>
      <c r="F177" s="8">
        <v>1.08</v>
      </c>
      <c r="G177" s="4">
        <v>5</v>
      </c>
      <c r="H177" s="8">
        <v>1.64</v>
      </c>
      <c r="I177" s="4">
        <v>0</v>
      </c>
    </row>
    <row r="178" spans="1:9" x14ac:dyDescent="0.2">
      <c r="A178" s="2">
        <v>15</v>
      </c>
      <c r="B178" s="1" t="s">
        <v>128</v>
      </c>
      <c r="C178" s="4">
        <v>10</v>
      </c>
      <c r="D178" s="8">
        <v>1.28</v>
      </c>
      <c r="E178" s="4">
        <v>5</v>
      </c>
      <c r="F178" s="8">
        <v>1.08</v>
      </c>
      <c r="G178" s="4">
        <v>5</v>
      </c>
      <c r="H178" s="8">
        <v>1.64</v>
      </c>
      <c r="I178" s="4">
        <v>0</v>
      </c>
    </row>
    <row r="179" spans="1:9" x14ac:dyDescent="0.2">
      <c r="A179" s="2">
        <v>15</v>
      </c>
      <c r="B179" s="1" t="s">
        <v>163</v>
      </c>
      <c r="C179" s="4">
        <v>10</v>
      </c>
      <c r="D179" s="8">
        <v>1.28</v>
      </c>
      <c r="E179" s="4">
        <v>6</v>
      </c>
      <c r="F179" s="8">
        <v>1.29</v>
      </c>
      <c r="G179" s="4">
        <v>4</v>
      </c>
      <c r="H179" s="8">
        <v>1.31</v>
      </c>
      <c r="I179" s="4">
        <v>0</v>
      </c>
    </row>
    <row r="180" spans="1:9" x14ac:dyDescent="0.2">
      <c r="A180" s="2">
        <v>15</v>
      </c>
      <c r="B180" s="1" t="s">
        <v>164</v>
      </c>
      <c r="C180" s="4">
        <v>10</v>
      </c>
      <c r="D180" s="8">
        <v>1.28</v>
      </c>
      <c r="E180" s="4">
        <v>4</v>
      </c>
      <c r="F180" s="8">
        <v>0.86</v>
      </c>
      <c r="G180" s="4">
        <v>6</v>
      </c>
      <c r="H180" s="8">
        <v>1.97</v>
      </c>
      <c r="I180" s="4">
        <v>0</v>
      </c>
    </row>
    <row r="181" spans="1:9" x14ac:dyDescent="0.2">
      <c r="A181" s="2">
        <v>15</v>
      </c>
      <c r="B181" s="1" t="s">
        <v>135</v>
      </c>
      <c r="C181" s="4">
        <v>10</v>
      </c>
      <c r="D181" s="8">
        <v>1.28</v>
      </c>
      <c r="E181" s="4">
        <v>10</v>
      </c>
      <c r="F181" s="8">
        <v>2.16</v>
      </c>
      <c r="G181" s="4">
        <v>0</v>
      </c>
      <c r="H181" s="8">
        <v>0</v>
      </c>
      <c r="I181" s="4">
        <v>0</v>
      </c>
    </row>
    <row r="182" spans="1:9" x14ac:dyDescent="0.2">
      <c r="A182" s="2">
        <v>15</v>
      </c>
      <c r="B182" s="1" t="s">
        <v>140</v>
      </c>
      <c r="C182" s="4">
        <v>10</v>
      </c>
      <c r="D182" s="8">
        <v>1.28</v>
      </c>
      <c r="E182" s="4">
        <v>9</v>
      </c>
      <c r="F182" s="8">
        <v>1.94</v>
      </c>
      <c r="G182" s="4">
        <v>1</v>
      </c>
      <c r="H182" s="8">
        <v>0.33</v>
      </c>
      <c r="I182" s="4">
        <v>0</v>
      </c>
    </row>
    <row r="183" spans="1:9" x14ac:dyDescent="0.2">
      <c r="A183" s="1"/>
      <c r="C183" s="4"/>
      <c r="D183" s="8"/>
      <c r="E183" s="4"/>
      <c r="F183" s="8"/>
      <c r="G183" s="4"/>
      <c r="H183" s="8"/>
      <c r="I183" s="4"/>
    </row>
    <row r="184" spans="1:9" x14ac:dyDescent="0.2">
      <c r="A184" s="1" t="s">
        <v>8</v>
      </c>
      <c r="C184" s="4"/>
      <c r="D184" s="8"/>
      <c r="E184" s="4"/>
      <c r="F184" s="8"/>
      <c r="G184" s="4"/>
      <c r="H184" s="8"/>
      <c r="I184" s="4"/>
    </row>
    <row r="185" spans="1:9" x14ac:dyDescent="0.2">
      <c r="A185" s="2">
        <v>1</v>
      </c>
      <c r="B185" s="1" t="s">
        <v>126</v>
      </c>
      <c r="C185" s="4">
        <v>47</v>
      </c>
      <c r="D185" s="8">
        <v>4.34</v>
      </c>
      <c r="E185" s="4">
        <v>20</v>
      </c>
      <c r="F185" s="8">
        <v>3.23</v>
      </c>
      <c r="G185" s="4">
        <v>27</v>
      </c>
      <c r="H185" s="8">
        <v>6.12</v>
      </c>
      <c r="I185" s="4">
        <v>0</v>
      </c>
    </row>
    <row r="186" spans="1:9" x14ac:dyDescent="0.2">
      <c r="A186" s="2">
        <v>2</v>
      </c>
      <c r="B186" s="1" t="s">
        <v>136</v>
      </c>
      <c r="C186" s="4">
        <v>46</v>
      </c>
      <c r="D186" s="8">
        <v>4.25</v>
      </c>
      <c r="E186" s="4">
        <v>42</v>
      </c>
      <c r="F186" s="8">
        <v>6.79</v>
      </c>
      <c r="G186" s="4">
        <v>4</v>
      </c>
      <c r="H186" s="8">
        <v>0.91</v>
      </c>
      <c r="I186" s="4">
        <v>0</v>
      </c>
    </row>
    <row r="187" spans="1:9" x14ac:dyDescent="0.2">
      <c r="A187" s="2">
        <v>3</v>
      </c>
      <c r="B187" s="1" t="s">
        <v>138</v>
      </c>
      <c r="C187" s="4">
        <v>43</v>
      </c>
      <c r="D187" s="8">
        <v>3.97</v>
      </c>
      <c r="E187" s="4">
        <v>38</v>
      </c>
      <c r="F187" s="8">
        <v>6.14</v>
      </c>
      <c r="G187" s="4">
        <v>5</v>
      </c>
      <c r="H187" s="8">
        <v>1.1299999999999999</v>
      </c>
      <c r="I187" s="4">
        <v>0</v>
      </c>
    </row>
    <row r="188" spans="1:9" x14ac:dyDescent="0.2">
      <c r="A188" s="2">
        <v>4</v>
      </c>
      <c r="B188" s="1" t="s">
        <v>137</v>
      </c>
      <c r="C188" s="4">
        <v>36</v>
      </c>
      <c r="D188" s="8">
        <v>3.33</v>
      </c>
      <c r="E188" s="4">
        <v>35</v>
      </c>
      <c r="F188" s="8">
        <v>5.65</v>
      </c>
      <c r="G188" s="4">
        <v>1</v>
      </c>
      <c r="H188" s="8">
        <v>0.23</v>
      </c>
      <c r="I188" s="4">
        <v>0</v>
      </c>
    </row>
    <row r="189" spans="1:9" x14ac:dyDescent="0.2">
      <c r="A189" s="2">
        <v>5</v>
      </c>
      <c r="B189" s="1" t="s">
        <v>134</v>
      </c>
      <c r="C189" s="4">
        <v>32</v>
      </c>
      <c r="D189" s="8">
        <v>2.96</v>
      </c>
      <c r="E189" s="4">
        <v>25</v>
      </c>
      <c r="F189" s="8">
        <v>4.04</v>
      </c>
      <c r="G189" s="4">
        <v>7</v>
      </c>
      <c r="H189" s="8">
        <v>1.59</v>
      </c>
      <c r="I189" s="4">
        <v>0</v>
      </c>
    </row>
    <row r="190" spans="1:9" x14ac:dyDescent="0.2">
      <c r="A190" s="2">
        <v>6</v>
      </c>
      <c r="B190" s="1" t="s">
        <v>122</v>
      </c>
      <c r="C190" s="4">
        <v>27</v>
      </c>
      <c r="D190" s="8">
        <v>2.5</v>
      </c>
      <c r="E190" s="4">
        <v>7</v>
      </c>
      <c r="F190" s="8">
        <v>1.1299999999999999</v>
      </c>
      <c r="G190" s="4">
        <v>20</v>
      </c>
      <c r="H190" s="8">
        <v>4.54</v>
      </c>
      <c r="I190" s="4">
        <v>0</v>
      </c>
    </row>
    <row r="191" spans="1:9" x14ac:dyDescent="0.2">
      <c r="A191" s="2">
        <v>7</v>
      </c>
      <c r="B191" s="1" t="s">
        <v>124</v>
      </c>
      <c r="C191" s="4">
        <v>26</v>
      </c>
      <c r="D191" s="8">
        <v>2.4</v>
      </c>
      <c r="E191" s="4">
        <v>17</v>
      </c>
      <c r="F191" s="8">
        <v>2.75</v>
      </c>
      <c r="G191" s="4">
        <v>9</v>
      </c>
      <c r="H191" s="8">
        <v>2.04</v>
      </c>
      <c r="I191" s="4">
        <v>0</v>
      </c>
    </row>
    <row r="192" spans="1:9" x14ac:dyDescent="0.2">
      <c r="A192" s="2">
        <v>7</v>
      </c>
      <c r="B192" s="1" t="s">
        <v>128</v>
      </c>
      <c r="C192" s="4">
        <v>26</v>
      </c>
      <c r="D192" s="8">
        <v>2.4</v>
      </c>
      <c r="E192" s="4">
        <v>16</v>
      </c>
      <c r="F192" s="8">
        <v>2.58</v>
      </c>
      <c r="G192" s="4">
        <v>10</v>
      </c>
      <c r="H192" s="8">
        <v>2.27</v>
      </c>
      <c r="I192" s="4">
        <v>0</v>
      </c>
    </row>
    <row r="193" spans="1:9" x14ac:dyDescent="0.2">
      <c r="A193" s="2">
        <v>7</v>
      </c>
      <c r="B193" s="1" t="s">
        <v>132</v>
      </c>
      <c r="C193" s="4">
        <v>26</v>
      </c>
      <c r="D193" s="8">
        <v>2.4</v>
      </c>
      <c r="E193" s="4">
        <v>12</v>
      </c>
      <c r="F193" s="8">
        <v>1.94</v>
      </c>
      <c r="G193" s="4">
        <v>13</v>
      </c>
      <c r="H193" s="8">
        <v>2.95</v>
      </c>
      <c r="I193" s="4">
        <v>0</v>
      </c>
    </row>
    <row r="194" spans="1:9" x14ac:dyDescent="0.2">
      <c r="A194" s="2">
        <v>10</v>
      </c>
      <c r="B194" s="1" t="s">
        <v>140</v>
      </c>
      <c r="C194" s="4">
        <v>24</v>
      </c>
      <c r="D194" s="8">
        <v>2.2200000000000002</v>
      </c>
      <c r="E194" s="4">
        <v>24</v>
      </c>
      <c r="F194" s="8">
        <v>3.88</v>
      </c>
      <c r="G194" s="4">
        <v>0</v>
      </c>
      <c r="H194" s="8">
        <v>0</v>
      </c>
      <c r="I194" s="4">
        <v>0</v>
      </c>
    </row>
    <row r="195" spans="1:9" x14ac:dyDescent="0.2">
      <c r="A195" s="2">
        <v>11</v>
      </c>
      <c r="B195" s="1" t="s">
        <v>130</v>
      </c>
      <c r="C195" s="4">
        <v>22</v>
      </c>
      <c r="D195" s="8">
        <v>2.0299999999999998</v>
      </c>
      <c r="E195" s="4">
        <v>15</v>
      </c>
      <c r="F195" s="8">
        <v>2.42</v>
      </c>
      <c r="G195" s="4">
        <v>6</v>
      </c>
      <c r="H195" s="8">
        <v>1.36</v>
      </c>
      <c r="I195" s="4">
        <v>1</v>
      </c>
    </row>
    <row r="196" spans="1:9" x14ac:dyDescent="0.2">
      <c r="A196" s="2">
        <v>12</v>
      </c>
      <c r="B196" s="1" t="s">
        <v>127</v>
      </c>
      <c r="C196" s="4">
        <v>21</v>
      </c>
      <c r="D196" s="8">
        <v>1.94</v>
      </c>
      <c r="E196" s="4">
        <v>13</v>
      </c>
      <c r="F196" s="8">
        <v>2.1</v>
      </c>
      <c r="G196" s="4">
        <v>8</v>
      </c>
      <c r="H196" s="8">
        <v>1.81</v>
      </c>
      <c r="I196" s="4">
        <v>0</v>
      </c>
    </row>
    <row r="197" spans="1:9" x14ac:dyDescent="0.2">
      <c r="A197" s="2">
        <v>13</v>
      </c>
      <c r="B197" s="1" t="s">
        <v>139</v>
      </c>
      <c r="C197" s="4">
        <v>20</v>
      </c>
      <c r="D197" s="8">
        <v>1.85</v>
      </c>
      <c r="E197" s="4">
        <v>14</v>
      </c>
      <c r="F197" s="8">
        <v>2.2599999999999998</v>
      </c>
      <c r="G197" s="4">
        <v>5</v>
      </c>
      <c r="H197" s="8">
        <v>1.1299999999999999</v>
      </c>
      <c r="I197" s="4">
        <v>1</v>
      </c>
    </row>
    <row r="198" spans="1:9" x14ac:dyDescent="0.2">
      <c r="A198" s="2">
        <v>14</v>
      </c>
      <c r="B198" s="1" t="s">
        <v>141</v>
      </c>
      <c r="C198" s="4">
        <v>19</v>
      </c>
      <c r="D198" s="8">
        <v>1.76</v>
      </c>
      <c r="E198" s="4">
        <v>15</v>
      </c>
      <c r="F198" s="8">
        <v>2.42</v>
      </c>
      <c r="G198" s="4">
        <v>4</v>
      </c>
      <c r="H198" s="8">
        <v>0.91</v>
      </c>
      <c r="I198" s="4">
        <v>0</v>
      </c>
    </row>
    <row r="199" spans="1:9" x14ac:dyDescent="0.2">
      <c r="A199" s="2">
        <v>15</v>
      </c>
      <c r="B199" s="1" t="s">
        <v>166</v>
      </c>
      <c r="C199" s="4">
        <v>18</v>
      </c>
      <c r="D199" s="8">
        <v>1.66</v>
      </c>
      <c r="E199" s="4">
        <v>9</v>
      </c>
      <c r="F199" s="8">
        <v>1.45</v>
      </c>
      <c r="G199" s="4">
        <v>9</v>
      </c>
      <c r="H199" s="8">
        <v>2.04</v>
      </c>
      <c r="I199" s="4">
        <v>0</v>
      </c>
    </row>
    <row r="200" spans="1:9" x14ac:dyDescent="0.2">
      <c r="A200" s="2">
        <v>16</v>
      </c>
      <c r="B200" s="1" t="s">
        <v>151</v>
      </c>
      <c r="C200" s="4">
        <v>17</v>
      </c>
      <c r="D200" s="8">
        <v>1.57</v>
      </c>
      <c r="E200" s="4">
        <v>8</v>
      </c>
      <c r="F200" s="8">
        <v>1.29</v>
      </c>
      <c r="G200" s="4">
        <v>9</v>
      </c>
      <c r="H200" s="8">
        <v>2.04</v>
      </c>
      <c r="I200" s="4">
        <v>0</v>
      </c>
    </row>
    <row r="201" spans="1:9" x14ac:dyDescent="0.2">
      <c r="A201" s="2">
        <v>16</v>
      </c>
      <c r="B201" s="1" t="s">
        <v>135</v>
      </c>
      <c r="C201" s="4">
        <v>17</v>
      </c>
      <c r="D201" s="8">
        <v>1.57</v>
      </c>
      <c r="E201" s="4">
        <v>16</v>
      </c>
      <c r="F201" s="8">
        <v>2.58</v>
      </c>
      <c r="G201" s="4">
        <v>1</v>
      </c>
      <c r="H201" s="8">
        <v>0.23</v>
      </c>
      <c r="I201" s="4">
        <v>0</v>
      </c>
    </row>
    <row r="202" spans="1:9" x14ac:dyDescent="0.2">
      <c r="A202" s="2">
        <v>18</v>
      </c>
      <c r="B202" s="1" t="s">
        <v>165</v>
      </c>
      <c r="C202" s="4">
        <v>16</v>
      </c>
      <c r="D202" s="8">
        <v>1.48</v>
      </c>
      <c r="E202" s="4">
        <v>7</v>
      </c>
      <c r="F202" s="8">
        <v>1.1299999999999999</v>
      </c>
      <c r="G202" s="4">
        <v>9</v>
      </c>
      <c r="H202" s="8">
        <v>2.04</v>
      </c>
      <c r="I202" s="4">
        <v>0</v>
      </c>
    </row>
    <row r="203" spans="1:9" x14ac:dyDescent="0.2">
      <c r="A203" s="2">
        <v>18</v>
      </c>
      <c r="B203" s="1" t="s">
        <v>129</v>
      </c>
      <c r="C203" s="4">
        <v>16</v>
      </c>
      <c r="D203" s="8">
        <v>1.48</v>
      </c>
      <c r="E203" s="4">
        <v>5</v>
      </c>
      <c r="F203" s="8">
        <v>0.81</v>
      </c>
      <c r="G203" s="4">
        <v>11</v>
      </c>
      <c r="H203" s="8">
        <v>2.4900000000000002</v>
      </c>
      <c r="I203" s="4">
        <v>0</v>
      </c>
    </row>
    <row r="204" spans="1:9" x14ac:dyDescent="0.2">
      <c r="A204" s="2">
        <v>18</v>
      </c>
      <c r="B204" s="1" t="s">
        <v>167</v>
      </c>
      <c r="C204" s="4">
        <v>16</v>
      </c>
      <c r="D204" s="8">
        <v>1.48</v>
      </c>
      <c r="E204" s="4">
        <v>13</v>
      </c>
      <c r="F204" s="8">
        <v>2.1</v>
      </c>
      <c r="G204" s="4">
        <v>3</v>
      </c>
      <c r="H204" s="8">
        <v>0.68</v>
      </c>
      <c r="I204" s="4">
        <v>0</v>
      </c>
    </row>
    <row r="205" spans="1:9" x14ac:dyDescent="0.2">
      <c r="A205" s="1"/>
      <c r="C205" s="4"/>
      <c r="D205" s="8"/>
      <c r="E205" s="4"/>
      <c r="F205" s="8"/>
      <c r="G205" s="4"/>
      <c r="H205" s="8"/>
      <c r="I205" s="4"/>
    </row>
    <row r="206" spans="1:9" x14ac:dyDescent="0.2">
      <c r="A206" s="1" t="s">
        <v>9</v>
      </c>
      <c r="C206" s="4"/>
      <c r="D206" s="8"/>
      <c r="E206" s="4"/>
      <c r="F206" s="8"/>
      <c r="G206" s="4"/>
      <c r="H206" s="8"/>
      <c r="I206" s="4"/>
    </row>
    <row r="207" spans="1:9" x14ac:dyDescent="0.2">
      <c r="A207" s="2">
        <v>1</v>
      </c>
      <c r="B207" s="1" t="s">
        <v>138</v>
      </c>
      <c r="C207" s="4">
        <v>74</v>
      </c>
      <c r="D207" s="8">
        <v>4.29</v>
      </c>
      <c r="E207" s="4">
        <v>65</v>
      </c>
      <c r="F207" s="8">
        <v>6.83</v>
      </c>
      <c r="G207" s="4">
        <v>9</v>
      </c>
      <c r="H207" s="8">
        <v>1.19</v>
      </c>
      <c r="I207" s="4">
        <v>0</v>
      </c>
    </row>
    <row r="208" spans="1:9" x14ac:dyDescent="0.2">
      <c r="A208" s="2">
        <v>2</v>
      </c>
      <c r="B208" s="1" t="s">
        <v>136</v>
      </c>
      <c r="C208" s="4">
        <v>62</v>
      </c>
      <c r="D208" s="8">
        <v>3.59</v>
      </c>
      <c r="E208" s="4">
        <v>60</v>
      </c>
      <c r="F208" s="8">
        <v>6.3</v>
      </c>
      <c r="G208" s="4">
        <v>2</v>
      </c>
      <c r="H208" s="8">
        <v>0.26</v>
      </c>
      <c r="I208" s="4">
        <v>0</v>
      </c>
    </row>
    <row r="209" spans="1:9" x14ac:dyDescent="0.2">
      <c r="A209" s="2">
        <v>3</v>
      </c>
      <c r="B209" s="1" t="s">
        <v>128</v>
      </c>
      <c r="C209" s="4">
        <v>54</v>
      </c>
      <c r="D209" s="8">
        <v>3.13</v>
      </c>
      <c r="E209" s="4">
        <v>37</v>
      </c>
      <c r="F209" s="8">
        <v>3.89</v>
      </c>
      <c r="G209" s="4">
        <v>17</v>
      </c>
      <c r="H209" s="8">
        <v>2.25</v>
      </c>
      <c r="I209" s="4">
        <v>0</v>
      </c>
    </row>
    <row r="210" spans="1:9" x14ac:dyDescent="0.2">
      <c r="A210" s="2">
        <v>4</v>
      </c>
      <c r="B210" s="1" t="s">
        <v>137</v>
      </c>
      <c r="C210" s="4">
        <v>52</v>
      </c>
      <c r="D210" s="8">
        <v>3.01</v>
      </c>
      <c r="E210" s="4">
        <v>51</v>
      </c>
      <c r="F210" s="8">
        <v>5.36</v>
      </c>
      <c r="G210" s="4">
        <v>1</v>
      </c>
      <c r="H210" s="8">
        <v>0.13</v>
      </c>
      <c r="I210" s="4">
        <v>0</v>
      </c>
    </row>
    <row r="211" spans="1:9" x14ac:dyDescent="0.2">
      <c r="A211" s="2">
        <v>5</v>
      </c>
      <c r="B211" s="1" t="s">
        <v>168</v>
      </c>
      <c r="C211" s="4">
        <v>47</v>
      </c>
      <c r="D211" s="8">
        <v>2.72</v>
      </c>
      <c r="E211" s="4">
        <v>39</v>
      </c>
      <c r="F211" s="8">
        <v>4.0999999999999996</v>
      </c>
      <c r="G211" s="4">
        <v>8</v>
      </c>
      <c r="H211" s="8">
        <v>1.06</v>
      </c>
      <c r="I211" s="4">
        <v>0</v>
      </c>
    </row>
    <row r="212" spans="1:9" x14ac:dyDescent="0.2">
      <c r="A212" s="2">
        <v>6</v>
      </c>
      <c r="B212" s="1" t="s">
        <v>140</v>
      </c>
      <c r="C212" s="4">
        <v>43</v>
      </c>
      <c r="D212" s="8">
        <v>2.4900000000000002</v>
      </c>
      <c r="E212" s="4">
        <v>41</v>
      </c>
      <c r="F212" s="8">
        <v>4.3099999999999996</v>
      </c>
      <c r="G212" s="4">
        <v>2</v>
      </c>
      <c r="H212" s="8">
        <v>0.26</v>
      </c>
      <c r="I212" s="4">
        <v>0</v>
      </c>
    </row>
    <row r="213" spans="1:9" x14ac:dyDescent="0.2">
      <c r="A213" s="2">
        <v>7</v>
      </c>
      <c r="B213" s="1" t="s">
        <v>142</v>
      </c>
      <c r="C213" s="4">
        <v>38</v>
      </c>
      <c r="D213" s="8">
        <v>2.2000000000000002</v>
      </c>
      <c r="E213" s="4">
        <v>25</v>
      </c>
      <c r="F213" s="8">
        <v>2.63</v>
      </c>
      <c r="G213" s="4">
        <v>13</v>
      </c>
      <c r="H213" s="8">
        <v>1.72</v>
      </c>
      <c r="I213" s="4">
        <v>0</v>
      </c>
    </row>
    <row r="214" spans="1:9" x14ac:dyDescent="0.2">
      <c r="A214" s="2">
        <v>8</v>
      </c>
      <c r="B214" s="1" t="s">
        <v>139</v>
      </c>
      <c r="C214" s="4">
        <v>35</v>
      </c>
      <c r="D214" s="8">
        <v>2.0299999999999998</v>
      </c>
      <c r="E214" s="4">
        <v>27</v>
      </c>
      <c r="F214" s="8">
        <v>2.84</v>
      </c>
      <c r="G214" s="4">
        <v>8</v>
      </c>
      <c r="H214" s="8">
        <v>1.06</v>
      </c>
      <c r="I214" s="4">
        <v>0</v>
      </c>
    </row>
    <row r="215" spans="1:9" x14ac:dyDescent="0.2">
      <c r="A215" s="2">
        <v>9</v>
      </c>
      <c r="B215" s="1" t="s">
        <v>132</v>
      </c>
      <c r="C215" s="4">
        <v>33</v>
      </c>
      <c r="D215" s="8">
        <v>1.91</v>
      </c>
      <c r="E215" s="4">
        <v>13</v>
      </c>
      <c r="F215" s="8">
        <v>1.37</v>
      </c>
      <c r="G215" s="4">
        <v>20</v>
      </c>
      <c r="H215" s="8">
        <v>2.65</v>
      </c>
      <c r="I215" s="4">
        <v>0</v>
      </c>
    </row>
    <row r="216" spans="1:9" x14ac:dyDescent="0.2">
      <c r="A216" s="2">
        <v>10</v>
      </c>
      <c r="B216" s="1" t="s">
        <v>141</v>
      </c>
      <c r="C216" s="4">
        <v>32</v>
      </c>
      <c r="D216" s="8">
        <v>1.85</v>
      </c>
      <c r="E216" s="4">
        <v>27</v>
      </c>
      <c r="F216" s="8">
        <v>2.84</v>
      </c>
      <c r="G216" s="4">
        <v>5</v>
      </c>
      <c r="H216" s="8">
        <v>0.66</v>
      </c>
      <c r="I216" s="4">
        <v>0</v>
      </c>
    </row>
    <row r="217" spans="1:9" x14ac:dyDescent="0.2">
      <c r="A217" s="2">
        <v>11</v>
      </c>
      <c r="B217" s="1" t="s">
        <v>122</v>
      </c>
      <c r="C217" s="4">
        <v>29</v>
      </c>
      <c r="D217" s="8">
        <v>1.68</v>
      </c>
      <c r="E217" s="4">
        <v>7</v>
      </c>
      <c r="F217" s="8">
        <v>0.74</v>
      </c>
      <c r="G217" s="4">
        <v>22</v>
      </c>
      <c r="H217" s="8">
        <v>2.91</v>
      </c>
      <c r="I217" s="4">
        <v>0</v>
      </c>
    </row>
    <row r="218" spans="1:9" x14ac:dyDescent="0.2">
      <c r="A218" s="2">
        <v>11</v>
      </c>
      <c r="B218" s="1" t="s">
        <v>134</v>
      </c>
      <c r="C218" s="4">
        <v>29</v>
      </c>
      <c r="D218" s="8">
        <v>1.68</v>
      </c>
      <c r="E218" s="4">
        <v>23</v>
      </c>
      <c r="F218" s="8">
        <v>2.42</v>
      </c>
      <c r="G218" s="4">
        <v>6</v>
      </c>
      <c r="H218" s="8">
        <v>0.79</v>
      </c>
      <c r="I218" s="4">
        <v>0</v>
      </c>
    </row>
    <row r="219" spans="1:9" x14ac:dyDescent="0.2">
      <c r="A219" s="2">
        <v>11</v>
      </c>
      <c r="B219" s="1" t="s">
        <v>145</v>
      </c>
      <c r="C219" s="4">
        <v>29</v>
      </c>
      <c r="D219" s="8">
        <v>1.68</v>
      </c>
      <c r="E219" s="4">
        <v>19</v>
      </c>
      <c r="F219" s="8">
        <v>2</v>
      </c>
      <c r="G219" s="4">
        <v>10</v>
      </c>
      <c r="H219" s="8">
        <v>1.32</v>
      </c>
      <c r="I219" s="4">
        <v>0</v>
      </c>
    </row>
    <row r="220" spans="1:9" x14ac:dyDescent="0.2">
      <c r="A220" s="2">
        <v>14</v>
      </c>
      <c r="B220" s="1" t="s">
        <v>169</v>
      </c>
      <c r="C220" s="4">
        <v>28</v>
      </c>
      <c r="D220" s="8">
        <v>1.62</v>
      </c>
      <c r="E220" s="4">
        <v>15</v>
      </c>
      <c r="F220" s="8">
        <v>1.58</v>
      </c>
      <c r="G220" s="4">
        <v>13</v>
      </c>
      <c r="H220" s="8">
        <v>1.72</v>
      </c>
      <c r="I220" s="4">
        <v>0</v>
      </c>
    </row>
    <row r="221" spans="1:9" x14ac:dyDescent="0.2">
      <c r="A221" s="2">
        <v>15</v>
      </c>
      <c r="B221" s="1" t="s">
        <v>125</v>
      </c>
      <c r="C221" s="4">
        <v>26</v>
      </c>
      <c r="D221" s="8">
        <v>1.51</v>
      </c>
      <c r="E221" s="4">
        <v>8</v>
      </c>
      <c r="F221" s="8">
        <v>0.84</v>
      </c>
      <c r="G221" s="4">
        <v>18</v>
      </c>
      <c r="H221" s="8">
        <v>2.38</v>
      </c>
      <c r="I221" s="4">
        <v>0</v>
      </c>
    </row>
    <row r="222" spans="1:9" x14ac:dyDescent="0.2">
      <c r="A222" s="2">
        <v>16</v>
      </c>
      <c r="B222" s="1" t="s">
        <v>123</v>
      </c>
      <c r="C222" s="4">
        <v>25</v>
      </c>
      <c r="D222" s="8">
        <v>1.45</v>
      </c>
      <c r="E222" s="4">
        <v>7</v>
      </c>
      <c r="F222" s="8">
        <v>0.74</v>
      </c>
      <c r="G222" s="4">
        <v>18</v>
      </c>
      <c r="H222" s="8">
        <v>2.38</v>
      </c>
      <c r="I222" s="4">
        <v>0</v>
      </c>
    </row>
    <row r="223" spans="1:9" x14ac:dyDescent="0.2">
      <c r="A223" s="2">
        <v>16</v>
      </c>
      <c r="B223" s="1" t="s">
        <v>130</v>
      </c>
      <c r="C223" s="4">
        <v>25</v>
      </c>
      <c r="D223" s="8">
        <v>1.45</v>
      </c>
      <c r="E223" s="4">
        <v>21</v>
      </c>
      <c r="F223" s="8">
        <v>2.21</v>
      </c>
      <c r="G223" s="4">
        <v>4</v>
      </c>
      <c r="H223" s="8">
        <v>0.53</v>
      </c>
      <c r="I223" s="4">
        <v>0</v>
      </c>
    </row>
    <row r="224" spans="1:9" x14ac:dyDescent="0.2">
      <c r="A224" s="2">
        <v>18</v>
      </c>
      <c r="B224" s="1" t="s">
        <v>135</v>
      </c>
      <c r="C224" s="4">
        <v>22</v>
      </c>
      <c r="D224" s="8">
        <v>1.27</v>
      </c>
      <c r="E224" s="4">
        <v>21</v>
      </c>
      <c r="F224" s="8">
        <v>2.21</v>
      </c>
      <c r="G224" s="4">
        <v>1</v>
      </c>
      <c r="H224" s="8">
        <v>0.13</v>
      </c>
      <c r="I224" s="4">
        <v>0</v>
      </c>
    </row>
    <row r="225" spans="1:9" x14ac:dyDescent="0.2">
      <c r="A225" s="2">
        <v>19</v>
      </c>
      <c r="B225" s="1" t="s">
        <v>165</v>
      </c>
      <c r="C225" s="4">
        <v>21</v>
      </c>
      <c r="D225" s="8">
        <v>1.22</v>
      </c>
      <c r="E225" s="4">
        <v>8</v>
      </c>
      <c r="F225" s="8">
        <v>0.84</v>
      </c>
      <c r="G225" s="4">
        <v>13</v>
      </c>
      <c r="H225" s="8">
        <v>1.72</v>
      </c>
      <c r="I225" s="4">
        <v>0</v>
      </c>
    </row>
    <row r="226" spans="1:9" x14ac:dyDescent="0.2">
      <c r="A226" s="2">
        <v>19</v>
      </c>
      <c r="B226" s="1" t="s">
        <v>158</v>
      </c>
      <c r="C226" s="4">
        <v>21</v>
      </c>
      <c r="D226" s="8">
        <v>1.22</v>
      </c>
      <c r="E226" s="4">
        <v>4</v>
      </c>
      <c r="F226" s="8">
        <v>0.42</v>
      </c>
      <c r="G226" s="4">
        <v>17</v>
      </c>
      <c r="H226" s="8">
        <v>2.25</v>
      </c>
      <c r="I226" s="4">
        <v>0</v>
      </c>
    </row>
    <row r="227" spans="1:9" x14ac:dyDescent="0.2">
      <c r="A227" s="2">
        <v>19</v>
      </c>
      <c r="B227" s="1" t="s">
        <v>133</v>
      </c>
      <c r="C227" s="4">
        <v>21</v>
      </c>
      <c r="D227" s="8">
        <v>1.22</v>
      </c>
      <c r="E227" s="4">
        <v>7</v>
      </c>
      <c r="F227" s="8">
        <v>0.74</v>
      </c>
      <c r="G227" s="4">
        <v>13</v>
      </c>
      <c r="H227" s="8">
        <v>1.72</v>
      </c>
      <c r="I227" s="4">
        <v>0</v>
      </c>
    </row>
    <row r="228" spans="1:9" x14ac:dyDescent="0.2">
      <c r="A228" s="1"/>
      <c r="C228" s="4"/>
      <c r="D228" s="8"/>
      <c r="E228" s="4"/>
      <c r="F228" s="8"/>
      <c r="G228" s="4"/>
      <c r="H228" s="8"/>
      <c r="I228" s="4"/>
    </row>
    <row r="229" spans="1:9" x14ac:dyDescent="0.2">
      <c r="A229" s="1" t="s">
        <v>10</v>
      </c>
      <c r="C229" s="4"/>
      <c r="D229" s="8"/>
      <c r="E229" s="4"/>
      <c r="F229" s="8"/>
      <c r="G229" s="4"/>
      <c r="H229" s="8"/>
      <c r="I229" s="4"/>
    </row>
    <row r="230" spans="1:9" x14ac:dyDescent="0.2">
      <c r="A230" s="2">
        <v>1</v>
      </c>
      <c r="B230" s="1" t="s">
        <v>138</v>
      </c>
      <c r="C230" s="4">
        <v>74</v>
      </c>
      <c r="D230" s="8">
        <v>5.04</v>
      </c>
      <c r="E230" s="4">
        <v>67</v>
      </c>
      <c r="F230" s="8">
        <v>7.69</v>
      </c>
      <c r="G230" s="4">
        <v>7</v>
      </c>
      <c r="H230" s="8">
        <v>1.24</v>
      </c>
      <c r="I230" s="4">
        <v>0</v>
      </c>
    </row>
    <row r="231" spans="1:9" x14ac:dyDescent="0.2">
      <c r="A231" s="2">
        <v>2</v>
      </c>
      <c r="B231" s="1" t="s">
        <v>136</v>
      </c>
      <c r="C231" s="4">
        <v>60</v>
      </c>
      <c r="D231" s="8">
        <v>4.09</v>
      </c>
      <c r="E231" s="4">
        <v>54</v>
      </c>
      <c r="F231" s="8">
        <v>6.2</v>
      </c>
      <c r="G231" s="4">
        <v>5</v>
      </c>
      <c r="H231" s="8">
        <v>0.89</v>
      </c>
      <c r="I231" s="4">
        <v>1</v>
      </c>
    </row>
    <row r="232" spans="1:9" x14ac:dyDescent="0.2">
      <c r="A232" s="2">
        <v>3</v>
      </c>
      <c r="B232" s="1" t="s">
        <v>137</v>
      </c>
      <c r="C232" s="4">
        <v>41</v>
      </c>
      <c r="D232" s="8">
        <v>2.79</v>
      </c>
      <c r="E232" s="4">
        <v>39</v>
      </c>
      <c r="F232" s="8">
        <v>4.4800000000000004</v>
      </c>
      <c r="G232" s="4">
        <v>2</v>
      </c>
      <c r="H232" s="8">
        <v>0.36</v>
      </c>
      <c r="I232" s="4">
        <v>0</v>
      </c>
    </row>
    <row r="233" spans="1:9" x14ac:dyDescent="0.2">
      <c r="A233" s="2">
        <v>3</v>
      </c>
      <c r="B233" s="1" t="s">
        <v>140</v>
      </c>
      <c r="C233" s="4">
        <v>41</v>
      </c>
      <c r="D233" s="8">
        <v>2.79</v>
      </c>
      <c r="E233" s="4">
        <v>38</v>
      </c>
      <c r="F233" s="8">
        <v>4.3600000000000003</v>
      </c>
      <c r="G233" s="4">
        <v>3</v>
      </c>
      <c r="H233" s="8">
        <v>0.53</v>
      </c>
      <c r="I233" s="4">
        <v>0</v>
      </c>
    </row>
    <row r="234" spans="1:9" x14ac:dyDescent="0.2">
      <c r="A234" s="2">
        <v>5</v>
      </c>
      <c r="B234" s="1" t="s">
        <v>124</v>
      </c>
      <c r="C234" s="4">
        <v>40</v>
      </c>
      <c r="D234" s="8">
        <v>2.73</v>
      </c>
      <c r="E234" s="4">
        <v>28</v>
      </c>
      <c r="F234" s="8">
        <v>3.21</v>
      </c>
      <c r="G234" s="4">
        <v>12</v>
      </c>
      <c r="H234" s="8">
        <v>2.13</v>
      </c>
      <c r="I234" s="4">
        <v>0</v>
      </c>
    </row>
    <row r="235" spans="1:9" x14ac:dyDescent="0.2">
      <c r="A235" s="2">
        <v>5</v>
      </c>
      <c r="B235" s="1" t="s">
        <v>132</v>
      </c>
      <c r="C235" s="4">
        <v>40</v>
      </c>
      <c r="D235" s="8">
        <v>2.73</v>
      </c>
      <c r="E235" s="4">
        <v>27</v>
      </c>
      <c r="F235" s="8">
        <v>3.1</v>
      </c>
      <c r="G235" s="4">
        <v>13</v>
      </c>
      <c r="H235" s="8">
        <v>2.31</v>
      </c>
      <c r="I235" s="4">
        <v>0</v>
      </c>
    </row>
    <row r="236" spans="1:9" x14ac:dyDescent="0.2">
      <c r="A236" s="2">
        <v>7</v>
      </c>
      <c r="B236" s="1" t="s">
        <v>128</v>
      </c>
      <c r="C236" s="4">
        <v>35</v>
      </c>
      <c r="D236" s="8">
        <v>2.39</v>
      </c>
      <c r="E236" s="4">
        <v>20</v>
      </c>
      <c r="F236" s="8">
        <v>2.2999999999999998</v>
      </c>
      <c r="G236" s="4">
        <v>15</v>
      </c>
      <c r="H236" s="8">
        <v>2.66</v>
      </c>
      <c r="I236" s="4">
        <v>0</v>
      </c>
    </row>
    <row r="237" spans="1:9" x14ac:dyDescent="0.2">
      <c r="A237" s="2">
        <v>8</v>
      </c>
      <c r="B237" s="1" t="s">
        <v>122</v>
      </c>
      <c r="C237" s="4">
        <v>33</v>
      </c>
      <c r="D237" s="8">
        <v>2.25</v>
      </c>
      <c r="E237" s="4">
        <v>8</v>
      </c>
      <c r="F237" s="8">
        <v>0.92</v>
      </c>
      <c r="G237" s="4">
        <v>25</v>
      </c>
      <c r="H237" s="8">
        <v>4.4400000000000004</v>
      </c>
      <c r="I237" s="4">
        <v>0</v>
      </c>
    </row>
    <row r="238" spans="1:9" x14ac:dyDescent="0.2">
      <c r="A238" s="2">
        <v>8</v>
      </c>
      <c r="B238" s="1" t="s">
        <v>130</v>
      </c>
      <c r="C238" s="4">
        <v>33</v>
      </c>
      <c r="D238" s="8">
        <v>2.25</v>
      </c>
      <c r="E238" s="4">
        <v>21</v>
      </c>
      <c r="F238" s="8">
        <v>2.41</v>
      </c>
      <c r="G238" s="4">
        <v>12</v>
      </c>
      <c r="H238" s="8">
        <v>2.13</v>
      </c>
      <c r="I238" s="4">
        <v>0</v>
      </c>
    </row>
    <row r="239" spans="1:9" x14ac:dyDescent="0.2">
      <c r="A239" s="2">
        <v>10</v>
      </c>
      <c r="B239" s="1" t="s">
        <v>134</v>
      </c>
      <c r="C239" s="4">
        <v>31</v>
      </c>
      <c r="D239" s="8">
        <v>2.11</v>
      </c>
      <c r="E239" s="4">
        <v>27</v>
      </c>
      <c r="F239" s="8">
        <v>3.1</v>
      </c>
      <c r="G239" s="4">
        <v>4</v>
      </c>
      <c r="H239" s="8">
        <v>0.71</v>
      </c>
      <c r="I239" s="4">
        <v>0</v>
      </c>
    </row>
    <row r="240" spans="1:9" x14ac:dyDescent="0.2">
      <c r="A240" s="2">
        <v>11</v>
      </c>
      <c r="B240" s="1" t="s">
        <v>129</v>
      </c>
      <c r="C240" s="4">
        <v>29</v>
      </c>
      <c r="D240" s="8">
        <v>1.98</v>
      </c>
      <c r="E240" s="4">
        <v>13</v>
      </c>
      <c r="F240" s="8">
        <v>1.49</v>
      </c>
      <c r="G240" s="4">
        <v>16</v>
      </c>
      <c r="H240" s="8">
        <v>2.84</v>
      </c>
      <c r="I240" s="4">
        <v>0</v>
      </c>
    </row>
    <row r="241" spans="1:9" x14ac:dyDescent="0.2">
      <c r="A241" s="2">
        <v>12</v>
      </c>
      <c r="B241" s="1" t="s">
        <v>135</v>
      </c>
      <c r="C241" s="4">
        <v>28</v>
      </c>
      <c r="D241" s="8">
        <v>1.91</v>
      </c>
      <c r="E241" s="4">
        <v>28</v>
      </c>
      <c r="F241" s="8">
        <v>3.21</v>
      </c>
      <c r="G241" s="4">
        <v>0</v>
      </c>
      <c r="H241" s="8">
        <v>0</v>
      </c>
      <c r="I241" s="4">
        <v>0</v>
      </c>
    </row>
    <row r="242" spans="1:9" x14ac:dyDescent="0.2">
      <c r="A242" s="2">
        <v>13</v>
      </c>
      <c r="B242" s="1" t="s">
        <v>133</v>
      </c>
      <c r="C242" s="4">
        <v>25</v>
      </c>
      <c r="D242" s="8">
        <v>1.7</v>
      </c>
      <c r="E242" s="4">
        <v>8</v>
      </c>
      <c r="F242" s="8">
        <v>0.92</v>
      </c>
      <c r="G242" s="4">
        <v>16</v>
      </c>
      <c r="H242" s="8">
        <v>2.84</v>
      </c>
      <c r="I242" s="4">
        <v>0</v>
      </c>
    </row>
    <row r="243" spans="1:9" x14ac:dyDescent="0.2">
      <c r="A243" s="2">
        <v>13</v>
      </c>
      <c r="B243" s="1" t="s">
        <v>139</v>
      </c>
      <c r="C243" s="4">
        <v>25</v>
      </c>
      <c r="D243" s="8">
        <v>1.7</v>
      </c>
      <c r="E243" s="4">
        <v>23</v>
      </c>
      <c r="F243" s="8">
        <v>2.64</v>
      </c>
      <c r="G243" s="4">
        <v>2</v>
      </c>
      <c r="H243" s="8">
        <v>0.36</v>
      </c>
      <c r="I243" s="4">
        <v>0</v>
      </c>
    </row>
    <row r="244" spans="1:9" x14ac:dyDescent="0.2">
      <c r="A244" s="2">
        <v>15</v>
      </c>
      <c r="B244" s="1" t="s">
        <v>125</v>
      </c>
      <c r="C244" s="4">
        <v>24</v>
      </c>
      <c r="D244" s="8">
        <v>1.64</v>
      </c>
      <c r="E244" s="4">
        <v>13</v>
      </c>
      <c r="F244" s="8">
        <v>1.49</v>
      </c>
      <c r="G244" s="4">
        <v>11</v>
      </c>
      <c r="H244" s="8">
        <v>1.95</v>
      </c>
      <c r="I244" s="4">
        <v>0</v>
      </c>
    </row>
    <row r="245" spans="1:9" x14ac:dyDescent="0.2">
      <c r="A245" s="2">
        <v>16</v>
      </c>
      <c r="B245" s="1" t="s">
        <v>127</v>
      </c>
      <c r="C245" s="4">
        <v>23</v>
      </c>
      <c r="D245" s="8">
        <v>1.57</v>
      </c>
      <c r="E245" s="4">
        <v>19</v>
      </c>
      <c r="F245" s="8">
        <v>2.1800000000000002</v>
      </c>
      <c r="G245" s="4">
        <v>4</v>
      </c>
      <c r="H245" s="8">
        <v>0.71</v>
      </c>
      <c r="I245" s="4">
        <v>0</v>
      </c>
    </row>
    <row r="246" spans="1:9" x14ac:dyDescent="0.2">
      <c r="A246" s="2">
        <v>17</v>
      </c>
      <c r="B246" s="1" t="s">
        <v>123</v>
      </c>
      <c r="C246" s="4">
        <v>22</v>
      </c>
      <c r="D246" s="8">
        <v>1.5</v>
      </c>
      <c r="E246" s="4">
        <v>3</v>
      </c>
      <c r="F246" s="8">
        <v>0.34</v>
      </c>
      <c r="G246" s="4">
        <v>19</v>
      </c>
      <c r="H246" s="8">
        <v>3.37</v>
      </c>
      <c r="I246" s="4">
        <v>0</v>
      </c>
    </row>
    <row r="247" spans="1:9" x14ac:dyDescent="0.2">
      <c r="A247" s="2">
        <v>17</v>
      </c>
      <c r="B247" s="1" t="s">
        <v>148</v>
      </c>
      <c r="C247" s="4">
        <v>22</v>
      </c>
      <c r="D247" s="8">
        <v>1.5</v>
      </c>
      <c r="E247" s="4">
        <v>17</v>
      </c>
      <c r="F247" s="8">
        <v>1.95</v>
      </c>
      <c r="G247" s="4">
        <v>5</v>
      </c>
      <c r="H247" s="8">
        <v>0.89</v>
      </c>
      <c r="I247" s="4">
        <v>0</v>
      </c>
    </row>
    <row r="248" spans="1:9" x14ac:dyDescent="0.2">
      <c r="A248" s="2">
        <v>19</v>
      </c>
      <c r="B248" s="1" t="s">
        <v>170</v>
      </c>
      <c r="C248" s="4">
        <v>20</v>
      </c>
      <c r="D248" s="8">
        <v>1.36</v>
      </c>
      <c r="E248" s="4">
        <v>6</v>
      </c>
      <c r="F248" s="8">
        <v>0.69</v>
      </c>
      <c r="G248" s="4">
        <v>14</v>
      </c>
      <c r="H248" s="8">
        <v>2.4900000000000002</v>
      </c>
      <c r="I248" s="4">
        <v>0</v>
      </c>
    </row>
    <row r="249" spans="1:9" x14ac:dyDescent="0.2">
      <c r="A249" s="2">
        <v>19</v>
      </c>
      <c r="B249" s="1" t="s">
        <v>131</v>
      </c>
      <c r="C249" s="4">
        <v>20</v>
      </c>
      <c r="D249" s="8">
        <v>1.36</v>
      </c>
      <c r="E249" s="4">
        <v>7</v>
      </c>
      <c r="F249" s="8">
        <v>0.8</v>
      </c>
      <c r="G249" s="4">
        <v>13</v>
      </c>
      <c r="H249" s="8">
        <v>2.31</v>
      </c>
      <c r="I249" s="4">
        <v>0</v>
      </c>
    </row>
    <row r="250" spans="1:9" x14ac:dyDescent="0.2">
      <c r="A250" s="1"/>
      <c r="C250" s="4"/>
      <c r="D250" s="8"/>
      <c r="E250" s="4"/>
      <c r="F250" s="8"/>
      <c r="G250" s="4"/>
      <c r="H250" s="8"/>
      <c r="I250" s="4"/>
    </row>
    <row r="251" spans="1:9" x14ac:dyDescent="0.2">
      <c r="A251" s="1" t="s">
        <v>11</v>
      </c>
      <c r="C251" s="4"/>
      <c r="D251" s="8"/>
      <c r="E251" s="4"/>
      <c r="F251" s="8"/>
      <c r="G251" s="4"/>
      <c r="H251" s="8"/>
      <c r="I251" s="4"/>
    </row>
    <row r="252" spans="1:9" x14ac:dyDescent="0.2">
      <c r="A252" s="2">
        <v>1</v>
      </c>
      <c r="B252" s="1" t="s">
        <v>138</v>
      </c>
      <c r="C252" s="4">
        <v>65</v>
      </c>
      <c r="D252" s="8">
        <v>4.68</v>
      </c>
      <c r="E252" s="4">
        <v>59</v>
      </c>
      <c r="F252" s="8">
        <v>7.54</v>
      </c>
      <c r="G252" s="4">
        <v>6</v>
      </c>
      <c r="H252" s="8">
        <v>1.01</v>
      </c>
      <c r="I252" s="4">
        <v>0</v>
      </c>
    </row>
    <row r="253" spans="1:9" x14ac:dyDescent="0.2">
      <c r="A253" s="2">
        <v>2</v>
      </c>
      <c r="B253" s="1" t="s">
        <v>132</v>
      </c>
      <c r="C253" s="4">
        <v>61</v>
      </c>
      <c r="D253" s="8">
        <v>4.3899999999999997</v>
      </c>
      <c r="E253" s="4">
        <v>43</v>
      </c>
      <c r="F253" s="8">
        <v>5.5</v>
      </c>
      <c r="G253" s="4">
        <v>18</v>
      </c>
      <c r="H253" s="8">
        <v>3.02</v>
      </c>
      <c r="I253" s="4">
        <v>0</v>
      </c>
    </row>
    <row r="254" spans="1:9" x14ac:dyDescent="0.2">
      <c r="A254" s="2">
        <v>3</v>
      </c>
      <c r="B254" s="1" t="s">
        <v>136</v>
      </c>
      <c r="C254" s="4">
        <v>50</v>
      </c>
      <c r="D254" s="8">
        <v>3.6</v>
      </c>
      <c r="E254" s="4">
        <v>46</v>
      </c>
      <c r="F254" s="8">
        <v>5.88</v>
      </c>
      <c r="G254" s="4">
        <v>4</v>
      </c>
      <c r="H254" s="8">
        <v>0.67</v>
      </c>
      <c r="I254" s="4">
        <v>0</v>
      </c>
    </row>
    <row r="255" spans="1:9" x14ac:dyDescent="0.2">
      <c r="A255" s="2">
        <v>4</v>
      </c>
      <c r="B255" s="1" t="s">
        <v>128</v>
      </c>
      <c r="C255" s="4">
        <v>45</v>
      </c>
      <c r="D255" s="8">
        <v>3.24</v>
      </c>
      <c r="E255" s="4">
        <v>27</v>
      </c>
      <c r="F255" s="8">
        <v>3.45</v>
      </c>
      <c r="G255" s="4">
        <v>18</v>
      </c>
      <c r="H255" s="8">
        <v>3.02</v>
      </c>
      <c r="I255" s="4">
        <v>0</v>
      </c>
    </row>
    <row r="256" spans="1:9" x14ac:dyDescent="0.2">
      <c r="A256" s="2">
        <v>5</v>
      </c>
      <c r="B256" s="1" t="s">
        <v>140</v>
      </c>
      <c r="C256" s="4">
        <v>43</v>
      </c>
      <c r="D256" s="8">
        <v>3.1</v>
      </c>
      <c r="E256" s="4">
        <v>40</v>
      </c>
      <c r="F256" s="8">
        <v>5.12</v>
      </c>
      <c r="G256" s="4">
        <v>3</v>
      </c>
      <c r="H256" s="8">
        <v>0.5</v>
      </c>
      <c r="I256" s="4">
        <v>0</v>
      </c>
    </row>
    <row r="257" spans="1:9" x14ac:dyDescent="0.2">
      <c r="A257" s="2">
        <v>6</v>
      </c>
      <c r="B257" s="1" t="s">
        <v>137</v>
      </c>
      <c r="C257" s="4">
        <v>41</v>
      </c>
      <c r="D257" s="8">
        <v>2.95</v>
      </c>
      <c r="E257" s="4">
        <v>39</v>
      </c>
      <c r="F257" s="8">
        <v>4.99</v>
      </c>
      <c r="G257" s="4">
        <v>2</v>
      </c>
      <c r="H257" s="8">
        <v>0.34</v>
      </c>
      <c r="I257" s="4">
        <v>0</v>
      </c>
    </row>
    <row r="258" spans="1:9" x14ac:dyDescent="0.2">
      <c r="A258" s="2">
        <v>6</v>
      </c>
      <c r="B258" s="1" t="s">
        <v>139</v>
      </c>
      <c r="C258" s="4">
        <v>41</v>
      </c>
      <c r="D258" s="8">
        <v>2.95</v>
      </c>
      <c r="E258" s="4">
        <v>33</v>
      </c>
      <c r="F258" s="8">
        <v>4.22</v>
      </c>
      <c r="G258" s="4">
        <v>8</v>
      </c>
      <c r="H258" s="8">
        <v>1.34</v>
      </c>
      <c r="I258" s="4">
        <v>0</v>
      </c>
    </row>
    <row r="259" spans="1:9" x14ac:dyDescent="0.2">
      <c r="A259" s="2">
        <v>8</v>
      </c>
      <c r="B259" s="1" t="s">
        <v>122</v>
      </c>
      <c r="C259" s="4">
        <v>40</v>
      </c>
      <c r="D259" s="8">
        <v>2.88</v>
      </c>
      <c r="E259" s="4">
        <v>8</v>
      </c>
      <c r="F259" s="8">
        <v>1.02</v>
      </c>
      <c r="G259" s="4">
        <v>32</v>
      </c>
      <c r="H259" s="8">
        <v>5.36</v>
      </c>
      <c r="I259" s="4">
        <v>0</v>
      </c>
    </row>
    <row r="260" spans="1:9" x14ac:dyDescent="0.2">
      <c r="A260" s="2">
        <v>8</v>
      </c>
      <c r="B260" s="1" t="s">
        <v>129</v>
      </c>
      <c r="C260" s="4">
        <v>40</v>
      </c>
      <c r="D260" s="8">
        <v>2.88</v>
      </c>
      <c r="E260" s="4">
        <v>21</v>
      </c>
      <c r="F260" s="8">
        <v>2.69</v>
      </c>
      <c r="G260" s="4">
        <v>19</v>
      </c>
      <c r="H260" s="8">
        <v>3.18</v>
      </c>
      <c r="I260" s="4">
        <v>0</v>
      </c>
    </row>
    <row r="261" spans="1:9" x14ac:dyDescent="0.2">
      <c r="A261" s="2">
        <v>10</v>
      </c>
      <c r="B261" s="1" t="s">
        <v>135</v>
      </c>
      <c r="C261" s="4">
        <v>36</v>
      </c>
      <c r="D261" s="8">
        <v>2.59</v>
      </c>
      <c r="E261" s="4">
        <v>33</v>
      </c>
      <c r="F261" s="8">
        <v>4.22</v>
      </c>
      <c r="G261" s="4">
        <v>3</v>
      </c>
      <c r="H261" s="8">
        <v>0.5</v>
      </c>
      <c r="I261" s="4">
        <v>0</v>
      </c>
    </row>
    <row r="262" spans="1:9" x14ac:dyDescent="0.2">
      <c r="A262" s="2">
        <v>11</v>
      </c>
      <c r="B262" s="1" t="s">
        <v>134</v>
      </c>
      <c r="C262" s="4">
        <v>34</v>
      </c>
      <c r="D262" s="8">
        <v>2.4500000000000002</v>
      </c>
      <c r="E262" s="4">
        <v>29</v>
      </c>
      <c r="F262" s="8">
        <v>3.71</v>
      </c>
      <c r="G262" s="4">
        <v>5</v>
      </c>
      <c r="H262" s="8">
        <v>0.84</v>
      </c>
      <c r="I262" s="4">
        <v>0</v>
      </c>
    </row>
    <row r="263" spans="1:9" x14ac:dyDescent="0.2">
      <c r="A263" s="2">
        <v>12</v>
      </c>
      <c r="B263" s="1" t="s">
        <v>125</v>
      </c>
      <c r="C263" s="4">
        <v>26</v>
      </c>
      <c r="D263" s="8">
        <v>1.87</v>
      </c>
      <c r="E263" s="4">
        <v>12</v>
      </c>
      <c r="F263" s="8">
        <v>1.53</v>
      </c>
      <c r="G263" s="4">
        <v>14</v>
      </c>
      <c r="H263" s="8">
        <v>2.35</v>
      </c>
      <c r="I263" s="4">
        <v>0</v>
      </c>
    </row>
    <row r="264" spans="1:9" x14ac:dyDescent="0.2">
      <c r="A264" s="2">
        <v>13</v>
      </c>
      <c r="B264" s="1" t="s">
        <v>141</v>
      </c>
      <c r="C264" s="4">
        <v>24</v>
      </c>
      <c r="D264" s="8">
        <v>1.73</v>
      </c>
      <c r="E264" s="4">
        <v>22</v>
      </c>
      <c r="F264" s="8">
        <v>2.81</v>
      </c>
      <c r="G264" s="4">
        <v>2</v>
      </c>
      <c r="H264" s="8">
        <v>0.34</v>
      </c>
      <c r="I264" s="4">
        <v>0</v>
      </c>
    </row>
    <row r="265" spans="1:9" x14ac:dyDescent="0.2">
      <c r="A265" s="2">
        <v>14</v>
      </c>
      <c r="B265" s="1" t="s">
        <v>130</v>
      </c>
      <c r="C265" s="4">
        <v>22</v>
      </c>
      <c r="D265" s="8">
        <v>1.58</v>
      </c>
      <c r="E265" s="4">
        <v>12</v>
      </c>
      <c r="F265" s="8">
        <v>1.53</v>
      </c>
      <c r="G265" s="4">
        <v>10</v>
      </c>
      <c r="H265" s="8">
        <v>1.68</v>
      </c>
      <c r="I265" s="4">
        <v>0</v>
      </c>
    </row>
    <row r="266" spans="1:9" x14ac:dyDescent="0.2">
      <c r="A266" s="2">
        <v>15</v>
      </c>
      <c r="B266" s="1" t="s">
        <v>143</v>
      </c>
      <c r="C266" s="4">
        <v>21</v>
      </c>
      <c r="D266" s="8">
        <v>1.51</v>
      </c>
      <c r="E266" s="4">
        <v>17</v>
      </c>
      <c r="F266" s="8">
        <v>2.17</v>
      </c>
      <c r="G266" s="4">
        <v>4</v>
      </c>
      <c r="H266" s="8">
        <v>0.67</v>
      </c>
      <c r="I266" s="4">
        <v>0</v>
      </c>
    </row>
    <row r="267" spans="1:9" x14ac:dyDescent="0.2">
      <c r="A267" s="2">
        <v>15</v>
      </c>
      <c r="B267" s="1" t="s">
        <v>145</v>
      </c>
      <c r="C267" s="4">
        <v>21</v>
      </c>
      <c r="D267" s="8">
        <v>1.51</v>
      </c>
      <c r="E267" s="4">
        <v>11</v>
      </c>
      <c r="F267" s="8">
        <v>1.41</v>
      </c>
      <c r="G267" s="4">
        <v>10</v>
      </c>
      <c r="H267" s="8">
        <v>1.68</v>
      </c>
      <c r="I267" s="4">
        <v>0</v>
      </c>
    </row>
    <row r="268" spans="1:9" x14ac:dyDescent="0.2">
      <c r="A268" s="2">
        <v>17</v>
      </c>
      <c r="B268" s="1" t="s">
        <v>124</v>
      </c>
      <c r="C268" s="4">
        <v>20</v>
      </c>
      <c r="D268" s="8">
        <v>1.44</v>
      </c>
      <c r="E268" s="4">
        <v>4</v>
      </c>
      <c r="F268" s="8">
        <v>0.51</v>
      </c>
      <c r="G268" s="4">
        <v>16</v>
      </c>
      <c r="H268" s="8">
        <v>2.68</v>
      </c>
      <c r="I268" s="4">
        <v>0</v>
      </c>
    </row>
    <row r="269" spans="1:9" x14ac:dyDescent="0.2">
      <c r="A269" s="2">
        <v>18</v>
      </c>
      <c r="B269" s="1" t="s">
        <v>157</v>
      </c>
      <c r="C269" s="4">
        <v>19</v>
      </c>
      <c r="D269" s="8">
        <v>1.37</v>
      </c>
      <c r="E269" s="4">
        <v>12</v>
      </c>
      <c r="F269" s="8">
        <v>1.53</v>
      </c>
      <c r="G269" s="4">
        <v>7</v>
      </c>
      <c r="H269" s="8">
        <v>1.17</v>
      </c>
      <c r="I269" s="4">
        <v>0</v>
      </c>
    </row>
    <row r="270" spans="1:9" x14ac:dyDescent="0.2">
      <c r="A270" s="2">
        <v>18</v>
      </c>
      <c r="B270" s="1" t="s">
        <v>133</v>
      </c>
      <c r="C270" s="4">
        <v>19</v>
      </c>
      <c r="D270" s="8">
        <v>1.37</v>
      </c>
      <c r="E270" s="4">
        <v>6</v>
      </c>
      <c r="F270" s="8">
        <v>0.77</v>
      </c>
      <c r="G270" s="4">
        <v>12</v>
      </c>
      <c r="H270" s="8">
        <v>2.0099999999999998</v>
      </c>
      <c r="I270" s="4">
        <v>0</v>
      </c>
    </row>
    <row r="271" spans="1:9" x14ac:dyDescent="0.2">
      <c r="A271" s="2">
        <v>20</v>
      </c>
      <c r="B271" s="1" t="s">
        <v>123</v>
      </c>
      <c r="C271" s="4">
        <v>18</v>
      </c>
      <c r="D271" s="8">
        <v>1.3</v>
      </c>
      <c r="E271" s="4">
        <v>3</v>
      </c>
      <c r="F271" s="8">
        <v>0.38</v>
      </c>
      <c r="G271" s="4">
        <v>15</v>
      </c>
      <c r="H271" s="8">
        <v>2.5099999999999998</v>
      </c>
      <c r="I271" s="4">
        <v>0</v>
      </c>
    </row>
    <row r="272" spans="1:9" x14ac:dyDescent="0.2">
      <c r="A272" s="2">
        <v>20</v>
      </c>
      <c r="B272" s="1" t="s">
        <v>158</v>
      </c>
      <c r="C272" s="4">
        <v>18</v>
      </c>
      <c r="D272" s="8">
        <v>1.3</v>
      </c>
      <c r="E272" s="4">
        <v>8</v>
      </c>
      <c r="F272" s="8">
        <v>1.02</v>
      </c>
      <c r="G272" s="4">
        <v>10</v>
      </c>
      <c r="H272" s="8">
        <v>1.68</v>
      </c>
      <c r="I272" s="4">
        <v>0</v>
      </c>
    </row>
    <row r="273" spans="1:9" x14ac:dyDescent="0.2">
      <c r="A273" s="2">
        <v>20</v>
      </c>
      <c r="B273" s="1" t="s">
        <v>131</v>
      </c>
      <c r="C273" s="4">
        <v>18</v>
      </c>
      <c r="D273" s="8">
        <v>1.3</v>
      </c>
      <c r="E273" s="4">
        <v>5</v>
      </c>
      <c r="F273" s="8">
        <v>0.64</v>
      </c>
      <c r="G273" s="4">
        <v>13</v>
      </c>
      <c r="H273" s="8">
        <v>2.1800000000000002</v>
      </c>
      <c r="I273" s="4">
        <v>0</v>
      </c>
    </row>
    <row r="274" spans="1:9" x14ac:dyDescent="0.2">
      <c r="A274" s="1"/>
      <c r="C274" s="4"/>
      <c r="D274" s="8"/>
      <c r="E274" s="4"/>
      <c r="F274" s="8"/>
      <c r="G274" s="4"/>
      <c r="H274" s="8"/>
      <c r="I274" s="4"/>
    </row>
    <row r="275" spans="1:9" x14ac:dyDescent="0.2">
      <c r="A275" s="1" t="s">
        <v>12</v>
      </c>
      <c r="C275" s="4"/>
      <c r="D275" s="8"/>
      <c r="E275" s="4"/>
      <c r="F275" s="8"/>
      <c r="G275" s="4"/>
      <c r="H275" s="8"/>
      <c r="I275" s="4"/>
    </row>
    <row r="276" spans="1:9" x14ac:dyDescent="0.2">
      <c r="A276" s="2">
        <v>1</v>
      </c>
      <c r="B276" s="1" t="s">
        <v>126</v>
      </c>
      <c r="C276" s="4">
        <v>431</v>
      </c>
      <c r="D276" s="8">
        <v>21.42</v>
      </c>
      <c r="E276" s="4">
        <v>279</v>
      </c>
      <c r="F276" s="8">
        <v>24.07</v>
      </c>
      <c r="G276" s="4">
        <v>152</v>
      </c>
      <c r="H276" s="8">
        <v>18.25</v>
      </c>
      <c r="I276" s="4">
        <v>0</v>
      </c>
    </row>
    <row r="277" spans="1:9" x14ac:dyDescent="0.2">
      <c r="A277" s="2">
        <v>2</v>
      </c>
      <c r="B277" s="1" t="s">
        <v>151</v>
      </c>
      <c r="C277" s="4">
        <v>95</v>
      </c>
      <c r="D277" s="8">
        <v>4.72</v>
      </c>
      <c r="E277" s="4">
        <v>45</v>
      </c>
      <c r="F277" s="8">
        <v>3.88</v>
      </c>
      <c r="G277" s="4">
        <v>50</v>
      </c>
      <c r="H277" s="8">
        <v>6</v>
      </c>
      <c r="I277" s="4">
        <v>0</v>
      </c>
    </row>
    <row r="278" spans="1:9" x14ac:dyDescent="0.2">
      <c r="A278" s="2">
        <v>3</v>
      </c>
      <c r="B278" s="1" t="s">
        <v>138</v>
      </c>
      <c r="C278" s="4">
        <v>82</v>
      </c>
      <c r="D278" s="8">
        <v>4.08</v>
      </c>
      <c r="E278" s="4">
        <v>79</v>
      </c>
      <c r="F278" s="8">
        <v>6.82</v>
      </c>
      <c r="G278" s="4">
        <v>3</v>
      </c>
      <c r="H278" s="8">
        <v>0.36</v>
      </c>
      <c r="I278" s="4">
        <v>0</v>
      </c>
    </row>
    <row r="279" spans="1:9" x14ac:dyDescent="0.2">
      <c r="A279" s="2">
        <v>4</v>
      </c>
      <c r="B279" s="1" t="s">
        <v>136</v>
      </c>
      <c r="C279" s="4">
        <v>54</v>
      </c>
      <c r="D279" s="8">
        <v>2.68</v>
      </c>
      <c r="E279" s="4">
        <v>51</v>
      </c>
      <c r="F279" s="8">
        <v>4.4000000000000004</v>
      </c>
      <c r="G279" s="4">
        <v>3</v>
      </c>
      <c r="H279" s="8">
        <v>0.36</v>
      </c>
      <c r="I279" s="4">
        <v>0</v>
      </c>
    </row>
    <row r="280" spans="1:9" x14ac:dyDescent="0.2">
      <c r="A280" s="2">
        <v>5</v>
      </c>
      <c r="B280" s="1" t="s">
        <v>172</v>
      </c>
      <c r="C280" s="4">
        <v>50</v>
      </c>
      <c r="D280" s="8">
        <v>2.4900000000000002</v>
      </c>
      <c r="E280" s="4">
        <v>16</v>
      </c>
      <c r="F280" s="8">
        <v>1.38</v>
      </c>
      <c r="G280" s="4">
        <v>34</v>
      </c>
      <c r="H280" s="8">
        <v>4.08</v>
      </c>
      <c r="I280" s="4">
        <v>0</v>
      </c>
    </row>
    <row r="281" spans="1:9" x14ac:dyDescent="0.2">
      <c r="A281" s="2">
        <v>6</v>
      </c>
      <c r="B281" s="1" t="s">
        <v>137</v>
      </c>
      <c r="C281" s="4">
        <v>47</v>
      </c>
      <c r="D281" s="8">
        <v>2.34</v>
      </c>
      <c r="E281" s="4">
        <v>45</v>
      </c>
      <c r="F281" s="8">
        <v>3.88</v>
      </c>
      <c r="G281" s="4">
        <v>2</v>
      </c>
      <c r="H281" s="8">
        <v>0.24</v>
      </c>
      <c r="I281" s="4">
        <v>0</v>
      </c>
    </row>
    <row r="282" spans="1:9" x14ac:dyDescent="0.2">
      <c r="A282" s="2">
        <v>7</v>
      </c>
      <c r="B282" s="1" t="s">
        <v>140</v>
      </c>
      <c r="C282" s="4">
        <v>45</v>
      </c>
      <c r="D282" s="8">
        <v>2.2400000000000002</v>
      </c>
      <c r="E282" s="4">
        <v>43</v>
      </c>
      <c r="F282" s="8">
        <v>3.71</v>
      </c>
      <c r="G282" s="4">
        <v>2</v>
      </c>
      <c r="H282" s="8">
        <v>0.24</v>
      </c>
      <c r="I282" s="4">
        <v>0</v>
      </c>
    </row>
    <row r="283" spans="1:9" x14ac:dyDescent="0.2">
      <c r="A283" s="2">
        <v>8</v>
      </c>
      <c r="B283" s="1" t="s">
        <v>122</v>
      </c>
      <c r="C283" s="4">
        <v>41</v>
      </c>
      <c r="D283" s="8">
        <v>2.04</v>
      </c>
      <c r="E283" s="4">
        <v>14</v>
      </c>
      <c r="F283" s="8">
        <v>1.21</v>
      </c>
      <c r="G283" s="4">
        <v>27</v>
      </c>
      <c r="H283" s="8">
        <v>3.24</v>
      </c>
      <c r="I283" s="4">
        <v>0</v>
      </c>
    </row>
    <row r="284" spans="1:9" x14ac:dyDescent="0.2">
      <c r="A284" s="2">
        <v>9</v>
      </c>
      <c r="B284" s="1" t="s">
        <v>134</v>
      </c>
      <c r="C284" s="4">
        <v>40</v>
      </c>
      <c r="D284" s="8">
        <v>1.99</v>
      </c>
      <c r="E284" s="4">
        <v>34</v>
      </c>
      <c r="F284" s="8">
        <v>2.93</v>
      </c>
      <c r="G284" s="4">
        <v>6</v>
      </c>
      <c r="H284" s="8">
        <v>0.72</v>
      </c>
      <c r="I284" s="4">
        <v>0</v>
      </c>
    </row>
    <row r="285" spans="1:9" x14ac:dyDescent="0.2">
      <c r="A285" s="2">
        <v>10</v>
      </c>
      <c r="B285" s="1" t="s">
        <v>124</v>
      </c>
      <c r="C285" s="4">
        <v>35</v>
      </c>
      <c r="D285" s="8">
        <v>1.74</v>
      </c>
      <c r="E285" s="4">
        <v>17</v>
      </c>
      <c r="F285" s="8">
        <v>1.47</v>
      </c>
      <c r="G285" s="4">
        <v>18</v>
      </c>
      <c r="H285" s="8">
        <v>2.16</v>
      </c>
      <c r="I285" s="4">
        <v>0</v>
      </c>
    </row>
    <row r="286" spans="1:9" x14ac:dyDescent="0.2">
      <c r="A286" s="2">
        <v>11</v>
      </c>
      <c r="B286" s="1" t="s">
        <v>125</v>
      </c>
      <c r="C286" s="4">
        <v>27</v>
      </c>
      <c r="D286" s="8">
        <v>1.34</v>
      </c>
      <c r="E286" s="4">
        <v>14</v>
      </c>
      <c r="F286" s="8">
        <v>1.21</v>
      </c>
      <c r="G286" s="4">
        <v>13</v>
      </c>
      <c r="H286" s="8">
        <v>1.56</v>
      </c>
      <c r="I286" s="4">
        <v>0</v>
      </c>
    </row>
    <row r="287" spans="1:9" x14ac:dyDescent="0.2">
      <c r="A287" s="2">
        <v>11</v>
      </c>
      <c r="B287" s="1" t="s">
        <v>127</v>
      </c>
      <c r="C287" s="4">
        <v>27</v>
      </c>
      <c r="D287" s="8">
        <v>1.34</v>
      </c>
      <c r="E287" s="4">
        <v>17</v>
      </c>
      <c r="F287" s="8">
        <v>1.47</v>
      </c>
      <c r="G287" s="4">
        <v>10</v>
      </c>
      <c r="H287" s="8">
        <v>1.2</v>
      </c>
      <c r="I287" s="4">
        <v>0</v>
      </c>
    </row>
    <row r="288" spans="1:9" x14ac:dyDescent="0.2">
      <c r="A288" s="2">
        <v>11</v>
      </c>
      <c r="B288" s="1" t="s">
        <v>128</v>
      </c>
      <c r="C288" s="4">
        <v>27</v>
      </c>
      <c r="D288" s="8">
        <v>1.34</v>
      </c>
      <c r="E288" s="4">
        <v>18</v>
      </c>
      <c r="F288" s="8">
        <v>1.55</v>
      </c>
      <c r="G288" s="4">
        <v>9</v>
      </c>
      <c r="H288" s="8">
        <v>1.08</v>
      </c>
      <c r="I288" s="4">
        <v>0</v>
      </c>
    </row>
    <row r="289" spans="1:9" x14ac:dyDescent="0.2">
      <c r="A289" s="2">
        <v>14</v>
      </c>
      <c r="B289" s="1" t="s">
        <v>132</v>
      </c>
      <c r="C289" s="4">
        <v>25</v>
      </c>
      <c r="D289" s="8">
        <v>1.24</v>
      </c>
      <c r="E289" s="4">
        <v>11</v>
      </c>
      <c r="F289" s="8">
        <v>0.95</v>
      </c>
      <c r="G289" s="4">
        <v>14</v>
      </c>
      <c r="H289" s="8">
        <v>1.68</v>
      </c>
      <c r="I289" s="4">
        <v>0</v>
      </c>
    </row>
    <row r="290" spans="1:9" x14ac:dyDescent="0.2">
      <c r="A290" s="2">
        <v>15</v>
      </c>
      <c r="B290" s="1" t="s">
        <v>130</v>
      </c>
      <c r="C290" s="4">
        <v>24</v>
      </c>
      <c r="D290" s="8">
        <v>1.19</v>
      </c>
      <c r="E290" s="4">
        <v>18</v>
      </c>
      <c r="F290" s="8">
        <v>1.55</v>
      </c>
      <c r="G290" s="4">
        <v>6</v>
      </c>
      <c r="H290" s="8">
        <v>0.72</v>
      </c>
      <c r="I290" s="4">
        <v>0</v>
      </c>
    </row>
    <row r="291" spans="1:9" x14ac:dyDescent="0.2">
      <c r="A291" s="2">
        <v>16</v>
      </c>
      <c r="B291" s="1" t="s">
        <v>158</v>
      </c>
      <c r="C291" s="4">
        <v>23</v>
      </c>
      <c r="D291" s="8">
        <v>1.1399999999999999</v>
      </c>
      <c r="E291" s="4">
        <v>13</v>
      </c>
      <c r="F291" s="8">
        <v>1.1200000000000001</v>
      </c>
      <c r="G291" s="4">
        <v>10</v>
      </c>
      <c r="H291" s="8">
        <v>1.2</v>
      </c>
      <c r="I291" s="4">
        <v>0</v>
      </c>
    </row>
    <row r="292" spans="1:9" x14ac:dyDescent="0.2">
      <c r="A292" s="2">
        <v>16</v>
      </c>
      <c r="B292" s="1" t="s">
        <v>171</v>
      </c>
      <c r="C292" s="4">
        <v>23</v>
      </c>
      <c r="D292" s="8">
        <v>1.1399999999999999</v>
      </c>
      <c r="E292" s="4">
        <v>13</v>
      </c>
      <c r="F292" s="8">
        <v>1.1200000000000001</v>
      </c>
      <c r="G292" s="4">
        <v>10</v>
      </c>
      <c r="H292" s="8">
        <v>1.2</v>
      </c>
      <c r="I292" s="4">
        <v>0</v>
      </c>
    </row>
    <row r="293" spans="1:9" x14ac:dyDescent="0.2">
      <c r="A293" s="2">
        <v>16</v>
      </c>
      <c r="B293" s="1" t="s">
        <v>139</v>
      </c>
      <c r="C293" s="4">
        <v>23</v>
      </c>
      <c r="D293" s="8">
        <v>1.1399999999999999</v>
      </c>
      <c r="E293" s="4">
        <v>19</v>
      </c>
      <c r="F293" s="8">
        <v>1.64</v>
      </c>
      <c r="G293" s="4">
        <v>4</v>
      </c>
      <c r="H293" s="8">
        <v>0.48</v>
      </c>
      <c r="I293" s="4">
        <v>0</v>
      </c>
    </row>
    <row r="294" spans="1:9" x14ac:dyDescent="0.2">
      <c r="A294" s="2">
        <v>19</v>
      </c>
      <c r="B294" s="1" t="s">
        <v>123</v>
      </c>
      <c r="C294" s="4">
        <v>21</v>
      </c>
      <c r="D294" s="8">
        <v>1.04</v>
      </c>
      <c r="E294" s="4">
        <v>9</v>
      </c>
      <c r="F294" s="8">
        <v>0.78</v>
      </c>
      <c r="G294" s="4">
        <v>12</v>
      </c>
      <c r="H294" s="8">
        <v>1.44</v>
      </c>
      <c r="I294" s="4">
        <v>0</v>
      </c>
    </row>
    <row r="295" spans="1:9" x14ac:dyDescent="0.2">
      <c r="A295" s="2">
        <v>19</v>
      </c>
      <c r="B295" s="1" t="s">
        <v>157</v>
      </c>
      <c r="C295" s="4">
        <v>21</v>
      </c>
      <c r="D295" s="8">
        <v>1.04</v>
      </c>
      <c r="E295" s="4">
        <v>9</v>
      </c>
      <c r="F295" s="8">
        <v>0.78</v>
      </c>
      <c r="G295" s="4">
        <v>12</v>
      </c>
      <c r="H295" s="8">
        <v>1.44</v>
      </c>
      <c r="I295" s="4">
        <v>0</v>
      </c>
    </row>
    <row r="296" spans="1:9" x14ac:dyDescent="0.2">
      <c r="A296" s="2">
        <v>19</v>
      </c>
      <c r="B296" s="1" t="s">
        <v>131</v>
      </c>
      <c r="C296" s="4">
        <v>21</v>
      </c>
      <c r="D296" s="8">
        <v>1.04</v>
      </c>
      <c r="E296" s="4">
        <v>2</v>
      </c>
      <c r="F296" s="8">
        <v>0.17</v>
      </c>
      <c r="G296" s="4">
        <v>18</v>
      </c>
      <c r="H296" s="8">
        <v>2.16</v>
      </c>
      <c r="I296" s="4">
        <v>0</v>
      </c>
    </row>
    <row r="297" spans="1:9" x14ac:dyDescent="0.2">
      <c r="A297" s="1"/>
      <c r="C297" s="4"/>
      <c r="D297" s="8"/>
      <c r="E297" s="4"/>
      <c r="F297" s="8"/>
      <c r="G297" s="4"/>
      <c r="H297" s="8"/>
      <c r="I297" s="4"/>
    </row>
    <row r="298" spans="1:9" x14ac:dyDescent="0.2">
      <c r="A298" s="1" t="s">
        <v>13</v>
      </c>
      <c r="C298" s="4"/>
      <c r="D298" s="8"/>
      <c r="E298" s="4"/>
      <c r="F298" s="8"/>
      <c r="G298" s="4"/>
      <c r="H298" s="8"/>
      <c r="I298" s="4"/>
    </row>
    <row r="299" spans="1:9" x14ac:dyDescent="0.2">
      <c r="A299" s="2">
        <v>1</v>
      </c>
      <c r="B299" s="1" t="s">
        <v>138</v>
      </c>
      <c r="C299" s="4">
        <v>159</v>
      </c>
      <c r="D299" s="8">
        <v>5.09</v>
      </c>
      <c r="E299" s="4">
        <v>142</v>
      </c>
      <c r="F299" s="8">
        <v>8.8000000000000007</v>
      </c>
      <c r="G299" s="4">
        <v>17</v>
      </c>
      <c r="H299" s="8">
        <v>1.1299999999999999</v>
      </c>
      <c r="I299" s="4">
        <v>0</v>
      </c>
    </row>
    <row r="300" spans="1:9" x14ac:dyDescent="0.2">
      <c r="A300" s="2">
        <v>2</v>
      </c>
      <c r="B300" s="1" t="s">
        <v>140</v>
      </c>
      <c r="C300" s="4">
        <v>108</v>
      </c>
      <c r="D300" s="8">
        <v>3.46</v>
      </c>
      <c r="E300" s="4">
        <v>102</v>
      </c>
      <c r="F300" s="8">
        <v>6.32</v>
      </c>
      <c r="G300" s="4">
        <v>6</v>
      </c>
      <c r="H300" s="8">
        <v>0.4</v>
      </c>
      <c r="I300" s="4">
        <v>0</v>
      </c>
    </row>
    <row r="301" spans="1:9" x14ac:dyDescent="0.2">
      <c r="A301" s="2">
        <v>3</v>
      </c>
      <c r="B301" s="1" t="s">
        <v>128</v>
      </c>
      <c r="C301" s="4">
        <v>101</v>
      </c>
      <c r="D301" s="8">
        <v>3.23</v>
      </c>
      <c r="E301" s="4">
        <v>54</v>
      </c>
      <c r="F301" s="8">
        <v>3.35</v>
      </c>
      <c r="G301" s="4">
        <v>47</v>
      </c>
      <c r="H301" s="8">
        <v>3.14</v>
      </c>
      <c r="I301" s="4">
        <v>0</v>
      </c>
    </row>
    <row r="302" spans="1:9" x14ac:dyDescent="0.2">
      <c r="A302" s="2">
        <v>4</v>
      </c>
      <c r="B302" s="1" t="s">
        <v>136</v>
      </c>
      <c r="C302" s="4">
        <v>97</v>
      </c>
      <c r="D302" s="8">
        <v>3.1</v>
      </c>
      <c r="E302" s="4">
        <v>86</v>
      </c>
      <c r="F302" s="8">
        <v>5.33</v>
      </c>
      <c r="G302" s="4">
        <v>11</v>
      </c>
      <c r="H302" s="8">
        <v>0.73</v>
      </c>
      <c r="I302" s="4">
        <v>0</v>
      </c>
    </row>
    <row r="303" spans="1:9" x14ac:dyDescent="0.2">
      <c r="A303" s="2">
        <v>5</v>
      </c>
      <c r="B303" s="1" t="s">
        <v>139</v>
      </c>
      <c r="C303" s="4">
        <v>88</v>
      </c>
      <c r="D303" s="8">
        <v>2.82</v>
      </c>
      <c r="E303" s="4">
        <v>66</v>
      </c>
      <c r="F303" s="8">
        <v>4.09</v>
      </c>
      <c r="G303" s="4">
        <v>22</v>
      </c>
      <c r="H303" s="8">
        <v>1.47</v>
      </c>
      <c r="I303" s="4">
        <v>0</v>
      </c>
    </row>
    <row r="304" spans="1:9" x14ac:dyDescent="0.2">
      <c r="A304" s="2">
        <v>6</v>
      </c>
      <c r="B304" s="1" t="s">
        <v>134</v>
      </c>
      <c r="C304" s="4">
        <v>86</v>
      </c>
      <c r="D304" s="8">
        <v>2.75</v>
      </c>
      <c r="E304" s="4">
        <v>71</v>
      </c>
      <c r="F304" s="8">
        <v>4.4000000000000004</v>
      </c>
      <c r="G304" s="4">
        <v>15</v>
      </c>
      <c r="H304" s="8">
        <v>1</v>
      </c>
      <c r="I304" s="4">
        <v>0</v>
      </c>
    </row>
    <row r="305" spans="1:9" x14ac:dyDescent="0.2">
      <c r="A305" s="2">
        <v>7</v>
      </c>
      <c r="B305" s="1" t="s">
        <v>137</v>
      </c>
      <c r="C305" s="4">
        <v>82</v>
      </c>
      <c r="D305" s="8">
        <v>2.62</v>
      </c>
      <c r="E305" s="4">
        <v>80</v>
      </c>
      <c r="F305" s="8">
        <v>4.96</v>
      </c>
      <c r="G305" s="4">
        <v>2</v>
      </c>
      <c r="H305" s="8">
        <v>0.13</v>
      </c>
      <c r="I305" s="4">
        <v>0</v>
      </c>
    </row>
    <row r="306" spans="1:9" x14ac:dyDescent="0.2">
      <c r="A306" s="2">
        <v>8</v>
      </c>
      <c r="B306" s="1" t="s">
        <v>132</v>
      </c>
      <c r="C306" s="4">
        <v>69</v>
      </c>
      <c r="D306" s="8">
        <v>2.21</v>
      </c>
      <c r="E306" s="4">
        <v>21</v>
      </c>
      <c r="F306" s="8">
        <v>1.3</v>
      </c>
      <c r="G306" s="4">
        <v>48</v>
      </c>
      <c r="H306" s="8">
        <v>3.2</v>
      </c>
      <c r="I306" s="4">
        <v>0</v>
      </c>
    </row>
    <row r="307" spans="1:9" x14ac:dyDescent="0.2">
      <c r="A307" s="2">
        <v>9</v>
      </c>
      <c r="B307" s="1" t="s">
        <v>122</v>
      </c>
      <c r="C307" s="4">
        <v>57</v>
      </c>
      <c r="D307" s="8">
        <v>1.82</v>
      </c>
      <c r="E307" s="4">
        <v>11</v>
      </c>
      <c r="F307" s="8">
        <v>0.68</v>
      </c>
      <c r="G307" s="4">
        <v>46</v>
      </c>
      <c r="H307" s="8">
        <v>3.07</v>
      </c>
      <c r="I307" s="4">
        <v>0</v>
      </c>
    </row>
    <row r="308" spans="1:9" x14ac:dyDescent="0.2">
      <c r="A308" s="2">
        <v>10</v>
      </c>
      <c r="B308" s="1" t="s">
        <v>173</v>
      </c>
      <c r="C308" s="4">
        <v>56</v>
      </c>
      <c r="D308" s="8">
        <v>1.79</v>
      </c>
      <c r="E308" s="4">
        <v>43</v>
      </c>
      <c r="F308" s="8">
        <v>2.67</v>
      </c>
      <c r="G308" s="4">
        <v>13</v>
      </c>
      <c r="H308" s="8">
        <v>0.87</v>
      </c>
      <c r="I308" s="4">
        <v>0</v>
      </c>
    </row>
    <row r="309" spans="1:9" x14ac:dyDescent="0.2">
      <c r="A309" s="2">
        <v>11</v>
      </c>
      <c r="B309" s="1" t="s">
        <v>135</v>
      </c>
      <c r="C309" s="4">
        <v>55</v>
      </c>
      <c r="D309" s="8">
        <v>1.76</v>
      </c>
      <c r="E309" s="4">
        <v>54</v>
      </c>
      <c r="F309" s="8">
        <v>3.35</v>
      </c>
      <c r="G309" s="4">
        <v>1</v>
      </c>
      <c r="H309" s="8">
        <v>7.0000000000000007E-2</v>
      </c>
      <c r="I309" s="4">
        <v>0</v>
      </c>
    </row>
    <row r="310" spans="1:9" x14ac:dyDescent="0.2">
      <c r="A310" s="2">
        <v>12</v>
      </c>
      <c r="B310" s="1" t="s">
        <v>145</v>
      </c>
      <c r="C310" s="4">
        <v>53</v>
      </c>
      <c r="D310" s="8">
        <v>1.7</v>
      </c>
      <c r="E310" s="4">
        <v>36</v>
      </c>
      <c r="F310" s="8">
        <v>2.23</v>
      </c>
      <c r="G310" s="4">
        <v>17</v>
      </c>
      <c r="H310" s="8">
        <v>1.1299999999999999</v>
      </c>
      <c r="I310" s="4">
        <v>0</v>
      </c>
    </row>
    <row r="311" spans="1:9" x14ac:dyDescent="0.2">
      <c r="A311" s="2">
        <v>13</v>
      </c>
      <c r="B311" s="1" t="s">
        <v>129</v>
      </c>
      <c r="C311" s="4">
        <v>49</v>
      </c>
      <c r="D311" s="8">
        <v>1.57</v>
      </c>
      <c r="E311" s="4">
        <v>25</v>
      </c>
      <c r="F311" s="8">
        <v>1.55</v>
      </c>
      <c r="G311" s="4">
        <v>24</v>
      </c>
      <c r="H311" s="8">
        <v>1.6</v>
      </c>
      <c r="I311" s="4">
        <v>0</v>
      </c>
    </row>
    <row r="312" spans="1:9" x14ac:dyDescent="0.2">
      <c r="A312" s="2">
        <v>14</v>
      </c>
      <c r="B312" s="1" t="s">
        <v>155</v>
      </c>
      <c r="C312" s="4">
        <v>48</v>
      </c>
      <c r="D312" s="8">
        <v>1.54</v>
      </c>
      <c r="E312" s="4">
        <v>13</v>
      </c>
      <c r="F312" s="8">
        <v>0.81</v>
      </c>
      <c r="G312" s="4">
        <v>35</v>
      </c>
      <c r="H312" s="8">
        <v>2.33</v>
      </c>
      <c r="I312" s="4">
        <v>0</v>
      </c>
    </row>
    <row r="313" spans="1:9" x14ac:dyDescent="0.2">
      <c r="A313" s="2">
        <v>15</v>
      </c>
      <c r="B313" s="1" t="s">
        <v>158</v>
      </c>
      <c r="C313" s="4">
        <v>46</v>
      </c>
      <c r="D313" s="8">
        <v>1.47</v>
      </c>
      <c r="E313" s="4">
        <v>17</v>
      </c>
      <c r="F313" s="8">
        <v>1.05</v>
      </c>
      <c r="G313" s="4">
        <v>29</v>
      </c>
      <c r="H313" s="8">
        <v>1.93</v>
      </c>
      <c r="I313" s="4">
        <v>0</v>
      </c>
    </row>
    <row r="314" spans="1:9" x14ac:dyDescent="0.2">
      <c r="A314" s="2">
        <v>16</v>
      </c>
      <c r="B314" s="1" t="s">
        <v>123</v>
      </c>
      <c r="C314" s="4">
        <v>45</v>
      </c>
      <c r="D314" s="8">
        <v>1.44</v>
      </c>
      <c r="E314" s="4">
        <v>8</v>
      </c>
      <c r="F314" s="8">
        <v>0.5</v>
      </c>
      <c r="G314" s="4">
        <v>37</v>
      </c>
      <c r="H314" s="8">
        <v>2.4700000000000002</v>
      </c>
      <c r="I314" s="4">
        <v>0</v>
      </c>
    </row>
    <row r="315" spans="1:9" x14ac:dyDescent="0.2">
      <c r="A315" s="2">
        <v>16</v>
      </c>
      <c r="B315" s="1" t="s">
        <v>130</v>
      </c>
      <c r="C315" s="4">
        <v>45</v>
      </c>
      <c r="D315" s="8">
        <v>1.44</v>
      </c>
      <c r="E315" s="4">
        <v>23</v>
      </c>
      <c r="F315" s="8">
        <v>1.43</v>
      </c>
      <c r="G315" s="4">
        <v>22</v>
      </c>
      <c r="H315" s="8">
        <v>1.47</v>
      </c>
      <c r="I315" s="4">
        <v>0</v>
      </c>
    </row>
    <row r="316" spans="1:9" x14ac:dyDescent="0.2">
      <c r="A316" s="2">
        <v>16</v>
      </c>
      <c r="B316" s="1" t="s">
        <v>141</v>
      </c>
      <c r="C316" s="4">
        <v>45</v>
      </c>
      <c r="D316" s="8">
        <v>1.44</v>
      </c>
      <c r="E316" s="4">
        <v>34</v>
      </c>
      <c r="F316" s="8">
        <v>2.11</v>
      </c>
      <c r="G316" s="4">
        <v>11</v>
      </c>
      <c r="H316" s="8">
        <v>0.73</v>
      </c>
      <c r="I316" s="4">
        <v>0</v>
      </c>
    </row>
    <row r="317" spans="1:9" x14ac:dyDescent="0.2">
      <c r="A317" s="2">
        <v>19</v>
      </c>
      <c r="B317" s="1" t="s">
        <v>125</v>
      </c>
      <c r="C317" s="4">
        <v>44</v>
      </c>
      <c r="D317" s="8">
        <v>1.41</v>
      </c>
      <c r="E317" s="4">
        <v>9</v>
      </c>
      <c r="F317" s="8">
        <v>0.56000000000000005</v>
      </c>
      <c r="G317" s="4">
        <v>35</v>
      </c>
      <c r="H317" s="8">
        <v>2.33</v>
      </c>
      <c r="I317" s="4">
        <v>0</v>
      </c>
    </row>
    <row r="318" spans="1:9" x14ac:dyDescent="0.2">
      <c r="A318" s="2">
        <v>19</v>
      </c>
      <c r="B318" s="1" t="s">
        <v>144</v>
      </c>
      <c r="C318" s="4">
        <v>44</v>
      </c>
      <c r="D318" s="8">
        <v>1.41</v>
      </c>
      <c r="E318" s="4">
        <v>23</v>
      </c>
      <c r="F318" s="8">
        <v>1.43</v>
      </c>
      <c r="G318" s="4">
        <v>21</v>
      </c>
      <c r="H318" s="8">
        <v>1.4</v>
      </c>
      <c r="I318" s="4">
        <v>0</v>
      </c>
    </row>
    <row r="319" spans="1:9" x14ac:dyDescent="0.2">
      <c r="A319" s="1"/>
      <c r="C319" s="4"/>
      <c r="D319" s="8"/>
      <c r="E319" s="4"/>
      <c r="F319" s="8"/>
      <c r="G319" s="4"/>
      <c r="H319" s="8"/>
      <c r="I319" s="4"/>
    </row>
    <row r="320" spans="1:9" x14ac:dyDescent="0.2">
      <c r="A320" s="1" t="s">
        <v>14</v>
      </c>
      <c r="C320" s="4"/>
      <c r="D320" s="8"/>
      <c r="E320" s="4"/>
      <c r="F320" s="8"/>
      <c r="G320" s="4"/>
      <c r="H320" s="8"/>
      <c r="I320" s="4"/>
    </row>
    <row r="321" spans="1:9" x14ac:dyDescent="0.2">
      <c r="A321" s="2">
        <v>1</v>
      </c>
      <c r="B321" s="1" t="s">
        <v>138</v>
      </c>
      <c r="C321" s="4">
        <v>122</v>
      </c>
      <c r="D321" s="8">
        <v>6.71</v>
      </c>
      <c r="E321" s="4">
        <v>108</v>
      </c>
      <c r="F321" s="8">
        <v>11.16</v>
      </c>
      <c r="G321" s="4">
        <v>14</v>
      </c>
      <c r="H321" s="8">
        <v>1.69</v>
      </c>
      <c r="I321" s="4">
        <v>0</v>
      </c>
    </row>
    <row r="322" spans="1:9" x14ac:dyDescent="0.2">
      <c r="A322" s="2">
        <v>2</v>
      </c>
      <c r="B322" s="1" t="s">
        <v>136</v>
      </c>
      <c r="C322" s="4">
        <v>82</v>
      </c>
      <c r="D322" s="8">
        <v>4.51</v>
      </c>
      <c r="E322" s="4">
        <v>75</v>
      </c>
      <c r="F322" s="8">
        <v>7.75</v>
      </c>
      <c r="G322" s="4">
        <v>7</v>
      </c>
      <c r="H322" s="8">
        <v>0.84</v>
      </c>
      <c r="I322" s="4">
        <v>0</v>
      </c>
    </row>
    <row r="323" spans="1:9" x14ac:dyDescent="0.2">
      <c r="A323" s="2">
        <v>3</v>
      </c>
      <c r="B323" s="1" t="s">
        <v>139</v>
      </c>
      <c r="C323" s="4">
        <v>65</v>
      </c>
      <c r="D323" s="8">
        <v>3.58</v>
      </c>
      <c r="E323" s="4">
        <v>55</v>
      </c>
      <c r="F323" s="8">
        <v>5.68</v>
      </c>
      <c r="G323" s="4">
        <v>10</v>
      </c>
      <c r="H323" s="8">
        <v>1.21</v>
      </c>
      <c r="I323" s="4">
        <v>0</v>
      </c>
    </row>
    <row r="324" spans="1:9" x14ac:dyDescent="0.2">
      <c r="A324" s="2">
        <v>4</v>
      </c>
      <c r="B324" s="1" t="s">
        <v>137</v>
      </c>
      <c r="C324" s="4">
        <v>59</v>
      </c>
      <c r="D324" s="8">
        <v>3.25</v>
      </c>
      <c r="E324" s="4">
        <v>53</v>
      </c>
      <c r="F324" s="8">
        <v>5.48</v>
      </c>
      <c r="G324" s="4">
        <v>6</v>
      </c>
      <c r="H324" s="8">
        <v>0.72</v>
      </c>
      <c r="I324" s="4">
        <v>0</v>
      </c>
    </row>
    <row r="325" spans="1:9" x14ac:dyDescent="0.2">
      <c r="A325" s="2">
        <v>5</v>
      </c>
      <c r="B325" s="1" t="s">
        <v>140</v>
      </c>
      <c r="C325" s="4">
        <v>56</v>
      </c>
      <c r="D325" s="8">
        <v>3.08</v>
      </c>
      <c r="E325" s="4">
        <v>56</v>
      </c>
      <c r="F325" s="8">
        <v>5.79</v>
      </c>
      <c r="G325" s="4">
        <v>0</v>
      </c>
      <c r="H325" s="8">
        <v>0</v>
      </c>
      <c r="I325" s="4">
        <v>0</v>
      </c>
    </row>
    <row r="326" spans="1:9" x14ac:dyDescent="0.2">
      <c r="A326" s="2">
        <v>6</v>
      </c>
      <c r="B326" s="1" t="s">
        <v>134</v>
      </c>
      <c r="C326" s="4">
        <v>52</v>
      </c>
      <c r="D326" s="8">
        <v>2.86</v>
      </c>
      <c r="E326" s="4">
        <v>41</v>
      </c>
      <c r="F326" s="8">
        <v>4.24</v>
      </c>
      <c r="G326" s="4">
        <v>11</v>
      </c>
      <c r="H326" s="8">
        <v>1.33</v>
      </c>
      <c r="I326" s="4">
        <v>0</v>
      </c>
    </row>
    <row r="327" spans="1:9" x14ac:dyDescent="0.2">
      <c r="A327" s="2">
        <v>7</v>
      </c>
      <c r="B327" s="1" t="s">
        <v>132</v>
      </c>
      <c r="C327" s="4">
        <v>50</v>
      </c>
      <c r="D327" s="8">
        <v>2.75</v>
      </c>
      <c r="E327" s="4">
        <v>24</v>
      </c>
      <c r="F327" s="8">
        <v>2.48</v>
      </c>
      <c r="G327" s="4">
        <v>26</v>
      </c>
      <c r="H327" s="8">
        <v>3.14</v>
      </c>
      <c r="I327" s="4">
        <v>0</v>
      </c>
    </row>
    <row r="328" spans="1:9" x14ac:dyDescent="0.2">
      <c r="A328" s="2">
        <v>8</v>
      </c>
      <c r="B328" s="1" t="s">
        <v>122</v>
      </c>
      <c r="C328" s="4">
        <v>46</v>
      </c>
      <c r="D328" s="8">
        <v>2.5299999999999998</v>
      </c>
      <c r="E328" s="4">
        <v>5</v>
      </c>
      <c r="F328" s="8">
        <v>0.52</v>
      </c>
      <c r="G328" s="4">
        <v>41</v>
      </c>
      <c r="H328" s="8">
        <v>4.95</v>
      </c>
      <c r="I328" s="4">
        <v>0</v>
      </c>
    </row>
    <row r="329" spans="1:9" x14ac:dyDescent="0.2">
      <c r="A329" s="2">
        <v>9</v>
      </c>
      <c r="B329" s="1" t="s">
        <v>125</v>
      </c>
      <c r="C329" s="4">
        <v>36</v>
      </c>
      <c r="D329" s="8">
        <v>1.98</v>
      </c>
      <c r="E329" s="4">
        <v>7</v>
      </c>
      <c r="F329" s="8">
        <v>0.72</v>
      </c>
      <c r="G329" s="4">
        <v>29</v>
      </c>
      <c r="H329" s="8">
        <v>3.5</v>
      </c>
      <c r="I329" s="4">
        <v>0</v>
      </c>
    </row>
    <row r="330" spans="1:9" x14ac:dyDescent="0.2">
      <c r="A330" s="2">
        <v>9</v>
      </c>
      <c r="B330" s="1" t="s">
        <v>128</v>
      </c>
      <c r="C330" s="4">
        <v>36</v>
      </c>
      <c r="D330" s="8">
        <v>1.98</v>
      </c>
      <c r="E330" s="4">
        <v>17</v>
      </c>
      <c r="F330" s="8">
        <v>1.76</v>
      </c>
      <c r="G330" s="4">
        <v>19</v>
      </c>
      <c r="H330" s="8">
        <v>2.29</v>
      </c>
      <c r="I330" s="4">
        <v>0</v>
      </c>
    </row>
    <row r="331" spans="1:9" x14ac:dyDescent="0.2">
      <c r="A331" s="2">
        <v>11</v>
      </c>
      <c r="B331" s="1" t="s">
        <v>130</v>
      </c>
      <c r="C331" s="4">
        <v>35</v>
      </c>
      <c r="D331" s="8">
        <v>1.93</v>
      </c>
      <c r="E331" s="4">
        <v>23</v>
      </c>
      <c r="F331" s="8">
        <v>2.38</v>
      </c>
      <c r="G331" s="4">
        <v>12</v>
      </c>
      <c r="H331" s="8">
        <v>1.45</v>
      </c>
      <c r="I331" s="4">
        <v>0</v>
      </c>
    </row>
    <row r="332" spans="1:9" x14ac:dyDescent="0.2">
      <c r="A332" s="2">
        <v>12</v>
      </c>
      <c r="B332" s="1" t="s">
        <v>133</v>
      </c>
      <c r="C332" s="4">
        <v>34</v>
      </c>
      <c r="D332" s="8">
        <v>1.87</v>
      </c>
      <c r="E332" s="4">
        <v>15</v>
      </c>
      <c r="F332" s="8">
        <v>1.55</v>
      </c>
      <c r="G332" s="4">
        <v>19</v>
      </c>
      <c r="H332" s="8">
        <v>2.29</v>
      </c>
      <c r="I332" s="4">
        <v>0</v>
      </c>
    </row>
    <row r="333" spans="1:9" x14ac:dyDescent="0.2">
      <c r="A333" s="2">
        <v>13</v>
      </c>
      <c r="B333" s="1" t="s">
        <v>123</v>
      </c>
      <c r="C333" s="4">
        <v>30</v>
      </c>
      <c r="D333" s="8">
        <v>1.65</v>
      </c>
      <c r="E333" s="4">
        <v>5</v>
      </c>
      <c r="F333" s="8">
        <v>0.52</v>
      </c>
      <c r="G333" s="4">
        <v>25</v>
      </c>
      <c r="H333" s="8">
        <v>3.02</v>
      </c>
      <c r="I333" s="4">
        <v>0</v>
      </c>
    </row>
    <row r="334" spans="1:9" x14ac:dyDescent="0.2">
      <c r="A334" s="2">
        <v>13</v>
      </c>
      <c r="B334" s="1" t="s">
        <v>124</v>
      </c>
      <c r="C334" s="4">
        <v>30</v>
      </c>
      <c r="D334" s="8">
        <v>1.65</v>
      </c>
      <c r="E334" s="4">
        <v>9</v>
      </c>
      <c r="F334" s="8">
        <v>0.93</v>
      </c>
      <c r="G334" s="4">
        <v>21</v>
      </c>
      <c r="H334" s="8">
        <v>2.5299999999999998</v>
      </c>
      <c r="I334" s="4">
        <v>0</v>
      </c>
    </row>
    <row r="335" spans="1:9" x14ac:dyDescent="0.2">
      <c r="A335" s="2">
        <v>15</v>
      </c>
      <c r="B335" s="1" t="s">
        <v>131</v>
      </c>
      <c r="C335" s="4">
        <v>26</v>
      </c>
      <c r="D335" s="8">
        <v>1.43</v>
      </c>
      <c r="E335" s="4">
        <v>5</v>
      </c>
      <c r="F335" s="8">
        <v>0.52</v>
      </c>
      <c r="G335" s="4">
        <v>21</v>
      </c>
      <c r="H335" s="8">
        <v>2.5299999999999998</v>
      </c>
      <c r="I335" s="4">
        <v>0</v>
      </c>
    </row>
    <row r="336" spans="1:9" x14ac:dyDescent="0.2">
      <c r="A336" s="2">
        <v>16</v>
      </c>
      <c r="B336" s="1" t="s">
        <v>144</v>
      </c>
      <c r="C336" s="4">
        <v>25</v>
      </c>
      <c r="D336" s="8">
        <v>1.38</v>
      </c>
      <c r="E336" s="4">
        <v>11</v>
      </c>
      <c r="F336" s="8">
        <v>1.1399999999999999</v>
      </c>
      <c r="G336" s="4">
        <v>14</v>
      </c>
      <c r="H336" s="8">
        <v>1.69</v>
      </c>
      <c r="I336" s="4">
        <v>0</v>
      </c>
    </row>
    <row r="337" spans="1:9" x14ac:dyDescent="0.2">
      <c r="A337" s="2">
        <v>17</v>
      </c>
      <c r="B337" s="1" t="s">
        <v>129</v>
      </c>
      <c r="C337" s="4">
        <v>24</v>
      </c>
      <c r="D337" s="8">
        <v>1.32</v>
      </c>
      <c r="E337" s="4">
        <v>13</v>
      </c>
      <c r="F337" s="8">
        <v>1.34</v>
      </c>
      <c r="G337" s="4">
        <v>11</v>
      </c>
      <c r="H337" s="8">
        <v>1.33</v>
      </c>
      <c r="I337" s="4">
        <v>0</v>
      </c>
    </row>
    <row r="338" spans="1:9" x14ac:dyDescent="0.2">
      <c r="A338" s="2">
        <v>17</v>
      </c>
      <c r="B338" s="1" t="s">
        <v>174</v>
      </c>
      <c r="C338" s="4">
        <v>24</v>
      </c>
      <c r="D338" s="8">
        <v>1.32</v>
      </c>
      <c r="E338" s="4">
        <v>5</v>
      </c>
      <c r="F338" s="8">
        <v>0.52</v>
      </c>
      <c r="G338" s="4">
        <v>19</v>
      </c>
      <c r="H338" s="8">
        <v>2.29</v>
      </c>
      <c r="I338" s="4">
        <v>0</v>
      </c>
    </row>
    <row r="339" spans="1:9" x14ac:dyDescent="0.2">
      <c r="A339" s="2">
        <v>17</v>
      </c>
      <c r="B339" s="1" t="s">
        <v>135</v>
      </c>
      <c r="C339" s="4">
        <v>24</v>
      </c>
      <c r="D339" s="8">
        <v>1.32</v>
      </c>
      <c r="E339" s="4">
        <v>24</v>
      </c>
      <c r="F339" s="8">
        <v>2.48</v>
      </c>
      <c r="G339" s="4">
        <v>0</v>
      </c>
      <c r="H339" s="8">
        <v>0</v>
      </c>
      <c r="I339" s="4">
        <v>0</v>
      </c>
    </row>
    <row r="340" spans="1:9" x14ac:dyDescent="0.2">
      <c r="A340" s="2">
        <v>17</v>
      </c>
      <c r="B340" s="1" t="s">
        <v>175</v>
      </c>
      <c r="C340" s="4">
        <v>24</v>
      </c>
      <c r="D340" s="8">
        <v>1.32</v>
      </c>
      <c r="E340" s="4">
        <v>16</v>
      </c>
      <c r="F340" s="8">
        <v>1.65</v>
      </c>
      <c r="G340" s="4">
        <v>8</v>
      </c>
      <c r="H340" s="8">
        <v>0.97</v>
      </c>
      <c r="I340" s="4">
        <v>0</v>
      </c>
    </row>
    <row r="341" spans="1:9" x14ac:dyDescent="0.2">
      <c r="A341" s="2">
        <v>17</v>
      </c>
      <c r="B341" s="1" t="s">
        <v>145</v>
      </c>
      <c r="C341" s="4">
        <v>24</v>
      </c>
      <c r="D341" s="8">
        <v>1.32</v>
      </c>
      <c r="E341" s="4">
        <v>14</v>
      </c>
      <c r="F341" s="8">
        <v>1.45</v>
      </c>
      <c r="G341" s="4">
        <v>10</v>
      </c>
      <c r="H341" s="8">
        <v>1.21</v>
      </c>
      <c r="I341" s="4">
        <v>0</v>
      </c>
    </row>
    <row r="342" spans="1:9" x14ac:dyDescent="0.2">
      <c r="A342" s="1"/>
      <c r="C342" s="4"/>
      <c r="D342" s="8"/>
      <c r="E342" s="4"/>
      <c r="F342" s="8"/>
      <c r="G342" s="4"/>
      <c r="H342" s="8"/>
      <c r="I342" s="4"/>
    </row>
    <row r="343" spans="1:9" x14ac:dyDescent="0.2">
      <c r="A343" s="1" t="s">
        <v>15</v>
      </c>
      <c r="C343" s="4"/>
      <c r="D343" s="8"/>
      <c r="E343" s="4"/>
      <c r="F343" s="8"/>
      <c r="G343" s="4"/>
      <c r="H343" s="8"/>
      <c r="I343" s="4"/>
    </row>
    <row r="344" spans="1:9" x14ac:dyDescent="0.2">
      <c r="A344" s="2">
        <v>1</v>
      </c>
      <c r="B344" s="1" t="s">
        <v>122</v>
      </c>
      <c r="C344" s="4">
        <v>36</v>
      </c>
      <c r="D344" s="8">
        <v>4.17</v>
      </c>
      <c r="E344" s="4">
        <v>14</v>
      </c>
      <c r="F344" s="8">
        <v>2.5299999999999998</v>
      </c>
      <c r="G344" s="4">
        <v>22</v>
      </c>
      <c r="H344" s="8">
        <v>7.31</v>
      </c>
      <c r="I344" s="4">
        <v>0</v>
      </c>
    </row>
    <row r="345" spans="1:9" x14ac:dyDescent="0.2">
      <c r="A345" s="2">
        <v>2</v>
      </c>
      <c r="B345" s="1" t="s">
        <v>124</v>
      </c>
      <c r="C345" s="4">
        <v>31</v>
      </c>
      <c r="D345" s="8">
        <v>3.59</v>
      </c>
      <c r="E345" s="4">
        <v>21</v>
      </c>
      <c r="F345" s="8">
        <v>3.79</v>
      </c>
      <c r="G345" s="4">
        <v>10</v>
      </c>
      <c r="H345" s="8">
        <v>3.32</v>
      </c>
      <c r="I345" s="4">
        <v>0</v>
      </c>
    </row>
    <row r="346" spans="1:9" x14ac:dyDescent="0.2">
      <c r="A346" s="2">
        <v>2</v>
      </c>
      <c r="B346" s="1" t="s">
        <v>138</v>
      </c>
      <c r="C346" s="4">
        <v>31</v>
      </c>
      <c r="D346" s="8">
        <v>3.59</v>
      </c>
      <c r="E346" s="4">
        <v>26</v>
      </c>
      <c r="F346" s="8">
        <v>4.6900000000000004</v>
      </c>
      <c r="G346" s="4">
        <v>5</v>
      </c>
      <c r="H346" s="8">
        <v>1.66</v>
      </c>
      <c r="I346" s="4">
        <v>0</v>
      </c>
    </row>
    <row r="347" spans="1:9" x14ac:dyDescent="0.2">
      <c r="A347" s="2">
        <v>4</v>
      </c>
      <c r="B347" s="1" t="s">
        <v>142</v>
      </c>
      <c r="C347" s="4">
        <v>29</v>
      </c>
      <c r="D347" s="8">
        <v>3.36</v>
      </c>
      <c r="E347" s="4">
        <v>21</v>
      </c>
      <c r="F347" s="8">
        <v>3.79</v>
      </c>
      <c r="G347" s="4">
        <v>8</v>
      </c>
      <c r="H347" s="8">
        <v>2.66</v>
      </c>
      <c r="I347" s="4">
        <v>0</v>
      </c>
    </row>
    <row r="348" spans="1:9" x14ac:dyDescent="0.2">
      <c r="A348" s="2">
        <v>5</v>
      </c>
      <c r="B348" s="1" t="s">
        <v>123</v>
      </c>
      <c r="C348" s="4">
        <v>22</v>
      </c>
      <c r="D348" s="8">
        <v>2.5499999999999998</v>
      </c>
      <c r="E348" s="4">
        <v>13</v>
      </c>
      <c r="F348" s="8">
        <v>2.35</v>
      </c>
      <c r="G348" s="4">
        <v>9</v>
      </c>
      <c r="H348" s="8">
        <v>2.99</v>
      </c>
      <c r="I348" s="4">
        <v>0</v>
      </c>
    </row>
    <row r="349" spans="1:9" x14ac:dyDescent="0.2">
      <c r="A349" s="2">
        <v>5</v>
      </c>
      <c r="B349" s="1" t="s">
        <v>128</v>
      </c>
      <c r="C349" s="4">
        <v>22</v>
      </c>
      <c r="D349" s="8">
        <v>2.5499999999999998</v>
      </c>
      <c r="E349" s="4">
        <v>16</v>
      </c>
      <c r="F349" s="8">
        <v>2.89</v>
      </c>
      <c r="G349" s="4">
        <v>6</v>
      </c>
      <c r="H349" s="8">
        <v>1.99</v>
      </c>
      <c r="I349" s="4">
        <v>0</v>
      </c>
    </row>
    <row r="350" spans="1:9" x14ac:dyDescent="0.2">
      <c r="A350" s="2">
        <v>7</v>
      </c>
      <c r="B350" s="1" t="s">
        <v>177</v>
      </c>
      <c r="C350" s="4">
        <v>21</v>
      </c>
      <c r="D350" s="8">
        <v>2.4300000000000002</v>
      </c>
      <c r="E350" s="4">
        <v>14</v>
      </c>
      <c r="F350" s="8">
        <v>2.5299999999999998</v>
      </c>
      <c r="G350" s="4">
        <v>7</v>
      </c>
      <c r="H350" s="8">
        <v>2.33</v>
      </c>
      <c r="I350" s="4">
        <v>0</v>
      </c>
    </row>
    <row r="351" spans="1:9" x14ac:dyDescent="0.2">
      <c r="A351" s="2">
        <v>7</v>
      </c>
      <c r="B351" s="1" t="s">
        <v>179</v>
      </c>
      <c r="C351" s="4">
        <v>21</v>
      </c>
      <c r="D351" s="8">
        <v>2.4300000000000002</v>
      </c>
      <c r="E351" s="4">
        <v>12</v>
      </c>
      <c r="F351" s="8">
        <v>2.17</v>
      </c>
      <c r="G351" s="4">
        <v>9</v>
      </c>
      <c r="H351" s="8">
        <v>2.99</v>
      </c>
      <c r="I351" s="4">
        <v>0</v>
      </c>
    </row>
    <row r="352" spans="1:9" x14ac:dyDescent="0.2">
      <c r="A352" s="2">
        <v>9</v>
      </c>
      <c r="B352" s="1" t="s">
        <v>165</v>
      </c>
      <c r="C352" s="4">
        <v>20</v>
      </c>
      <c r="D352" s="8">
        <v>2.3199999999999998</v>
      </c>
      <c r="E352" s="4">
        <v>15</v>
      </c>
      <c r="F352" s="8">
        <v>2.71</v>
      </c>
      <c r="G352" s="4">
        <v>5</v>
      </c>
      <c r="H352" s="8">
        <v>1.66</v>
      </c>
      <c r="I352" s="4">
        <v>0</v>
      </c>
    </row>
    <row r="353" spans="1:9" x14ac:dyDescent="0.2">
      <c r="A353" s="2">
        <v>9</v>
      </c>
      <c r="B353" s="1" t="s">
        <v>136</v>
      </c>
      <c r="C353" s="4">
        <v>20</v>
      </c>
      <c r="D353" s="8">
        <v>2.3199999999999998</v>
      </c>
      <c r="E353" s="4">
        <v>20</v>
      </c>
      <c r="F353" s="8">
        <v>3.61</v>
      </c>
      <c r="G353" s="4">
        <v>0</v>
      </c>
      <c r="H353" s="8">
        <v>0</v>
      </c>
      <c r="I353" s="4">
        <v>0</v>
      </c>
    </row>
    <row r="354" spans="1:9" x14ac:dyDescent="0.2">
      <c r="A354" s="2">
        <v>11</v>
      </c>
      <c r="B354" s="1" t="s">
        <v>125</v>
      </c>
      <c r="C354" s="4">
        <v>18</v>
      </c>
      <c r="D354" s="8">
        <v>2.09</v>
      </c>
      <c r="E354" s="4">
        <v>13</v>
      </c>
      <c r="F354" s="8">
        <v>2.35</v>
      </c>
      <c r="G354" s="4">
        <v>5</v>
      </c>
      <c r="H354" s="8">
        <v>1.66</v>
      </c>
      <c r="I354" s="4">
        <v>0</v>
      </c>
    </row>
    <row r="355" spans="1:9" x14ac:dyDescent="0.2">
      <c r="A355" s="2">
        <v>11</v>
      </c>
      <c r="B355" s="1" t="s">
        <v>178</v>
      </c>
      <c r="C355" s="4">
        <v>18</v>
      </c>
      <c r="D355" s="8">
        <v>2.09</v>
      </c>
      <c r="E355" s="4">
        <v>13</v>
      </c>
      <c r="F355" s="8">
        <v>2.35</v>
      </c>
      <c r="G355" s="4">
        <v>5</v>
      </c>
      <c r="H355" s="8">
        <v>1.66</v>
      </c>
      <c r="I355" s="4">
        <v>0</v>
      </c>
    </row>
    <row r="356" spans="1:9" x14ac:dyDescent="0.2">
      <c r="A356" s="2">
        <v>11</v>
      </c>
      <c r="B356" s="1" t="s">
        <v>137</v>
      </c>
      <c r="C356" s="4">
        <v>18</v>
      </c>
      <c r="D356" s="8">
        <v>2.09</v>
      </c>
      <c r="E356" s="4">
        <v>17</v>
      </c>
      <c r="F356" s="8">
        <v>3.07</v>
      </c>
      <c r="G356" s="4">
        <v>1</v>
      </c>
      <c r="H356" s="8">
        <v>0.33</v>
      </c>
      <c r="I356" s="4">
        <v>0</v>
      </c>
    </row>
    <row r="357" spans="1:9" x14ac:dyDescent="0.2">
      <c r="A357" s="2">
        <v>14</v>
      </c>
      <c r="B357" s="1" t="s">
        <v>134</v>
      </c>
      <c r="C357" s="4">
        <v>17</v>
      </c>
      <c r="D357" s="8">
        <v>1.97</v>
      </c>
      <c r="E357" s="4">
        <v>14</v>
      </c>
      <c r="F357" s="8">
        <v>2.5299999999999998</v>
      </c>
      <c r="G357" s="4">
        <v>3</v>
      </c>
      <c r="H357" s="8">
        <v>1</v>
      </c>
      <c r="I357" s="4">
        <v>0</v>
      </c>
    </row>
    <row r="358" spans="1:9" x14ac:dyDescent="0.2">
      <c r="A358" s="2">
        <v>15</v>
      </c>
      <c r="B358" s="1" t="s">
        <v>161</v>
      </c>
      <c r="C358" s="4">
        <v>14</v>
      </c>
      <c r="D358" s="8">
        <v>1.62</v>
      </c>
      <c r="E358" s="4">
        <v>7</v>
      </c>
      <c r="F358" s="8">
        <v>1.26</v>
      </c>
      <c r="G358" s="4">
        <v>7</v>
      </c>
      <c r="H358" s="8">
        <v>2.33</v>
      </c>
      <c r="I358" s="4">
        <v>0</v>
      </c>
    </row>
    <row r="359" spans="1:9" x14ac:dyDescent="0.2">
      <c r="A359" s="2">
        <v>15</v>
      </c>
      <c r="B359" s="1" t="s">
        <v>180</v>
      </c>
      <c r="C359" s="4">
        <v>14</v>
      </c>
      <c r="D359" s="8">
        <v>1.62</v>
      </c>
      <c r="E359" s="4">
        <v>6</v>
      </c>
      <c r="F359" s="8">
        <v>1.08</v>
      </c>
      <c r="G359" s="4">
        <v>8</v>
      </c>
      <c r="H359" s="8">
        <v>2.66</v>
      </c>
      <c r="I359" s="4">
        <v>0</v>
      </c>
    </row>
    <row r="360" spans="1:9" x14ac:dyDescent="0.2">
      <c r="A360" s="2">
        <v>15</v>
      </c>
      <c r="B360" s="1" t="s">
        <v>130</v>
      </c>
      <c r="C360" s="4">
        <v>14</v>
      </c>
      <c r="D360" s="8">
        <v>1.62</v>
      </c>
      <c r="E360" s="4">
        <v>10</v>
      </c>
      <c r="F360" s="8">
        <v>1.81</v>
      </c>
      <c r="G360" s="4">
        <v>4</v>
      </c>
      <c r="H360" s="8">
        <v>1.33</v>
      </c>
      <c r="I360" s="4">
        <v>0</v>
      </c>
    </row>
    <row r="361" spans="1:9" x14ac:dyDescent="0.2">
      <c r="A361" s="2">
        <v>18</v>
      </c>
      <c r="B361" s="1" t="s">
        <v>141</v>
      </c>
      <c r="C361" s="4">
        <v>13</v>
      </c>
      <c r="D361" s="8">
        <v>1.51</v>
      </c>
      <c r="E361" s="4">
        <v>8</v>
      </c>
      <c r="F361" s="8">
        <v>1.44</v>
      </c>
      <c r="G361" s="4">
        <v>5</v>
      </c>
      <c r="H361" s="8">
        <v>1.66</v>
      </c>
      <c r="I361" s="4">
        <v>0</v>
      </c>
    </row>
    <row r="362" spans="1:9" x14ac:dyDescent="0.2">
      <c r="A362" s="2">
        <v>19</v>
      </c>
      <c r="B362" s="1" t="s">
        <v>176</v>
      </c>
      <c r="C362" s="4">
        <v>12</v>
      </c>
      <c r="D362" s="8">
        <v>1.39</v>
      </c>
      <c r="E362" s="4">
        <v>9</v>
      </c>
      <c r="F362" s="8">
        <v>1.62</v>
      </c>
      <c r="G362" s="4">
        <v>3</v>
      </c>
      <c r="H362" s="8">
        <v>1</v>
      </c>
      <c r="I362" s="4">
        <v>0</v>
      </c>
    </row>
    <row r="363" spans="1:9" x14ac:dyDescent="0.2">
      <c r="A363" s="2">
        <v>19</v>
      </c>
      <c r="B363" s="1" t="s">
        <v>163</v>
      </c>
      <c r="C363" s="4">
        <v>12</v>
      </c>
      <c r="D363" s="8">
        <v>1.39</v>
      </c>
      <c r="E363" s="4">
        <v>7</v>
      </c>
      <c r="F363" s="8">
        <v>1.26</v>
      </c>
      <c r="G363" s="4">
        <v>5</v>
      </c>
      <c r="H363" s="8">
        <v>1.66</v>
      </c>
      <c r="I363" s="4">
        <v>0</v>
      </c>
    </row>
    <row r="364" spans="1:9" x14ac:dyDescent="0.2">
      <c r="A364" s="2">
        <v>19</v>
      </c>
      <c r="B364" s="1" t="s">
        <v>145</v>
      </c>
      <c r="C364" s="4">
        <v>12</v>
      </c>
      <c r="D364" s="8">
        <v>1.39</v>
      </c>
      <c r="E364" s="4">
        <v>9</v>
      </c>
      <c r="F364" s="8">
        <v>1.62</v>
      </c>
      <c r="G364" s="4">
        <v>3</v>
      </c>
      <c r="H364" s="8">
        <v>1</v>
      </c>
      <c r="I364" s="4">
        <v>0</v>
      </c>
    </row>
    <row r="365" spans="1:9" x14ac:dyDescent="0.2">
      <c r="A365" s="2">
        <v>19</v>
      </c>
      <c r="B365" s="1" t="s">
        <v>139</v>
      </c>
      <c r="C365" s="4">
        <v>12</v>
      </c>
      <c r="D365" s="8">
        <v>1.39</v>
      </c>
      <c r="E365" s="4">
        <v>11</v>
      </c>
      <c r="F365" s="8">
        <v>1.99</v>
      </c>
      <c r="G365" s="4">
        <v>1</v>
      </c>
      <c r="H365" s="8">
        <v>0.33</v>
      </c>
      <c r="I365" s="4">
        <v>0</v>
      </c>
    </row>
    <row r="366" spans="1:9" x14ac:dyDescent="0.2">
      <c r="A366" s="2">
        <v>19</v>
      </c>
      <c r="B366" s="1" t="s">
        <v>140</v>
      </c>
      <c r="C366" s="4">
        <v>12</v>
      </c>
      <c r="D366" s="8">
        <v>1.39</v>
      </c>
      <c r="E366" s="4">
        <v>12</v>
      </c>
      <c r="F366" s="8">
        <v>2.17</v>
      </c>
      <c r="G366" s="4">
        <v>0</v>
      </c>
      <c r="H366" s="8">
        <v>0</v>
      </c>
      <c r="I366" s="4">
        <v>0</v>
      </c>
    </row>
    <row r="367" spans="1:9" x14ac:dyDescent="0.2">
      <c r="A367" s="1"/>
      <c r="C367" s="4"/>
      <c r="D367" s="8"/>
      <c r="E367" s="4"/>
      <c r="F367" s="8"/>
      <c r="G367" s="4"/>
      <c r="H367" s="8"/>
      <c r="I367" s="4"/>
    </row>
    <row r="368" spans="1:9" x14ac:dyDescent="0.2">
      <c r="A368" s="1" t="s">
        <v>16</v>
      </c>
      <c r="C368" s="4"/>
      <c r="D368" s="8"/>
      <c r="E368" s="4"/>
      <c r="F368" s="8"/>
      <c r="G368" s="4"/>
      <c r="H368" s="8"/>
      <c r="I368" s="4"/>
    </row>
    <row r="369" spans="1:9" x14ac:dyDescent="0.2">
      <c r="A369" s="2">
        <v>1</v>
      </c>
      <c r="B369" s="1" t="s">
        <v>132</v>
      </c>
      <c r="C369" s="4">
        <v>68</v>
      </c>
      <c r="D369" s="8">
        <v>6.58</v>
      </c>
      <c r="E369" s="4">
        <v>47</v>
      </c>
      <c r="F369" s="8">
        <v>9.02</v>
      </c>
      <c r="G369" s="4">
        <v>21</v>
      </c>
      <c r="H369" s="8">
        <v>4.0999999999999996</v>
      </c>
      <c r="I369" s="4">
        <v>0</v>
      </c>
    </row>
    <row r="370" spans="1:9" x14ac:dyDescent="0.2">
      <c r="A370" s="2">
        <v>2</v>
      </c>
      <c r="B370" s="1" t="s">
        <v>138</v>
      </c>
      <c r="C370" s="4">
        <v>49</v>
      </c>
      <c r="D370" s="8">
        <v>4.74</v>
      </c>
      <c r="E370" s="4">
        <v>48</v>
      </c>
      <c r="F370" s="8">
        <v>9.2100000000000009</v>
      </c>
      <c r="G370" s="4">
        <v>1</v>
      </c>
      <c r="H370" s="8">
        <v>0.2</v>
      </c>
      <c r="I370" s="4">
        <v>0</v>
      </c>
    </row>
    <row r="371" spans="1:9" x14ac:dyDescent="0.2">
      <c r="A371" s="2">
        <v>3</v>
      </c>
      <c r="B371" s="1" t="s">
        <v>140</v>
      </c>
      <c r="C371" s="4">
        <v>38</v>
      </c>
      <c r="D371" s="8">
        <v>3.68</v>
      </c>
      <c r="E371" s="4">
        <v>34</v>
      </c>
      <c r="F371" s="8">
        <v>6.53</v>
      </c>
      <c r="G371" s="4">
        <v>4</v>
      </c>
      <c r="H371" s="8">
        <v>0.78</v>
      </c>
      <c r="I371" s="4">
        <v>0</v>
      </c>
    </row>
    <row r="372" spans="1:9" x14ac:dyDescent="0.2">
      <c r="A372" s="2">
        <v>4</v>
      </c>
      <c r="B372" s="1" t="s">
        <v>136</v>
      </c>
      <c r="C372" s="4">
        <v>32</v>
      </c>
      <c r="D372" s="8">
        <v>3.09</v>
      </c>
      <c r="E372" s="4">
        <v>31</v>
      </c>
      <c r="F372" s="8">
        <v>5.95</v>
      </c>
      <c r="G372" s="4">
        <v>1</v>
      </c>
      <c r="H372" s="8">
        <v>0.2</v>
      </c>
      <c r="I372" s="4">
        <v>0</v>
      </c>
    </row>
    <row r="373" spans="1:9" x14ac:dyDescent="0.2">
      <c r="A373" s="2">
        <v>5</v>
      </c>
      <c r="B373" s="1" t="s">
        <v>137</v>
      </c>
      <c r="C373" s="4">
        <v>28</v>
      </c>
      <c r="D373" s="8">
        <v>2.71</v>
      </c>
      <c r="E373" s="4">
        <v>28</v>
      </c>
      <c r="F373" s="8">
        <v>5.37</v>
      </c>
      <c r="G373" s="4">
        <v>0</v>
      </c>
      <c r="H373" s="8">
        <v>0</v>
      </c>
      <c r="I373" s="4">
        <v>0</v>
      </c>
    </row>
    <row r="374" spans="1:9" x14ac:dyDescent="0.2">
      <c r="A374" s="2">
        <v>6</v>
      </c>
      <c r="B374" s="1" t="s">
        <v>122</v>
      </c>
      <c r="C374" s="4">
        <v>26</v>
      </c>
      <c r="D374" s="8">
        <v>2.5099999999999998</v>
      </c>
      <c r="E374" s="4">
        <v>4</v>
      </c>
      <c r="F374" s="8">
        <v>0.77</v>
      </c>
      <c r="G374" s="4">
        <v>22</v>
      </c>
      <c r="H374" s="8">
        <v>4.3</v>
      </c>
      <c r="I374" s="4">
        <v>0</v>
      </c>
    </row>
    <row r="375" spans="1:9" x14ac:dyDescent="0.2">
      <c r="A375" s="2">
        <v>6</v>
      </c>
      <c r="B375" s="1" t="s">
        <v>139</v>
      </c>
      <c r="C375" s="4">
        <v>26</v>
      </c>
      <c r="D375" s="8">
        <v>2.5099999999999998</v>
      </c>
      <c r="E375" s="4">
        <v>18</v>
      </c>
      <c r="F375" s="8">
        <v>3.45</v>
      </c>
      <c r="G375" s="4">
        <v>7</v>
      </c>
      <c r="H375" s="8">
        <v>1.37</v>
      </c>
      <c r="I375" s="4">
        <v>1</v>
      </c>
    </row>
    <row r="376" spans="1:9" x14ac:dyDescent="0.2">
      <c r="A376" s="2">
        <v>8</v>
      </c>
      <c r="B376" s="1" t="s">
        <v>129</v>
      </c>
      <c r="C376" s="4">
        <v>23</v>
      </c>
      <c r="D376" s="8">
        <v>2.2200000000000002</v>
      </c>
      <c r="E376" s="4">
        <v>6</v>
      </c>
      <c r="F376" s="8">
        <v>1.1499999999999999</v>
      </c>
      <c r="G376" s="4">
        <v>17</v>
      </c>
      <c r="H376" s="8">
        <v>3.32</v>
      </c>
      <c r="I376" s="4">
        <v>0</v>
      </c>
    </row>
    <row r="377" spans="1:9" x14ac:dyDescent="0.2">
      <c r="A377" s="2">
        <v>9</v>
      </c>
      <c r="B377" s="1" t="s">
        <v>131</v>
      </c>
      <c r="C377" s="4">
        <v>21</v>
      </c>
      <c r="D377" s="8">
        <v>2.0299999999999998</v>
      </c>
      <c r="E377" s="4">
        <v>8</v>
      </c>
      <c r="F377" s="8">
        <v>1.54</v>
      </c>
      <c r="G377" s="4">
        <v>13</v>
      </c>
      <c r="H377" s="8">
        <v>2.54</v>
      </c>
      <c r="I377" s="4">
        <v>0</v>
      </c>
    </row>
    <row r="378" spans="1:9" x14ac:dyDescent="0.2">
      <c r="A378" s="2">
        <v>9</v>
      </c>
      <c r="B378" s="1" t="s">
        <v>146</v>
      </c>
      <c r="C378" s="4">
        <v>21</v>
      </c>
      <c r="D378" s="8">
        <v>2.0299999999999998</v>
      </c>
      <c r="E378" s="4">
        <v>18</v>
      </c>
      <c r="F378" s="8">
        <v>3.45</v>
      </c>
      <c r="G378" s="4">
        <v>3</v>
      </c>
      <c r="H378" s="8">
        <v>0.59</v>
      </c>
      <c r="I378" s="4">
        <v>0</v>
      </c>
    </row>
    <row r="379" spans="1:9" x14ac:dyDescent="0.2">
      <c r="A379" s="2">
        <v>11</v>
      </c>
      <c r="B379" s="1" t="s">
        <v>128</v>
      </c>
      <c r="C379" s="4">
        <v>18</v>
      </c>
      <c r="D379" s="8">
        <v>1.74</v>
      </c>
      <c r="E379" s="4">
        <v>14</v>
      </c>
      <c r="F379" s="8">
        <v>2.69</v>
      </c>
      <c r="G379" s="4">
        <v>4</v>
      </c>
      <c r="H379" s="8">
        <v>0.78</v>
      </c>
      <c r="I379" s="4">
        <v>0</v>
      </c>
    </row>
    <row r="380" spans="1:9" x14ac:dyDescent="0.2">
      <c r="A380" s="2">
        <v>11</v>
      </c>
      <c r="B380" s="1" t="s">
        <v>141</v>
      </c>
      <c r="C380" s="4">
        <v>18</v>
      </c>
      <c r="D380" s="8">
        <v>1.74</v>
      </c>
      <c r="E380" s="4">
        <v>13</v>
      </c>
      <c r="F380" s="8">
        <v>2.5</v>
      </c>
      <c r="G380" s="4">
        <v>5</v>
      </c>
      <c r="H380" s="8">
        <v>0.98</v>
      </c>
      <c r="I380" s="4">
        <v>0</v>
      </c>
    </row>
    <row r="381" spans="1:9" x14ac:dyDescent="0.2">
      <c r="A381" s="2">
        <v>13</v>
      </c>
      <c r="B381" s="1" t="s">
        <v>123</v>
      </c>
      <c r="C381" s="4">
        <v>17</v>
      </c>
      <c r="D381" s="8">
        <v>1.64</v>
      </c>
      <c r="E381" s="4">
        <v>3</v>
      </c>
      <c r="F381" s="8">
        <v>0.57999999999999996</v>
      </c>
      <c r="G381" s="4">
        <v>14</v>
      </c>
      <c r="H381" s="8">
        <v>2.73</v>
      </c>
      <c r="I381" s="4">
        <v>0</v>
      </c>
    </row>
    <row r="382" spans="1:9" x14ac:dyDescent="0.2">
      <c r="A382" s="2">
        <v>13</v>
      </c>
      <c r="B382" s="1" t="s">
        <v>124</v>
      </c>
      <c r="C382" s="4">
        <v>17</v>
      </c>
      <c r="D382" s="8">
        <v>1.64</v>
      </c>
      <c r="E382" s="4">
        <v>5</v>
      </c>
      <c r="F382" s="8">
        <v>0.96</v>
      </c>
      <c r="G382" s="4">
        <v>12</v>
      </c>
      <c r="H382" s="8">
        <v>2.34</v>
      </c>
      <c r="I382" s="4">
        <v>0</v>
      </c>
    </row>
    <row r="383" spans="1:9" x14ac:dyDescent="0.2">
      <c r="A383" s="2">
        <v>13</v>
      </c>
      <c r="B383" s="1" t="s">
        <v>134</v>
      </c>
      <c r="C383" s="4">
        <v>17</v>
      </c>
      <c r="D383" s="8">
        <v>1.64</v>
      </c>
      <c r="E383" s="4">
        <v>12</v>
      </c>
      <c r="F383" s="8">
        <v>2.2999999999999998</v>
      </c>
      <c r="G383" s="4">
        <v>5</v>
      </c>
      <c r="H383" s="8">
        <v>0.98</v>
      </c>
      <c r="I383" s="4">
        <v>0</v>
      </c>
    </row>
    <row r="384" spans="1:9" x14ac:dyDescent="0.2">
      <c r="A384" s="2">
        <v>16</v>
      </c>
      <c r="B384" s="1" t="s">
        <v>142</v>
      </c>
      <c r="C384" s="4">
        <v>16</v>
      </c>
      <c r="D384" s="8">
        <v>1.55</v>
      </c>
      <c r="E384" s="4">
        <v>7</v>
      </c>
      <c r="F384" s="8">
        <v>1.34</v>
      </c>
      <c r="G384" s="4">
        <v>9</v>
      </c>
      <c r="H384" s="8">
        <v>1.76</v>
      </c>
      <c r="I384" s="4">
        <v>0</v>
      </c>
    </row>
    <row r="385" spans="1:9" x14ac:dyDescent="0.2">
      <c r="A385" s="2">
        <v>16</v>
      </c>
      <c r="B385" s="1" t="s">
        <v>130</v>
      </c>
      <c r="C385" s="4">
        <v>16</v>
      </c>
      <c r="D385" s="8">
        <v>1.55</v>
      </c>
      <c r="E385" s="4">
        <v>8</v>
      </c>
      <c r="F385" s="8">
        <v>1.54</v>
      </c>
      <c r="G385" s="4">
        <v>8</v>
      </c>
      <c r="H385" s="8">
        <v>1.56</v>
      </c>
      <c r="I385" s="4">
        <v>0</v>
      </c>
    </row>
    <row r="386" spans="1:9" x14ac:dyDescent="0.2">
      <c r="A386" s="2">
        <v>18</v>
      </c>
      <c r="B386" s="1" t="s">
        <v>153</v>
      </c>
      <c r="C386" s="4">
        <v>15</v>
      </c>
      <c r="D386" s="8">
        <v>1.45</v>
      </c>
      <c r="E386" s="4">
        <v>4</v>
      </c>
      <c r="F386" s="8">
        <v>0.77</v>
      </c>
      <c r="G386" s="4">
        <v>11</v>
      </c>
      <c r="H386" s="8">
        <v>2.15</v>
      </c>
      <c r="I386" s="4">
        <v>0</v>
      </c>
    </row>
    <row r="387" spans="1:9" x14ac:dyDescent="0.2">
      <c r="A387" s="2">
        <v>18</v>
      </c>
      <c r="B387" s="1" t="s">
        <v>145</v>
      </c>
      <c r="C387" s="4">
        <v>15</v>
      </c>
      <c r="D387" s="8">
        <v>1.45</v>
      </c>
      <c r="E387" s="4">
        <v>8</v>
      </c>
      <c r="F387" s="8">
        <v>1.54</v>
      </c>
      <c r="G387" s="4">
        <v>7</v>
      </c>
      <c r="H387" s="8">
        <v>1.37</v>
      </c>
      <c r="I387" s="4">
        <v>0</v>
      </c>
    </row>
    <row r="388" spans="1:9" x14ac:dyDescent="0.2">
      <c r="A388" s="2">
        <v>20</v>
      </c>
      <c r="B388" s="1" t="s">
        <v>144</v>
      </c>
      <c r="C388" s="4">
        <v>14</v>
      </c>
      <c r="D388" s="8">
        <v>1.35</v>
      </c>
      <c r="E388" s="4">
        <v>8</v>
      </c>
      <c r="F388" s="8">
        <v>1.54</v>
      </c>
      <c r="G388" s="4">
        <v>6</v>
      </c>
      <c r="H388" s="8">
        <v>1.17</v>
      </c>
      <c r="I388" s="4">
        <v>0</v>
      </c>
    </row>
    <row r="389" spans="1:9" x14ac:dyDescent="0.2">
      <c r="A389" s="1"/>
      <c r="C389" s="4"/>
      <c r="D389" s="8"/>
      <c r="E389" s="4"/>
      <c r="F389" s="8"/>
      <c r="G389" s="4"/>
      <c r="H389" s="8"/>
      <c r="I389" s="4"/>
    </row>
    <row r="390" spans="1:9" x14ac:dyDescent="0.2">
      <c r="A390" s="1" t="s">
        <v>17</v>
      </c>
      <c r="C390" s="4"/>
      <c r="D390" s="8"/>
      <c r="E390" s="4"/>
      <c r="F390" s="8"/>
      <c r="G390" s="4"/>
      <c r="H390" s="8"/>
      <c r="I390" s="4"/>
    </row>
    <row r="391" spans="1:9" x14ac:dyDescent="0.2">
      <c r="A391" s="2">
        <v>1</v>
      </c>
      <c r="B391" s="1" t="s">
        <v>138</v>
      </c>
      <c r="C391" s="4">
        <v>54</v>
      </c>
      <c r="D391" s="8">
        <v>5.95</v>
      </c>
      <c r="E391" s="4">
        <v>53</v>
      </c>
      <c r="F391" s="8">
        <v>8.85</v>
      </c>
      <c r="G391" s="4">
        <v>1</v>
      </c>
      <c r="H391" s="8">
        <v>0.34</v>
      </c>
      <c r="I391" s="4">
        <v>0</v>
      </c>
    </row>
    <row r="392" spans="1:9" x14ac:dyDescent="0.2">
      <c r="A392" s="2">
        <v>2</v>
      </c>
      <c r="B392" s="1" t="s">
        <v>140</v>
      </c>
      <c r="C392" s="4">
        <v>39</v>
      </c>
      <c r="D392" s="8">
        <v>4.3</v>
      </c>
      <c r="E392" s="4">
        <v>39</v>
      </c>
      <c r="F392" s="8">
        <v>6.51</v>
      </c>
      <c r="G392" s="4">
        <v>0</v>
      </c>
      <c r="H392" s="8">
        <v>0</v>
      </c>
      <c r="I392" s="4">
        <v>0</v>
      </c>
    </row>
    <row r="393" spans="1:9" x14ac:dyDescent="0.2">
      <c r="A393" s="2">
        <v>3</v>
      </c>
      <c r="B393" s="1" t="s">
        <v>135</v>
      </c>
      <c r="C393" s="4">
        <v>32</v>
      </c>
      <c r="D393" s="8">
        <v>3.52</v>
      </c>
      <c r="E393" s="4">
        <v>32</v>
      </c>
      <c r="F393" s="8">
        <v>5.34</v>
      </c>
      <c r="G393" s="4">
        <v>0</v>
      </c>
      <c r="H393" s="8">
        <v>0</v>
      </c>
      <c r="I393" s="4">
        <v>0</v>
      </c>
    </row>
    <row r="394" spans="1:9" x14ac:dyDescent="0.2">
      <c r="A394" s="2">
        <v>3</v>
      </c>
      <c r="B394" s="1" t="s">
        <v>139</v>
      </c>
      <c r="C394" s="4">
        <v>32</v>
      </c>
      <c r="D394" s="8">
        <v>3.52</v>
      </c>
      <c r="E394" s="4">
        <v>31</v>
      </c>
      <c r="F394" s="8">
        <v>5.18</v>
      </c>
      <c r="G394" s="4">
        <v>1</v>
      </c>
      <c r="H394" s="8">
        <v>0.34</v>
      </c>
      <c r="I394" s="4">
        <v>0</v>
      </c>
    </row>
    <row r="395" spans="1:9" x14ac:dyDescent="0.2">
      <c r="A395" s="2">
        <v>5</v>
      </c>
      <c r="B395" s="1" t="s">
        <v>149</v>
      </c>
      <c r="C395" s="4">
        <v>29</v>
      </c>
      <c r="D395" s="8">
        <v>3.19</v>
      </c>
      <c r="E395" s="4">
        <v>26</v>
      </c>
      <c r="F395" s="8">
        <v>4.34</v>
      </c>
      <c r="G395" s="4">
        <v>3</v>
      </c>
      <c r="H395" s="8">
        <v>1.02</v>
      </c>
      <c r="I395" s="4">
        <v>0</v>
      </c>
    </row>
    <row r="396" spans="1:9" x14ac:dyDescent="0.2">
      <c r="A396" s="2">
        <v>5</v>
      </c>
      <c r="B396" s="1" t="s">
        <v>137</v>
      </c>
      <c r="C396" s="4">
        <v>29</v>
      </c>
      <c r="D396" s="8">
        <v>3.19</v>
      </c>
      <c r="E396" s="4">
        <v>28</v>
      </c>
      <c r="F396" s="8">
        <v>4.67</v>
      </c>
      <c r="G396" s="4">
        <v>1</v>
      </c>
      <c r="H396" s="8">
        <v>0.34</v>
      </c>
      <c r="I396" s="4">
        <v>0</v>
      </c>
    </row>
    <row r="397" spans="1:9" x14ac:dyDescent="0.2">
      <c r="A397" s="2">
        <v>7</v>
      </c>
      <c r="B397" s="1" t="s">
        <v>134</v>
      </c>
      <c r="C397" s="4">
        <v>26</v>
      </c>
      <c r="D397" s="8">
        <v>2.86</v>
      </c>
      <c r="E397" s="4">
        <v>23</v>
      </c>
      <c r="F397" s="8">
        <v>3.84</v>
      </c>
      <c r="G397" s="4">
        <v>3</v>
      </c>
      <c r="H397" s="8">
        <v>1.02</v>
      </c>
      <c r="I397" s="4">
        <v>0</v>
      </c>
    </row>
    <row r="398" spans="1:9" x14ac:dyDescent="0.2">
      <c r="A398" s="2">
        <v>8</v>
      </c>
      <c r="B398" s="1" t="s">
        <v>124</v>
      </c>
      <c r="C398" s="4">
        <v>24</v>
      </c>
      <c r="D398" s="8">
        <v>2.64</v>
      </c>
      <c r="E398" s="4">
        <v>16</v>
      </c>
      <c r="F398" s="8">
        <v>2.67</v>
      </c>
      <c r="G398" s="4">
        <v>8</v>
      </c>
      <c r="H398" s="8">
        <v>2.72</v>
      </c>
      <c r="I398" s="4">
        <v>0</v>
      </c>
    </row>
    <row r="399" spans="1:9" x14ac:dyDescent="0.2">
      <c r="A399" s="2">
        <v>9</v>
      </c>
      <c r="B399" s="1" t="s">
        <v>143</v>
      </c>
      <c r="C399" s="4">
        <v>23</v>
      </c>
      <c r="D399" s="8">
        <v>2.5299999999999998</v>
      </c>
      <c r="E399" s="4">
        <v>22</v>
      </c>
      <c r="F399" s="8">
        <v>3.67</v>
      </c>
      <c r="G399" s="4">
        <v>1</v>
      </c>
      <c r="H399" s="8">
        <v>0.34</v>
      </c>
      <c r="I399" s="4">
        <v>0</v>
      </c>
    </row>
    <row r="400" spans="1:9" x14ac:dyDescent="0.2">
      <c r="A400" s="2">
        <v>10</v>
      </c>
      <c r="B400" s="1" t="s">
        <v>136</v>
      </c>
      <c r="C400" s="4">
        <v>22</v>
      </c>
      <c r="D400" s="8">
        <v>2.42</v>
      </c>
      <c r="E400" s="4">
        <v>21</v>
      </c>
      <c r="F400" s="8">
        <v>3.51</v>
      </c>
      <c r="G400" s="4">
        <v>1</v>
      </c>
      <c r="H400" s="8">
        <v>0.34</v>
      </c>
      <c r="I400" s="4">
        <v>0</v>
      </c>
    </row>
    <row r="401" spans="1:9" x14ac:dyDescent="0.2">
      <c r="A401" s="2">
        <v>11</v>
      </c>
      <c r="B401" s="1" t="s">
        <v>133</v>
      </c>
      <c r="C401" s="4">
        <v>19</v>
      </c>
      <c r="D401" s="8">
        <v>2.09</v>
      </c>
      <c r="E401" s="4">
        <v>4</v>
      </c>
      <c r="F401" s="8">
        <v>0.67</v>
      </c>
      <c r="G401" s="4">
        <v>14</v>
      </c>
      <c r="H401" s="8">
        <v>4.76</v>
      </c>
      <c r="I401" s="4">
        <v>0</v>
      </c>
    </row>
    <row r="402" spans="1:9" x14ac:dyDescent="0.2">
      <c r="A402" s="2">
        <v>12</v>
      </c>
      <c r="B402" s="1" t="s">
        <v>123</v>
      </c>
      <c r="C402" s="4">
        <v>18</v>
      </c>
      <c r="D402" s="8">
        <v>1.98</v>
      </c>
      <c r="E402" s="4">
        <v>7</v>
      </c>
      <c r="F402" s="8">
        <v>1.17</v>
      </c>
      <c r="G402" s="4">
        <v>11</v>
      </c>
      <c r="H402" s="8">
        <v>3.74</v>
      </c>
      <c r="I402" s="4">
        <v>0</v>
      </c>
    </row>
    <row r="403" spans="1:9" x14ac:dyDescent="0.2">
      <c r="A403" s="2">
        <v>12</v>
      </c>
      <c r="B403" s="1" t="s">
        <v>129</v>
      </c>
      <c r="C403" s="4">
        <v>18</v>
      </c>
      <c r="D403" s="8">
        <v>1.98</v>
      </c>
      <c r="E403" s="4">
        <v>12</v>
      </c>
      <c r="F403" s="8">
        <v>2</v>
      </c>
      <c r="G403" s="4">
        <v>6</v>
      </c>
      <c r="H403" s="8">
        <v>2.04</v>
      </c>
      <c r="I403" s="4">
        <v>0</v>
      </c>
    </row>
    <row r="404" spans="1:9" x14ac:dyDescent="0.2">
      <c r="A404" s="2">
        <v>14</v>
      </c>
      <c r="B404" s="1" t="s">
        <v>122</v>
      </c>
      <c r="C404" s="4">
        <v>17</v>
      </c>
      <c r="D404" s="8">
        <v>1.87</v>
      </c>
      <c r="E404" s="4">
        <v>4</v>
      </c>
      <c r="F404" s="8">
        <v>0.67</v>
      </c>
      <c r="G404" s="4">
        <v>13</v>
      </c>
      <c r="H404" s="8">
        <v>4.42</v>
      </c>
      <c r="I404" s="4">
        <v>0</v>
      </c>
    </row>
    <row r="405" spans="1:9" x14ac:dyDescent="0.2">
      <c r="A405" s="2">
        <v>14</v>
      </c>
      <c r="B405" s="1" t="s">
        <v>127</v>
      </c>
      <c r="C405" s="4">
        <v>17</v>
      </c>
      <c r="D405" s="8">
        <v>1.87</v>
      </c>
      <c r="E405" s="4">
        <v>15</v>
      </c>
      <c r="F405" s="8">
        <v>2.5</v>
      </c>
      <c r="G405" s="4">
        <v>2</v>
      </c>
      <c r="H405" s="8">
        <v>0.68</v>
      </c>
      <c r="I405" s="4">
        <v>0</v>
      </c>
    </row>
    <row r="406" spans="1:9" x14ac:dyDescent="0.2">
      <c r="A406" s="2">
        <v>16</v>
      </c>
      <c r="B406" s="1" t="s">
        <v>163</v>
      </c>
      <c r="C406" s="4">
        <v>14</v>
      </c>
      <c r="D406" s="8">
        <v>1.54</v>
      </c>
      <c r="E406" s="4">
        <v>8</v>
      </c>
      <c r="F406" s="8">
        <v>1.34</v>
      </c>
      <c r="G406" s="4">
        <v>6</v>
      </c>
      <c r="H406" s="8">
        <v>2.04</v>
      </c>
      <c r="I406" s="4">
        <v>0</v>
      </c>
    </row>
    <row r="407" spans="1:9" x14ac:dyDescent="0.2">
      <c r="A407" s="2">
        <v>16</v>
      </c>
      <c r="B407" s="1" t="s">
        <v>170</v>
      </c>
      <c r="C407" s="4">
        <v>14</v>
      </c>
      <c r="D407" s="8">
        <v>1.54</v>
      </c>
      <c r="E407" s="4">
        <v>2</v>
      </c>
      <c r="F407" s="8">
        <v>0.33</v>
      </c>
      <c r="G407" s="4">
        <v>12</v>
      </c>
      <c r="H407" s="8">
        <v>4.08</v>
      </c>
      <c r="I407" s="4">
        <v>0</v>
      </c>
    </row>
    <row r="408" spans="1:9" x14ac:dyDescent="0.2">
      <c r="A408" s="2">
        <v>16</v>
      </c>
      <c r="B408" s="1" t="s">
        <v>130</v>
      </c>
      <c r="C408" s="4">
        <v>14</v>
      </c>
      <c r="D408" s="8">
        <v>1.54</v>
      </c>
      <c r="E408" s="4">
        <v>13</v>
      </c>
      <c r="F408" s="8">
        <v>2.17</v>
      </c>
      <c r="G408" s="4">
        <v>1</v>
      </c>
      <c r="H408" s="8">
        <v>0.34</v>
      </c>
      <c r="I408" s="4">
        <v>0</v>
      </c>
    </row>
    <row r="409" spans="1:9" x14ac:dyDescent="0.2">
      <c r="A409" s="2">
        <v>16</v>
      </c>
      <c r="B409" s="1" t="s">
        <v>145</v>
      </c>
      <c r="C409" s="4">
        <v>14</v>
      </c>
      <c r="D409" s="8">
        <v>1.54</v>
      </c>
      <c r="E409" s="4">
        <v>13</v>
      </c>
      <c r="F409" s="8">
        <v>2.17</v>
      </c>
      <c r="G409" s="4">
        <v>1</v>
      </c>
      <c r="H409" s="8">
        <v>0.34</v>
      </c>
      <c r="I409" s="4">
        <v>0</v>
      </c>
    </row>
    <row r="410" spans="1:9" x14ac:dyDescent="0.2">
      <c r="A410" s="2">
        <v>20</v>
      </c>
      <c r="B410" s="1" t="s">
        <v>181</v>
      </c>
      <c r="C410" s="4">
        <v>13</v>
      </c>
      <c r="D410" s="8">
        <v>1.43</v>
      </c>
      <c r="E410" s="4">
        <v>11</v>
      </c>
      <c r="F410" s="8">
        <v>1.84</v>
      </c>
      <c r="G410" s="4">
        <v>2</v>
      </c>
      <c r="H410" s="8">
        <v>0.68</v>
      </c>
      <c r="I410" s="4">
        <v>0</v>
      </c>
    </row>
    <row r="411" spans="1:9" x14ac:dyDescent="0.2">
      <c r="A411" s="2">
        <v>20</v>
      </c>
      <c r="B411" s="1" t="s">
        <v>148</v>
      </c>
      <c r="C411" s="4">
        <v>13</v>
      </c>
      <c r="D411" s="8">
        <v>1.43</v>
      </c>
      <c r="E411" s="4">
        <v>10</v>
      </c>
      <c r="F411" s="8">
        <v>1.67</v>
      </c>
      <c r="G411" s="4">
        <v>3</v>
      </c>
      <c r="H411" s="8">
        <v>1.02</v>
      </c>
      <c r="I411" s="4">
        <v>0</v>
      </c>
    </row>
    <row r="412" spans="1:9" x14ac:dyDescent="0.2">
      <c r="A412" s="1"/>
      <c r="C412" s="4"/>
      <c r="D412" s="8"/>
      <c r="E412" s="4"/>
      <c r="F412" s="8"/>
      <c r="G412" s="4"/>
      <c r="H412" s="8"/>
      <c r="I412" s="4"/>
    </row>
    <row r="413" spans="1:9" x14ac:dyDescent="0.2">
      <c r="A413" s="1" t="s">
        <v>18</v>
      </c>
      <c r="C413" s="4"/>
      <c r="D413" s="8"/>
      <c r="E413" s="4"/>
      <c r="F413" s="8"/>
      <c r="G413" s="4"/>
      <c r="H413" s="8"/>
      <c r="I413" s="4"/>
    </row>
    <row r="414" spans="1:9" x14ac:dyDescent="0.2">
      <c r="A414" s="2">
        <v>1</v>
      </c>
      <c r="B414" s="1" t="s">
        <v>122</v>
      </c>
      <c r="C414" s="4">
        <v>42</v>
      </c>
      <c r="D414" s="8">
        <v>6.04</v>
      </c>
      <c r="E414" s="4">
        <v>10</v>
      </c>
      <c r="F414" s="8">
        <v>3</v>
      </c>
      <c r="G414" s="4">
        <v>32</v>
      </c>
      <c r="H414" s="8">
        <v>9.14</v>
      </c>
      <c r="I414" s="4">
        <v>0</v>
      </c>
    </row>
    <row r="415" spans="1:9" x14ac:dyDescent="0.2">
      <c r="A415" s="2">
        <v>2</v>
      </c>
      <c r="B415" s="1" t="s">
        <v>136</v>
      </c>
      <c r="C415" s="4">
        <v>35</v>
      </c>
      <c r="D415" s="8">
        <v>5.04</v>
      </c>
      <c r="E415" s="4">
        <v>34</v>
      </c>
      <c r="F415" s="8">
        <v>10.210000000000001</v>
      </c>
      <c r="G415" s="4">
        <v>1</v>
      </c>
      <c r="H415" s="8">
        <v>0.28999999999999998</v>
      </c>
      <c r="I415" s="4">
        <v>0</v>
      </c>
    </row>
    <row r="416" spans="1:9" x14ac:dyDescent="0.2">
      <c r="A416" s="2">
        <v>3</v>
      </c>
      <c r="B416" s="1" t="s">
        <v>138</v>
      </c>
      <c r="C416" s="4">
        <v>29</v>
      </c>
      <c r="D416" s="8">
        <v>4.17</v>
      </c>
      <c r="E416" s="4">
        <v>25</v>
      </c>
      <c r="F416" s="8">
        <v>7.51</v>
      </c>
      <c r="G416" s="4">
        <v>4</v>
      </c>
      <c r="H416" s="8">
        <v>1.1399999999999999</v>
      </c>
      <c r="I416" s="4">
        <v>0</v>
      </c>
    </row>
    <row r="417" spans="1:9" x14ac:dyDescent="0.2">
      <c r="A417" s="2">
        <v>4</v>
      </c>
      <c r="B417" s="1" t="s">
        <v>140</v>
      </c>
      <c r="C417" s="4">
        <v>24</v>
      </c>
      <c r="D417" s="8">
        <v>3.45</v>
      </c>
      <c r="E417" s="4">
        <v>22</v>
      </c>
      <c r="F417" s="8">
        <v>6.61</v>
      </c>
      <c r="G417" s="4">
        <v>2</v>
      </c>
      <c r="H417" s="8">
        <v>0.56999999999999995</v>
      </c>
      <c r="I417" s="4">
        <v>0</v>
      </c>
    </row>
    <row r="418" spans="1:9" x14ac:dyDescent="0.2">
      <c r="A418" s="2">
        <v>5</v>
      </c>
      <c r="B418" s="1" t="s">
        <v>137</v>
      </c>
      <c r="C418" s="4">
        <v>21</v>
      </c>
      <c r="D418" s="8">
        <v>3.02</v>
      </c>
      <c r="E418" s="4">
        <v>19</v>
      </c>
      <c r="F418" s="8">
        <v>5.71</v>
      </c>
      <c r="G418" s="4">
        <v>2</v>
      </c>
      <c r="H418" s="8">
        <v>0.56999999999999995</v>
      </c>
      <c r="I418" s="4">
        <v>0</v>
      </c>
    </row>
    <row r="419" spans="1:9" x14ac:dyDescent="0.2">
      <c r="A419" s="2">
        <v>6</v>
      </c>
      <c r="B419" s="1" t="s">
        <v>134</v>
      </c>
      <c r="C419" s="4">
        <v>20</v>
      </c>
      <c r="D419" s="8">
        <v>2.88</v>
      </c>
      <c r="E419" s="4">
        <v>16</v>
      </c>
      <c r="F419" s="8">
        <v>4.8</v>
      </c>
      <c r="G419" s="4">
        <v>4</v>
      </c>
      <c r="H419" s="8">
        <v>1.1399999999999999</v>
      </c>
      <c r="I419" s="4">
        <v>0</v>
      </c>
    </row>
    <row r="420" spans="1:9" x14ac:dyDescent="0.2">
      <c r="A420" s="2">
        <v>7</v>
      </c>
      <c r="B420" s="1" t="s">
        <v>128</v>
      </c>
      <c r="C420" s="4">
        <v>18</v>
      </c>
      <c r="D420" s="8">
        <v>2.59</v>
      </c>
      <c r="E420" s="4">
        <v>9</v>
      </c>
      <c r="F420" s="8">
        <v>2.7</v>
      </c>
      <c r="G420" s="4">
        <v>9</v>
      </c>
      <c r="H420" s="8">
        <v>2.57</v>
      </c>
      <c r="I420" s="4">
        <v>0</v>
      </c>
    </row>
    <row r="421" spans="1:9" x14ac:dyDescent="0.2">
      <c r="A421" s="2">
        <v>7</v>
      </c>
      <c r="B421" s="1" t="s">
        <v>141</v>
      </c>
      <c r="C421" s="4">
        <v>18</v>
      </c>
      <c r="D421" s="8">
        <v>2.59</v>
      </c>
      <c r="E421" s="4">
        <v>13</v>
      </c>
      <c r="F421" s="8">
        <v>3.9</v>
      </c>
      <c r="G421" s="4">
        <v>5</v>
      </c>
      <c r="H421" s="8">
        <v>1.43</v>
      </c>
      <c r="I421" s="4">
        <v>0</v>
      </c>
    </row>
    <row r="422" spans="1:9" x14ac:dyDescent="0.2">
      <c r="A422" s="2">
        <v>9</v>
      </c>
      <c r="B422" s="1" t="s">
        <v>123</v>
      </c>
      <c r="C422" s="4">
        <v>15</v>
      </c>
      <c r="D422" s="8">
        <v>2.16</v>
      </c>
      <c r="E422" s="4">
        <v>3</v>
      </c>
      <c r="F422" s="8">
        <v>0.9</v>
      </c>
      <c r="G422" s="4">
        <v>12</v>
      </c>
      <c r="H422" s="8">
        <v>3.43</v>
      </c>
      <c r="I422" s="4">
        <v>0</v>
      </c>
    </row>
    <row r="423" spans="1:9" x14ac:dyDescent="0.2">
      <c r="A423" s="2">
        <v>9</v>
      </c>
      <c r="B423" s="1" t="s">
        <v>124</v>
      </c>
      <c r="C423" s="4">
        <v>15</v>
      </c>
      <c r="D423" s="8">
        <v>2.16</v>
      </c>
      <c r="E423" s="4">
        <v>4</v>
      </c>
      <c r="F423" s="8">
        <v>1.2</v>
      </c>
      <c r="G423" s="4">
        <v>11</v>
      </c>
      <c r="H423" s="8">
        <v>3.14</v>
      </c>
      <c r="I423" s="4">
        <v>0</v>
      </c>
    </row>
    <row r="424" spans="1:9" x14ac:dyDescent="0.2">
      <c r="A424" s="2">
        <v>9</v>
      </c>
      <c r="B424" s="1" t="s">
        <v>157</v>
      </c>
      <c r="C424" s="4">
        <v>15</v>
      </c>
      <c r="D424" s="8">
        <v>2.16</v>
      </c>
      <c r="E424" s="4">
        <v>3</v>
      </c>
      <c r="F424" s="8">
        <v>0.9</v>
      </c>
      <c r="G424" s="4">
        <v>12</v>
      </c>
      <c r="H424" s="8">
        <v>3.43</v>
      </c>
      <c r="I424" s="4">
        <v>0</v>
      </c>
    </row>
    <row r="425" spans="1:9" x14ac:dyDescent="0.2">
      <c r="A425" s="2">
        <v>12</v>
      </c>
      <c r="B425" s="1" t="s">
        <v>165</v>
      </c>
      <c r="C425" s="4">
        <v>13</v>
      </c>
      <c r="D425" s="8">
        <v>1.87</v>
      </c>
      <c r="E425" s="4">
        <v>7</v>
      </c>
      <c r="F425" s="8">
        <v>2.1</v>
      </c>
      <c r="G425" s="4">
        <v>6</v>
      </c>
      <c r="H425" s="8">
        <v>1.71</v>
      </c>
      <c r="I425" s="4">
        <v>0</v>
      </c>
    </row>
    <row r="426" spans="1:9" x14ac:dyDescent="0.2">
      <c r="A426" s="2">
        <v>12</v>
      </c>
      <c r="B426" s="1" t="s">
        <v>132</v>
      </c>
      <c r="C426" s="4">
        <v>13</v>
      </c>
      <c r="D426" s="8">
        <v>1.87</v>
      </c>
      <c r="E426" s="4">
        <v>11</v>
      </c>
      <c r="F426" s="8">
        <v>3.3</v>
      </c>
      <c r="G426" s="4">
        <v>2</v>
      </c>
      <c r="H426" s="8">
        <v>0.56999999999999995</v>
      </c>
      <c r="I426" s="4">
        <v>0</v>
      </c>
    </row>
    <row r="427" spans="1:9" x14ac:dyDescent="0.2">
      <c r="A427" s="2">
        <v>14</v>
      </c>
      <c r="B427" s="1" t="s">
        <v>125</v>
      </c>
      <c r="C427" s="4">
        <v>12</v>
      </c>
      <c r="D427" s="8">
        <v>1.73</v>
      </c>
      <c r="E427" s="4">
        <v>5</v>
      </c>
      <c r="F427" s="8">
        <v>1.5</v>
      </c>
      <c r="G427" s="4">
        <v>7</v>
      </c>
      <c r="H427" s="8">
        <v>2</v>
      </c>
      <c r="I427" s="4">
        <v>0</v>
      </c>
    </row>
    <row r="428" spans="1:9" x14ac:dyDescent="0.2">
      <c r="A428" s="2">
        <v>14</v>
      </c>
      <c r="B428" s="1" t="s">
        <v>158</v>
      </c>
      <c r="C428" s="4">
        <v>12</v>
      </c>
      <c r="D428" s="8">
        <v>1.73</v>
      </c>
      <c r="E428" s="4">
        <v>2</v>
      </c>
      <c r="F428" s="8">
        <v>0.6</v>
      </c>
      <c r="G428" s="4">
        <v>10</v>
      </c>
      <c r="H428" s="8">
        <v>2.86</v>
      </c>
      <c r="I428" s="4">
        <v>0</v>
      </c>
    </row>
    <row r="429" spans="1:9" x14ac:dyDescent="0.2">
      <c r="A429" s="2">
        <v>16</v>
      </c>
      <c r="B429" s="1" t="s">
        <v>142</v>
      </c>
      <c r="C429" s="4">
        <v>11</v>
      </c>
      <c r="D429" s="8">
        <v>1.58</v>
      </c>
      <c r="E429" s="4">
        <v>5</v>
      </c>
      <c r="F429" s="8">
        <v>1.5</v>
      </c>
      <c r="G429" s="4">
        <v>6</v>
      </c>
      <c r="H429" s="8">
        <v>1.71</v>
      </c>
      <c r="I429" s="4">
        <v>0</v>
      </c>
    </row>
    <row r="430" spans="1:9" x14ac:dyDescent="0.2">
      <c r="A430" s="2">
        <v>16</v>
      </c>
      <c r="B430" s="1" t="s">
        <v>130</v>
      </c>
      <c r="C430" s="4">
        <v>11</v>
      </c>
      <c r="D430" s="8">
        <v>1.58</v>
      </c>
      <c r="E430" s="4">
        <v>6</v>
      </c>
      <c r="F430" s="8">
        <v>1.8</v>
      </c>
      <c r="G430" s="4">
        <v>5</v>
      </c>
      <c r="H430" s="8">
        <v>1.43</v>
      </c>
      <c r="I430" s="4">
        <v>0</v>
      </c>
    </row>
    <row r="431" spans="1:9" x14ac:dyDescent="0.2">
      <c r="A431" s="2">
        <v>16</v>
      </c>
      <c r="B431" s="1" t="s">
        <v>139</v>
      </c>
      <c r="C431" s="4">
        <v>11</v>
      </c>
      <c r="D431" s="8">
        <v>1.58</v>
      </c>
      <c r="E431" s="4">
        <v>10</v>
      </c>
      <c r="F431" s="8">
        <v>3</v>
      </c>
      <c r="G431" s="4">
        <v>1</v>
      </c>
      <c r="H431" s="8">
        <v>0.28999999999999998</v>
      </c>
      <c r="I431" s="4">
        <v>0</v>
      </c>
    </row>
    <row r="432" spans="1:9" x14ac:dyDescent="0.2">
      <c r="A432" s="2">
        <v>19</v>
      </c>
      <c r="B432" s="1" t="s">
        <v>182</v>
      </c>
      <c r="C432" s="4">
        <v>10</v>
      </c>
      <c r="D432" s="8">
        <v>1.44</v>
      </c>
      <c r="E432" s="4">
        <v>2</v>
      </c>
      <c r="F432" s="8">
        <v>0.6</v>
      </c>
      <c r="G432" s="4">
        <v>8</v>
      </c>
      <c r="H432" s="8">
        <v>2.29</v>
      </c>
      <c r="I432" s="4">
        <v>0</v>
      </c>
    </row>
    <row r="433" spans="1:9" x14ac:dyDescent="0.2">
      <c r="A433" s="2">
        <v>19</v>
      </c>
      <c r="B433" s="1" t="s">
        <v>163</v>
      </c>
      <c r="C433" s="4">
        <v>10</v>
      </c>
      <c r="D433" s="8">
        <v>1.44</v>
      </c>
      <c r="E433" s="4">
        <v>7</v>
      </c>
      <c r="F433" s="8">
        <v>2.1</v>
      </c>
      <c r="G433" s="4">
        <v>3</v>
      </c>
      <c r="H433" s="8">
        <v>0.86</v>
      </c>
      <c r="I433" s="4">
        <v>0</v>
      </c>
    </row>
    <row r="434" spans="1:9" x14ac:dyDescent="0.2">
      <c r="A434" s="1"/>
      <c r="C434" s="4"/>
      <c r="D434" s="8"/>
      <c r="E434" s="4"/>
      <c r="F434" s="8"/>
      <c r="G434" s="4"/>
      <c r="H434" s="8"/>
      <c r="I434" s="4"/>
    </row>
    <row r="435" spans="1:9" x14ac:dyDescent="0.2">
      <c r="A435" s="1" t="s">
        <v>19</v>
      </c>
      <c r="C435" s="4"/>
      <c r="D435" s="8"/>
      <c r="E435" s="4"/>
      <c r="F435" s="8"/>
      <c r="G435" s="4"/>
      <c r="H435" s="8"/>
      <c r="I435" s="4"/>
    </row>
    <row r="436" spans="1:9" x14ac:dyDescent="0.2">
      <c r="A436" s="2">
        <v>1</v>
      </c>
      <c r="B436" s="1" t="s">
        <v>138</v>
      </c>
      <c r="C436" s="4">
        <v>88</v>
      </c>
      <c r="D436" s="8">
        <v>4.8899999999999997</v>
      </c>
      <c r="E436" s="4">
        <v>86</v>
      </c>
      <c r="F436" s="8">
        <v>6.96</v>
      </c>
      <c r="G436" s="4">
        <v>2</v>
      </c>
      <c r="H436" s="8">
        <v>0.38</v>
      </c>
      <c r="I436" s="4">
        <v>0</v>
      </c>
    </row>
    <row r="437" spans="1:9" x14ac:dyDescent="0.2">
      <c r="A437" s="2">
        <v>2</v>
      </c>
      <c r="B437" s="1" t="s">
        <v>136</v>
      </c>
      <c r="C437" s="4">
        <v>85</v>
      </c>
      <c r="D437" s="8">
        <v>4.72</v>
      </c>
      <c r="E437" s="4">
        <v>83</v>
      </c>
      <c r="F437" s="8">
        <v>6.72</v>
      </c>
      <c r="G437" s="4">
        <v>1</v>
      </c>
      <c r="H437" s="8">
        <v>0.19</v>
      </c>
      <c r="I437" s="4">
        <v>1</v>
      </c>
    </row>
    <row r="438" spans="1:9" x14ac:dyDescent="0.2">
      <c r="A438" s="2">
        <v>3</v>
      </c>
      <c r="B438" s="1" t="s">
        <v>149</v>
      </c>
      <c r="C438" s="4">
        <v>69</v>
      </c>
      <c r="D438" s="8">
        <v>3.83</v>
      </c>
      <c r="E438" s="4">
        <v>61</v>
      </c>
      <c r="F438" s="8">
        <v>4.9400000000000004</v>
      </c>
      <c r="G438" s="4">
        <v>7</v>
      </c>
      <c r="H438" s="8">
        <v>1.33</v>
      </c>
      <c r="I438" s="4">
        <v>1</v>
      </c>
    </row>
    <row r="439" spans="1:9" x14ac:dyDescent="0.2">
      <c r="A439" s="2">
        <v>4</v>
      </c>
      <c r="B439" s="1" t="s">
        <v>124</v>
      </c>
      <c r="C439" s="4">
        <v>62</v>
      </c>
      <c r="D439" s="8">
        <v>3.44</v>
      </c>
      <c r="E439" s="4">
        <v>45</v>
      </c>
      <c r="F439" s="8">
        <v>3.64</v>
      </c>
      <c r="G439" s="4">
        <v>17</v>
      </c>
      <c r="H439" s="8">
        <v>3.23</v>
      </c>
      <c r="I439" s="4">
        <v>0</v>
      </c>
    </row>
    <row r="440" spans="1:9" x14ac:dyDescent="0.2">
      <c r="A440" s="2">
        <v>5</v>
      </c>
      <c r="B440" s="1" t="s">
        <v>134</v>
      </c>
      <c r="C440" s="4">
        <v>54</v>
      </c>
      <c r="D440" s="8">
        <v>3</v>
      </c>
      <c r="E440" s="4">
        <v>48</v>
      </c>
      <c r="F440" s="8">
        <v>3.89</v>
      </c>
      <c r="G440" s="4">
        <v>6</v>
      </c>
      <c r="H440" s="8">
        <v>1.1399999999999999</v>
      </c>
      <c r="I440" s="4">
        <v>0</v>
      </c>
    </row>
    <row r="441" spans="1:9" x14ac:dyDescent="0.2">
      <c r="A441" s="2">
        <v>6</v>
      </c>
      <c r="B441" s="1" t="s">
        <v>122</v>
      </c>
      <c r="C441" s="4">
        <v>53</v>
      </c>
      <c r="D441" s="8">
        <v>2.94</v>
      </c>
      <c r="E441" s="4">
        <v>21</v>
      </c>
      <c r="F441" s="8">
        <v>1.7</v>
      </c>
      <c r="G441" s="4">
        <v>32</v>
      </c>
      <c r="H441" s="8">
        <v>6.07</v>
      </c>
      <c r="I441" s="4">
        <v>0</v>
      </c>
    </row>
    <row r="442" spans="1:9" x14ac:dyDescent="0.2">
      <c r="A442" s="2">
        <v>7</v>
      </c>
      <c r="B442" s="1" t="s">
        <v>137</v>
      </c>
      <c r="C442" s="4">
        <v>49</v>
      </c>
      <c r="D442" s="8">
        <v>2.72</v>
      </c>
      <c r="E442" s="4">
        <v>47</v>
      </c>
      <c r="F442" s="8">
        <v>3.81</v>
      </c>
      <c r="G442" s="4">
        <v>2</v>
      </c>
      <c r="H442" s="8">
        <v>0.38</v>
      </c>
      <c r="I442" s="4">
        <v>0</v>
      </c>
    </row>
    <row r="443" spans="1:9" x14ac:dyDescent="0.2">
      <c r="A443" s="2">
        <v>8</v>
      </c>
      <c r="B443" s="1" t="s">
        <v>140</v>
      </c>
      <c r="C443" s="4">
        <v>46</v>
      </c>
      <c r="D443" s="8">
        <v>2.56</v>
      </c>
      <c r="E443" s="4">
        <v>45</v>
      </c>
      <c r="F443" s="8">
        <v>3.64</v>
      </c>
      <c r="G443" s="4">
        <v>1</v>
      </c>
      <c r="H443" s="8">
        <v>0.19</v>
      </c>
      <c r="I443" s="4">
        <v>0</v>
      </c>
    </row>
    <row r="444" spans="1:9" x14ac:dyDescent="0.2">
      <c r="A444" s="2">
        <v>9</v>
      </c>
      <c r="B444" s="1" t="s">
        <v>139</v>
      </c>
      <c r="C444" s="4">
        <v>42</v>
      </c>
      <c r="D444" s="8">
        <v>2.33</v>
      </c>
      <c r="E444" s="4">
        <v>41</v>
      </c>
      <c r="F444" s="8">
        <v>3.32</v>
      </c>
      <c r="G444" s="4">
        <v>1</v>
      </c>
      <c r="H444" s="8">
        <v>0.19</v>
      </c>
      <c r="I444" s="4">
        <v>0</v>
      </c>
    </row>
    <row r="445" spans="1:9" x14ac:dyDescent="0.2">
      <c r="A445" s="2">
        <v>10</v>
      </c>
      <c r="B445" s="1" t="s">
        <v>135</v>
      </c>
      <c r="C445" s="4">
        <v>37</v>
      </c>
      <c r="D445" s="8">
        <v>2.06</v>
      </c>
      <c r="E445" s="4">
        <v>37</v>
      </c>
      <c r="F445" s="8">
        <v>3</v>
      </c>
      <c r="G445" s="4">
        <v>0</v>
      </c>
      <c r="H445" s="8">
        <v>0</v>
      </c>
      <c r="I445" s="4">
        <v>0</v>
      </c>
    </row>
    <row r="446" spans="1:9" x14ac:dyDescent="0.2">
      <c r="A446" s="2">
        <v>11</v>
      </c>
      <c r="B446" s="1" t="s">
        <v>130</v>
      </c>
      <c r="C446" s="4">
        <v>36</v>
      </c>
      <c r="D446" s="8">
        <v>2</v>
      </c>
      <c r="E446" s="4">
        <v>23</v>
      </c>
      <c r="F446" s="8">
        <v>1.86</v>
      </c>
      <c r="G446" s="4">
        <v>13</v>
      </c>
      <c r="H446" s="8">
        <v>2.4700000000000002</v>
      </c>
      <c r="I446" s="4">
        <v>0</v>
      </c>
    </row>
    <row r="447" spans="1:9" x14ac:dyDescent="0.2">
      <c r="A447" s="2">
        <v>12</v>
      </c>
      <c r="B447" s="1" t="s">
        <v>123</v>
      </c>
      <c r="C447" s="4">
        <v>32</v>
      </c>
      <c r="D447" s="8">
        <v>1.78</v>
      </c>
      <c r="E447" s="4">
        <v>10</v>
      </c>
      <c r="F447" s="8">
        <v>0.81</v>
      </c>
      <c r="G447" s="4">
        <v>22</v>
      </c>
      <c r="H447" s="8">
        <v>4.17</v>
      </c>
      <c r="I447" s="4">
        <v>0</v>
      </c>
    </row>
    <row r="448" spans="1:9" x14ac:dyDescent="0.2">
      <c r="A448" s="2">
        <v>13</v>
      </c>
      <c r="B448" s="1" t="s">
        <v>148</v>
      </c>
      <c r="C448" s="4">
        <v>30</v>
      </c>
      <c r="D448" s="8">
        <v>1.67</v>
      </c>
      <c r="E448" s="4">
        <v>28</v>
      </c>
      <c r="F448" s="8">
        <v>2.27</v>
      </c>
      <c r="G448" s="4">
        <v>2</v>
      </c>
      <c r="H448" s="8">
        <v>0.38</v>
      </c>
      <c r="I448" s="4">
        <v>0</v>
      </c>
    </row>
    <row r="449" spans="1:9" x14ac:dyDescent="0.2">
      <c r="A449" s="2">
        <v>13</v>
      </c>
      <c r="B449" s="1" t="s">
        <v>143</v>
      </c>
      <c r="C449" s="4">
        <v>30</v>
      </c>
      <c r="D449" s="8">
        <v>1.67</v>
      </c>
      <c r="E449" s="4">
        <v>29</v>
      </c>
      <c r="F449" s="8">
        <v>2.35</v>
      </c>
      <c r="G449" s="4">
        <v>1</v>
      </c>
      <c r="H449" s="8">
        <v>0.19</v>
      </c>
      <c r="I449" s="4">
        <v>0</v>
      </c>
    </row>
    <row r="450" spans="1:9" x14ac:dyDescent="0.2">
      <c r="A450" s="2">
        <v>15</v>
      </c>
      <c r="B450" s="1" t="s">
        <v>125</v>
      </c>
      <c r="C450" s="4">
        <v>29</v>
      </c>
      <c r="D450" s="8">
        <v>1.61</v>
      </c>
      <c r="E450" s="4">
        <v>13</v>
      </c>
      <c r="F450" s="8">
        <v>1.05</v>
      </c>
      <c r="G450" s="4">
        <v>16</v>
      </c>
      <c r="H450" s="8">
        <v>3.04</v>
      </c>
      <c r="I450" s="4">
        <v>0</v>
      </c>
    </row>
    <row r="451" spans="1:9" x14ac:dyDescent="0.2">
      <c r="A451" s="2">
        <v>15</v>
      </c>
      <c r="B451" s="1" t="s">
        <v>127</v>
      </c>
      <c r="C451" s="4">
        <v>29</v>
      </c>
      <c r="D451" s="8">
        <v>1.61</v>
      </c>
      <c r="E451" s="4">
        <v>20</v>
      </c>
      <c r="F451" s="8">
        <v>1.62</v>
      </c>
      <c r="G451" s="4">
        <v>9</v>
      </c>
      <c r="H451" s="8">
        <v>1.71</v>
      </c>
      <c r="I451" s="4">
        <v>0</v>
      </c>
    </row>
    <row r="452" spans="1:9" x14ac:dyDescent="0.2">
      <c r="A452" s="2">
        <v>17</v>
      </c>
      <c r="B452" s="1" t="s">
        <v>183</v>
      </c>
      <c r="C452" s="4">
        <v>28</v>
      </c>
      <c r="D452" s="8">
        <v>1.56</v>
      </c>
      <c r="E452" s="4">
        <v>23</v>
      </c>
      <c r="F452" s="8">
        <v>1.86</v>
      </c>
      <c r="G452" s="4">
        <v>5</v>
      </c>
      <c r="H452" s="8">
        <v>0.95</v>
      </c>
      <c r="I452" s="4">
        <v>0</v>
      </c>
    </row>
    <row r="453" spans="1:9" x14ac:dyDescent="0.2">
      <c r="A453" s="2">
        <v>18</v>
      </c>
      <c r="B453" s="1" t="s">
        <v>141</v>
      </c>
      <c r="C453" s="4">
        <v>25</v>
      </c>
      <c r="D453" s="8">
        <v>1.39</v>
      </c>
      <c r="E453" s="4">
        <v>17</v>
      </c>
      <c r="F453" s="8">
        <v>1.38</v>
      </c>
      <c r="G453" s="4">
        <v>8</v>
      </c>
      <c r="H453" s="8">
        <v>1.52</v>
      </c>
      <c r="I453" s="4">
        <v>0</v>
      </c>
    </row>
    <row r="454" spans="1:9" x14ac:dyDescent="0.2">
      <c r="A454" s="2">
        <v>19</v>
      </c>
      <c r="B454" s="1" t="s">
        <v>167</v>
      </c>
      <c r="C454" s="4">
        <v>24</v>
      </c>
      <c r="D454" s="8">
        <v>1.33</v>
      </c>
      <c r="E454" s="4">
        <v>18</v>
      </c>
      <c r="F454" s="8">
        <v>1.46</v>
      </c>
      <c r="G454" s="4">
        <v>6</v>
      </c>
      <c r="H454" s="8">
        <v>1.1399999999999999</v>
      </c>
      <c r="I454" s="4">
        <v>0</v>
      </c>
    </row>
    <row r="455" spans="1:9" x14ac:dyDescent="0.2">
      <c r="A455" s="2">
        <v>19</v>
      </c>
      <c r="B455" s="1" t="s">
        <v>184</v>
      </c>
      <c r="C455" s="4">
        <v>24</v>
      </c>
      <c r="D455" s="8">
        <v>1.33</v>
      </c>
      <c r="E455" s="4">
        <v>3</v>
      </c>
      <c r="F455" s="8">
        <v>0.24</v>
      </c>
      <c r="G455" s="4">
        <v>3</v>
      </c>
      <c r="H455" s="8">
        <v>0.56999999999999995</v>
      </c>
      <c r="I455" s="4">
        <v>0</v>
      </c>
    </row>
    <row r="456" spans="1:9" x14ac:dyDescent="0.2">
      <c r="A456" s="1"/>
      <c r="C456" s="4"/>
      <c r="D456" s="8"/>
      <c r="E456" s="4"/>
      <c r="F456" s="8"/>
      <c r="G456" s="4"/>
      <c r="H456" s="8"/>
      <c r="I456" s="4"/>
    </row>
    <row r="457" spans="1:9" x14ac:dyDescent="0.2">
      <c r="A457" s="1" t="s">
        <v>20</v>
      </c>
      <c r="C457" s="4"/>
      <c r="D457" s="8"/>
      <c r="E457" s="4"/>
      <c r="F457" s="8"/>
      <c r="G457" s="4"/>
      <c r="H457" s="8"/>
      <c r="I457" s="4"/>
    </row>
    <row r="458" spans="1:9" x14ac:dyDescent="0.2">
      <c r="A458" s="2">
        <v>1</v>
      </c>
      <c r="B458" s="1" t="s">
        <v>138</v>
      </c>
      <c r="C458" s="4">
        <v>83</v>
      </c>
      <c r="D458" s="8">
        <v>6.11</v>
      </c>
      <c r="E458" s="4">
        <v>81</v>
      </c>
      <c r="F458" s="8">
        <v>9.33</v>
      </c>
      <c r="G458" s="4">
        <v>2</v>
      </c>
      <c r="H458" s="8">
        <v>0.42</v>
      </c>
      <c r="I458" s="4">
        <v>0</v>
      </c>
    </row>
    <row r="459" spans="1:9" x14ac:dyDescent="0.2">
      <c r="A459" s="2">
        <v>2</v>
      </c>
      <c r="B459" s="1" t="s">
        <v>136</v>
      </c>
      <c r="C459" s="4">
        <v>51</v>
      </c>
      <c r="D459" s="8">
        <v>3.75</v>
      </c>
      <c r="E459" s="4">
        <v>50</v>
      </c>
      <c r="F459" s="8">
        <v>5.76</v>
      </c>
      <c r="G459" s="4">
        <v>1</v>
      </c>
      <c r="H459" s="8">
        <v>0.21</v>
      </c>
      <c r="I459" s="4">
        <v>0</v>
      </c>
    </row>
    <row r="460" spans="1:9" x14ac:dyDescent="0.2">
      <c r="A460" s="2">
        <v>3</v>
      </c>
      <c r="B460" s="1" t="s">
        <v>132</v>
      </c>
      <c r="C460" s="4">
        <v>50</v>
      </c>
      <c r="D460" s="8">
        <v>3.68</v>
      </c>
      <c r="E460" s="4">
        <v>46</v>
      </c>
      <c r="F460" s="8">
        <v>5.3</v>
      </c>
      <c r="G460" s="4">
        <v>4</v>
      </c>
      <c r="H460" s="8">
        <v>0.84</v>
      </c>
      <c r="I460" s="4">
        <v>0</v>
      </c>
    </row>
    <row r="461" spans="1:9" x14ac:dyDescent="0.2">
      <c r="A461" s="2">
        <v>4</v>
      </c>
      <c r="B461" s="1" t="s">
        <v>137</v>
      </c>
      <c r="C461" s="4">
        <v>44</v>
      </c>
      <c r="D461" s="8">
        <v>3.24</v>
      </c>
      <c r="E461" s="4">
        <v>42</v>
      </c>
      <c r="F461" s="8">
        <v>4.84</v>
      </c>
      <c r="G461" s="4">
        <v>2</v>
      </c>
      <c r="H461" s="8">
        <v>0.42</v>
      </c>
      <c r="I461" s="4">
        <v>0</v>
      </c>
    </row>
    <row r="462" spans="1:9" x14ac:dyDescent="0.2">
      <c r="A462" s="2">
        <v>5</v>
      </c>
      <c r="B462" s="1" t="s">
        <v>134</v>
      </c>
      <c r="C462" s="4">
        <v>36</v>
      </c>
      <c r="D462" s="8">
        <v>2.65</v>
      </c>
      <c r="E462" s="4">
        <v>32</v>
      </c>
      <c r="F462" s="8">
        <v>3.69</v>
      </c>
      <c r="G462" s="4">
        <v>4</v>
      </c>
      <c r="H462" s="8">
        <v>0.84</v>
      </c>
      <c r="I462" s="4">
        <v>0</v>
      </c>
    </row>
    <row r="463" spans="1:9" x14ac:dyDescent="0.2">
      <c r="A463" s="2">
        <v>5</v>
      </c>
      <c r="B463" s="1" t="s">
        <v>140</v>
      </c>
      <c r="C463" s="4">
        <v>36</v>
      </c>
      <c r="D463" s="8">
        <v>2.65</v>
      </c>
      <c r="E463" s="4">
        <v>36</v>
      </c>
      <c r="F463" s="8">
        <v>4.1500000000000004</v>
      </c>
      <c r="G463" s="4">
        <v>0</v>
      </c>
      <c r="H463" s="8">
        <v>0</v>
      </c>
      <c r="I463" s="4">
        <v>0</v>
      </c>
    </row>
    <row r="464" spans="1:9" x14ac:dyDescent="0.2">
      <c r="A464" s="2">
        <v>7</v>
      </c>
      <c r="B464" s="1" t="s">
        <v>124</v>
      </c>
      <c r="C464" s="4">
        <v>35</v>
      </c>
      <c r="D464" s="8">
        <v>2.58</v>
      </c>
      <c r="E464" s="4">
        <v>22</v>
      </c>
      <c r="F464" s="8">
        <v>2.5299999999999998</v>
      </c>
      <c r="G464" s="4">
        <v>13</v>
      </c>
      <c r="H464" s="8">
        <v>2.71</v>
      </c>
      <c r="I464" s="4">
        <v>0</v>
      </c>
    </row>
    <row r="465" spans="1:9" x14ac:dyDescent="0.2">
      <c r="A465" s="2">
        <v>8</v>
      </c>
      <c r="B465" s="1" t="s">
        <v>122</v>
      </c>
      <c r="C465" s="4">
        <v>33</v>
      </c>
      <c r="D465" s="8">
        <v>2.4300000000000002</v>
      </c>
      <c r="E465" s="4">
        <v>9</v>
      </c>
      <c r="F465" s="8">
        <v>1.04</v>
      </c>
      <c r="G465" s="4">
        <v>24</v>
      </c>
      <c r="H465" s="8">
        <v>5.01</v>
      </c>
      <c r="I465" s="4">
        <v>0</v>
      </c>
    </row>
    <row r="466" spans="1:9" x14ac:dyDescent="0.2">
      <c r="A466" s="2">
        <v>9</v>
      </c>
      <c r="B466" s="1" t="s">
        <v>139</v>
      </c>
      <c r="C466" s="4">
        <v>28</v>
      </c>
      <c r="D466" s="8">
        <v>2.06</v>
      </c>
      <c r="E466" s="4">
        <v>27</v>
      </c>
      <c r="F466" s="8">
        <v>3.11</v>
      </c>
      <c r="G466" s="4">
        <v>1</v>
      </c>
      <c r="H466" s="8">
        <v>0.21</v>
      </c>
      <c r="I466" s="4">
        <v>0</v>
      </c>
    </row>
    <row r="467" spans="1:9" x14ac:dyDescent="0.2">
      <c r="A467" s="2">
        <v>10</v>
      </c>
      <c r="B467" s="1" t="s">
        <v>163</v>
      </c>
      <c r="C467" s="4">
        <v>27</v>
      </c>
      <c r="D467" s="8">
        <v>1.99</v>
      </c>
      <c r="E467" s="4">
        <v>15</v>
      </c>
      <c r="F467" s="8">
        <v>1.73</v>
      </c>
      <c r="G467" s="4">
        <v>12</v>
      </c>
      <c r="H467" s="8">
        <v>2.5099999999999998</v>
      </c>
      <c r="I467" s="4">
        <v>0</v>
      </c>
    </row>
    <row r="468" spans="1:9" x14ac:dyDescent="0.2">
      <c r="A468" s="2">
        <v>11</v>
      </c>
      <c r="B468" s="1" t="s">
        <v>128</v>
      </c>
      <c r="C468" s="4">
        <v>26</v>
      </c>
      <c r="D468" s="8">
        <v>1.91</v>
      </c>
      <c r="E468" s="4">
        <v>15</v>
      </c>
      <c r="F468" s="8">
        <v>1.73</v>
      </c>
      <c r="G468" s="4">
        <v>11</v>
      </c>
      <c r="H468" s="8">
        <v>2.2999999999999998</v>
      </c>
      <c r="I468" s="4">
        <v>0</v>
      </c>
    </row>
    <row r="469" spans="1:9" x14ac:dyDescent="0.2">
      <c r="A469" s="2">
        <v>12</v>
      </c>
      <c r="B469" s="1" t="s">
        <v>133</v>
      </c>
      <c r="C469" s="4">
        <v>25</v>
      </c>
      <c r="D469" s="8">
        <v>1.84</v>
      </c>
      <c r="E469" s="4">
        <v>7</v>
      </c>
      <c r="F469" s="8">
        <v>0.81</v>
      </c>
      <c r="G469" s="4">
        <v>17</v>
      </c>
      <c r="H469" s="8">
        <v>3.55</v>
      </c>
      <c r="I469" s="4">
        <v>0</v>
      </c>
    </row>
    <row r="470" spans="1:9" x14ac:dyDescent="0.2">
      <c r="A470" s="2">
        <v>12</v>
      </c>
      <c r="B470" s="1" t="s">
        <v>149</v>
      </c>
      <c r="C470" s="4">
        <v>25</v>
      </c>
      <c r="D470" s="8">
        <v>1.84</v>
      </c>
      <c r="E470" s="4">
        <v>15</v>
      </c>
      <c r="F470" s="8">
        <v>1.73</v>
      </c>
      <c r="G470" s="4">
        <v>10</v>
      </c>
      <c r="H470" s="8">
        <v>2.09</v>
      </c>
      <c r="I470" s="4">
        <v>0</v>
      </c>
    </row>
    <row r="471" spans="1:9" x14ac:dyDescent="0.2">
      <c r="A471" s="2">
        <v>14</v>
      </c>
      <c r="B471" s="1" t="s">
        <v>123</v>
      </c>
      <c r="C471" s="4">
        <v>23</v>
      </c>
      <c r="D471" s="8">
        <v>1.69</v>
      </c>
      <c r="E471" s="4">
        <v>4</v>
      </c>
      <c r="F471" s="8">
        <v>0.46</v>
      </c>
      <c r="G471" s="4">
        <v>19</v>
      </c>
      <c r="H471" s="8">
        <v>3.97</v>
      </c>
      <c r="I471" s="4">
        <v>0</v>
      </c>
    </row>
    <row r="472" spans="1:9" x14ac:dyDescent="0.2">
      <c r="A472" s="2">
        <v>14</v>
      </c>
      <c r="B472" s="1" t="s">
        <v>135</v>
      </c>
      <c r="C472" s="4">
        <v>23</v>
      </c>
      <c r="D472" s="8">
        <v>1.69</v>
      </c>
      <c r="E472" s="4">
        <v>20</v>
      </c>
      <c r="F472" s="8">
        <v>2.2999999999999998</v>
      </c>
      <c r="G472" s="4">
        <v>3</v>
      </c>
      <c r="H472" s="8">
        <v>0.63</v>
      </c>
      <c r="I472" s="4">
        <v>0</v>
      </c>
    </row>
    <row r="473" spans="1:9" x14ac:dyDescent="0.2">
      <c r="A473" s="2">
        <v>14</v>
      </c>
      <c r="B473" s="1" t="s">
        <v>143</v>
      </c>
      <c r="C473" s="4">
        <v>23</v>
      </c>
      <c r="D473" s="8">
        <v>1.69</v>
      </c>
      <c r="E473" s="4">
        <v>23</v>
      </c>
      <c r="F473" s="8">
        <v>2.65</v>
      </c>
      <c r="G473" s="4">
        <v>0</v>
      </c>
      <c r="H473" s="8">
        <v>0</v>
      </c>
      <c r="I473" s="4">
        <v>0</v>
      </c>
    </row>
    <row r="474" spans="1:9" x14ac:dyDescent="0.2">
      <c r="A474" s="2">
        <v>17</v>
      </c>
      <c r="B474" s="1" t="s">
        <v>148</v>
      </c>
      <c r="C474" s="4">
        <v>21</v>
      </c>
      <c r="D474" s="8">
        <v>1.55</v>
      </c>
      <c r="E474" s="4">
        <v>14</v>
      </c>
      <c r="F474" s="8">
        <v>1.61</v>
      </c>
      <c r="G474" s="4">
        <v>7</v>
      </c>
      <c r="H474" s="8">
        <v>1.46</v>
      </c>
      <c r="I474" s="4">
        <v>0</v>
      </c>
    </row>
    <row r="475" spans="1:9" x14ac:dyDescent="0.2">
      <c r="A475" s="2">
        <v>18</v>
      </c>
      <c r="B475" s="1" t="s">
        <v>125</v>
      </c>
      <c r="C475" s="4">
        <v>20</v>
      </c>
      <c r="D475" s="8">
        <v>1.47</v>
      </c>
      <c r="E475" s="4">
        <v>9</v>
      </c>
      <c r="F475" s="8">
        <v>1.04</v>
      </c>
      <c r="G475" s="4">
        <v>11</v>
      </c>
      <c r="H475" s="8">
        <v>2.2999999999999998</v>
      </c>
      <c r="I475" s="4">
        <v>0</v>
      </c>
    </row>
    <row r="476" spans="1:9" x14ac:dyDescent="0.2">
      <c r="A476" s="2">
        <v>18</v>
      </c>
      <c r="B476" s="1" t="s">
        <v>127</v>
      </c>
      <c r="C476" s="4">
        <v>20</v>
      </c>
      <c r="D476" s="8">
        <v>1.47</v>
      </c>
      <c r="E476" s="4">
        <v>10</v>
      </c>
      <c r="F476" s="8">
        <v>1.1499999999999999</v>
      </c>
      <c r="G476" s="4">
        <v>10</v>
      </c>
      <c r="H476" s="8">
        <v>2.09</v>
      </c>
      <c r="I476" s="4">
        <v>0</v>
      </c>
    </row>
    <row r="477" spans="1:9" x14ac:dyDescent="0.2">
      <c r="A477" s="2">
        <v>18</v>
      </c>
      <c r="B477" s="1" t="s">
        <v>167</v>
      </c>
      <c r="C477" s="4">
        <v>20</v>
      </c>
      <c r="D477" s="8">
        <v>1.47</v>
      </c>
      <c r="E477" s="4">
        <v>17</v>
      </c>
      <c r="F477" s="8">
        <v>1.96</v>
      </c>
      <c r="G477" s="4">
        <v>3</v>
      </c>
      <c r="H477" s="8">
        <v>0.63</v>
      </c>
      <c r="I477" s="4">
        <v>0</v>
      </c>
    </row>
    <row r="478" spans="1:9" x14ac:dyDescent="0.2">
      <c r="A478" s="1"/>
      <c r="C478" s="4"/>
      <c r="D478" s="8"/>
      <c r="E478" s="4"/>
      <c r="F478" s="8"/>
      <c r="G478" s="4"/>
      <c r="H478" s="8"/>
      <c r="I478" s="4"/>
    </row>
    <row r="479" spans="1:9" x14ac:dyDescent="0.2">
      <c r="A479" s="1" t="s">
        <v>21</v>
      </c>
      <c r="C479" s="4"/>
      <c r="D479" s="8"/>
      <c r="E479" s="4"/>
      <c r="F479" s="8"/>
      <c r="G479" s="4"/>
      <c r="H479" s="8"/>
      <c r="I479" s="4"/>
    </row>
    <row r="480" spans="1:9" x14ac:dyDescent="0.2">
      <c r="A480" s="2">
        <v>1</v>
      </c>
      <c r="B480" s="1" t="s">
        <v>138</v>
      </c>
      <c r="C480" s="4">
        <v>43</v>
      </c>
      <c r="D480" s="8">
        <v>4.91</v>
      </c>
      <c r="E480" s="4">
        <v>40</v>
      </c>
      <c r="F480" s="8">
        <v>7.71</v>
      </c>
      <c r="G480" s="4">
        <v>3</v>
      </c>
      <c r="H480" s="8">
        <v>0.89</v>
      </c>
      <c r="I480" s="4">
        <v>0</v>
      </c>
    </row>
    <row r="481" spans="1:9" x14ac:dyDescent="0.2">
      <c r="A481" s="2">
        <v>2</v>
      </c>
      <c r="B481" s="1" t="s">
        <v>128</v>
      </c>
      <c r="C481" s="4">
        <v>36</v>
      </c>
      <c r="D481" s="8">
        <v>4.1100000000000003</v>
      </c>
      <c r="E481" s="4">
        <v>29</v>
      </c>
      <c r="F481" s="8">
        <v>5.59</v>
      </c>
      <c r="G481" s="4">
        <v>7</v>
      </c>
      <c r="H481" s="8">
        <v>2.08</v>
      </c>
      <c r="I481" s="4">
        <v>0</v>
      </c>
    </row>
    <row r="482" spans="1:9" x14ac:dyDescent="0.2">
      <c r="A482" s="2">
        <v>3</v>
      </c>
      <c r="B482" s="1" t="s">
        <v>137</v>
      </c>
      <c r="C482" s="4">
        <v>32</v>
      </c>
      <c r="D482" s="8">
        <v>3.65</v>
      </c>
      <c r="E482" s="4">
        <v>32</v>
      </c>
      <c r="F482" s="8">
        <v>6.17</v>
      </c>
      <c r="G482" s="4">
        <v>0</v>
      </c>
      <c r="H482" s="8">
        <v>0</v>
      </c>
      <c r="I482" s="4">
        <v>0</v>
      </c>
    </row>
    <row r="483" spans="1:9" x14ac:dyDescent="0.2">
      <c r="A483" s="2">
        <v>4</v>
      </c>
      <c r="B483" s="1" t="s">
        <v>148</v>
      </c>
      <c r="C483" s="4">
        <v>27</v>
      </c>
      <c r="D483" s="8">
        <v>3.08</v>
      </c>
      <c r="E483" s="4">
        <v>23</v>
      </c>
      <c r="F483" s="8">
        <v>4.43</v>
      </c>
      <c r="G483" s="4">
        <v>4</v>
      </c>
      <c r="H483" s="8">
        <v>1.19</v>
      </c>
      <c r="I483" s="4">
        <v>0</v>
      </c>
    </row>
    <row r="484" spans="1:9" x14ac:dyDescent="0.2">
      <c r="A484" s="2">
        <v>4</v>
      </c>
      <c r="B484" s="1" t="s">
        <v>136</v>
      </c>
      <c r="C484" s="4">
        <v>27</v>
      </c>
      <c r="D484" s="8">
        <v>3.08</v>
      </c>
      <c r="E484" s="4">
        <v>26</v>
      </c>
      <c r="F484" s="8">
        <v>5.01</v>
      </c>
      <c r="G484" s="4">
        <v>1</v>
      </c>
      <c r="H484" s="8">
        <v>0.3</v>
      </c>
      <c r="I484" s="4">
        <v>0</v>
      </c>
    </row>
    <row r="485" spans="1:9" x14ac:dyDescent="0.2">
      <c r="A485" s="2">
        <v>6</v>
      </c>
      <c r="B485" s="1" t="s">
        <v>127</v>
      </c>
      <c r="C485" s="4">
        <v>25</v>
      </c>
      <c r="D485" s="8">
        <v>2.85</v>
      </c>
      <c r="E485" s="4">
        <v>12</v>
      </c>
      <c r="F485" s="8">
        <v>2.31</v>
      </c>
      <c r="G485" s="4">
        <v>13</v>
      </c>
      <c r="H485" s="8">
        <v>3.87</v>
      </c>
      <c r="I485" s="4">
        <v>0</v>
      </c>
    </row>
    <row r="486" spans="1:9" x14ac:dyDescent="0.2">
      <c r="A486" s="2">
        <v>7</v>
      </c>
      <c r="B486" s="1" t="s">
        <v>134</v>
      </c>
      <c r="C486" s="4">
        <v>21</v>
      </c>
      <c r="D486" s="8">
        <v>2.4</v>
      </c>
      <c r="E486" s="4">
        <v>19</v>
      </c>
      <c r="F486" s="8">
        <v>3.66</v>
      </c>
      <c r="G486" s="4">
        <v>2</v>
      </c>
      <c r="H486" s="8">
        <v>0.6</v>
      </c>
      <c r="I486" s="4">
        <v>0</v>
      </c>
    </row>
    <row r="487" spans="1:9" x14ac:dyDescent="0.2">
      <c r="A487" s="2">
        <v>8</v>
      </c>
      <c r="B487" s="1" t="s">
        <v>122</v>
      </c>
      <c r="C487" s="4">
        <v>20</v>
      </c>
      <c r="D487" s="8">
        <v>2.2799999999999998</v>
      </c>
      <c r="E487" s="4">
        <v>5</v>
      </c>
      <c r="F487" s="8">
        <v>0.96</v>
      </c>
      <c r="G487" s="4">
        <v>15</v>
      </c>
      <c r="H487" s="8">
        <v>4.46</v>
      </c>
      <c r="I487" s="4">
        <v>0</v>
      </c>
    </row>
    <row r="488" spans="1:9" x14ac:dyDescent="0.2">
      <c r="A488" s="2">
        <v>9</v>
      </c>
      <c r="B488" s="1" t="s">
        <v>140</v>
      </c>
      <c r="C488" s="4">
        <v>19</v>
      </c>
      <c r="D488" s="8">
        <v>2.17</v>
      </c>
      <c r="E488" s="4">
        <v>18</v>
      </c>
      <c r="F488" s="8">
        <v>3.47</v>
      </c>
      <c r="G488" s="4">
        <v>1</v>
      </c>
      <c r="H488" s="8">
        <v>0.3</v>
      </c>
      <c r="I488" s="4">
        <v>0</v>
      </c>
    </row>
    <row r="489" spans="1:9" x14ac:dyDescent="0.2">
      <c r="A489" s="2">
        <v>10</v>
      </c>
      <c r="B489" s="1" t="s">
        <v>170</v>
      </c>
      <c r="C489" s="4">
        <v>18</v>
      </c>
      <c r="D489" s="8">
        <v>2.0499999999999998</v>
      </c>
      <c r="E489" s="4">
        <v>8</v>
      </c>
      <c r="F489" s="8">
        <v>1.54</v>
      </c>
      <c r="G489" s="4">
        <v>10</v>
      </c>
      <c r="H489" s="8">
        <v>2.98</v>
      </c>
      <c r="I489" s="4">
        <v>0</v>
      </c>
    </row>
    <row r="490" spans="1:9" x14ac:dyDescent="0.2">
      <c r="A490" s="2">
        <v>10</v>
      </c>
      <c r="B490" s="1" t="s">
        <v>130</v>
      </c>
      <c r="C490" s="4">
        <v>18</v>
      </c>
      <c r="D490" s="8">
        <v>2.0499999999999998</v>
      </c>
      <c r="E490" s="4">
        <v>15</v>
      </c>
      <c r="F490" s="8">
        <v>2.89</v>
      </c>
      <c r="G490" s="4">
        <v>3</v>
      </c>
      <c r="H490" s="8">
        <v>0.89</v>
      </c>
      <c r="I490" s="4">
        <v>0</v>
      </c>
    </row>
    <row r="491" spans="1:9" x14ac:dyDescent="0.2">
      <c r="A491" s="2">
        <v>12</v>
      </c>
      <c r="B491" s="1" t="s">
        <v>153</v>
      </c>
      <c r="C491" s="4">
        <v>16</v>
      </c>
      <c r="D491" s="8">
        <v>1.83</v>
      </c>
      <c r="E491" s="4">
        <v>4</v>
      </c>
      <c r="F491" s="8">
        <v>0.77</v>
      </c>
      <c r="G491" s="4">
        <v>12</v>
      </c>
      <c r="H491" s="8">
        <v>3.57</v>
      </c>
      <c r="I491" s="4">
        <v>0</v>
      </c>
    </row>
    <row r="492" spans="1:9" x14ac:dyDescent="0.2">
      <c r="A492" s="2">
        <v>13</v>
      </c>
      <c r="B492" s="1" t="s">
        <v>123</v>
      </c>
      <c r="C492" s="4">
        <v>15</v>
      </c>
      <c r="D492" s="8">
        <v>1.71</v>
      </c>
      <c r="E492" s="4">
        <v>3</v>
      </c>
      <c r="F492" s="8">
        <v>0.57999999999999996</v>
      </c>
      <c r="G492" s="4">
        <v>12</v>
      </c>
      <c r="H492" s="8">
        <v>3.57</v>
      </c>
      <c r="I492" s="4">
        <v>0</v>
      </c>
    </row>
    <row r="493" spans="1:9" x14ac:dyDescent="0.2">
      <c r="A493" s="2">
        <v>13</v>
      </c>
      <c r="B493" s="1" t="s">
        <v>124</v>
      </c>
      <c r="C493" s="4">
        <v>15</v>
      </c>
      <c r="D493" s="8">
        <v>1.71</v>
      </c>
      <c r="E493" s="4">
        <v>12</v>
      </c>
      <c r="F493" s="8">
        <v>2.31</v>
      </c>
      <c r="G493" s="4">
        <v>3</v>
      </c>
      <c r="H493" s="8">
        <v>0.89</v>
      </c>
      <c r="I493" s="4">
        <v>0</v>
      </c>
    </row>
    <row r="494" spans="1:9" x14ac:dyDescent="0.2">
      <c r="A494" s="2">
        <v>15</v>
      </c>
      <c r="B494" s="1" t="s">
        <v>133</v>
      </c>
      <c r="C494" s="4">
        <v>14</v>
      </c>
      <c r="D494" s="8">
        <v>1.6</v>
      </c>
      <c r="E494" s="4">
        <v>8</v>
      </c>
      <c r="F494" s="8">
        <v>1.54</v>
      </c>
      <c r="G494" s="4">
        <v>3</v>
      </c>
      <c r="H494" s="8">
        <v>0.89</v>
      </c>
      <c r="I494" s="4">
        <v>0</v>
      </c>
    </row>
    <row r="495" spans="1:9" x14ac:dyDescent="0.2">
      <c r="A495" s="2">
        <v>16</v>
      </c>
      <c r="B495" s="1" t="s">
        <v>163</v>
      </c>
      <c r="C495" s="4">
        <v>13</v>
      </c>
      <c r="D495" s="8">
        <v>1.48</v>
      </c>
      <c r="E495" s="4">
        <v>11</v>
      </c>
      <c r="F495" s="8">
        <v>2.12</v>
      </c>
      <c r="G495" s="4">
        <v>2</v>
      </c>
      <c r="H495" s="8">
        <v>0.6</v>
      </c>
      <c r="I495" s="4">
        <v>0</v>
      </c>
    </row>
    <row r="496" spans="1:9" x14ac:dyDescent="0.2">
      <c r="A496" s="2">
        <v>16</v>
      </c>
      <c r="B496" s="1" t="s">
        <v>139</v>
      </c>
      <c r="C496" s="4">
        <v>13</v>
      </c>
      <c r="D496" s="8">
        <v>1.48</v>
      </c>
      <c r="E496" s="4">
        <v>9</v>
      </c>
      <c r="F496" s="8">
        <v>1.73</v>
      </c>
      <c r="G496" s="4">
        <v>4</v>
      </c>
      <c r="H496" s="8">
        <v>1.19</v>
      </c>
      <c r="I496" s="4">
        <v>0</v>
      </c>
    </row>
    <row r="497" spans="1:9" x14ac:dyDescent="0.2">
      <c r="A497" s="2">
        <v>18</v>
      </c>
      <c r="B497" s="1" t="s">
        <v>169</v>
      </c>
      <c r="C497" s="4">
        <v>12</v>
      </c>
      <c r="D497" s="8">
        <v>1.37</v>
      </c>
      <c r="E497" s="4">
        <v>5</v>
      </c>
      <c r="F497" s="8">
        <v>0.96</v>
      </c>
      <c r="G497" s="4">
        <v>7</v>
      </c>
      <c r="H497" s="8">
        <v>2.08</v>
      </c>
      <c r="I497" s="4">
        <v>0</v>
      </c>
    </row>
    <row r="498" spans="1:9" x14ac:dyDescent="0.2">
      <c r="A498" s="2">
        <v>19</v>
      </c>
      <c r="B498" s="1" t="s">
        <v>125</v>
      </c>
      <c r="C498" s="4">
        <v>10</v>
      </c>
      <c r="D498" s="8">
        <v>1.1399999999999999</v>
      </c>
      <c r="E498" s="4">
        <v>6</v>
      </c>
      <c r="F498" s="8">
        <v>1.1599999999999999</v>
      </c>
      <c r="G498" s="4">
        <v>4</v>
      </c>
      <c r="H498" s="8">
        <v>1.19</v>
      </c>
      <c r="I498" s="4">
        <v>0</v>
      </c>
    </row>
    <row r="499" spans="1:9" x14ac:dyDescent="0.2">
      <c r="A499" s="2">
        <v>19</v>
      </c>
      <c r="B499" s="1" t="s">
        <v>142</v>
      </c>
      <c r="C499" s="4">
        <v>10</v>
      </c>
      <c r="D499" s="8">
        <v>1.1399999999999999</v>
      </c>
      <c r="E499" s="4">
        <v>8</v>
      </c>
      <c r="F499" s="8">
        <v>1.54</v>
      </c>
      <c r="G499" s="4">
        <v>2</v>
      </c>
      <c r="H499" s="8">
        <v>0.6</v>
      </c>
      <c r="I499" s="4">
        <v>0</v>
      </c>
    </row>
    <row r="500" spans="1:9" x14ac:dyDescent="0.2">
      <c r="A500" s="2">
        <v>19</v>
      </c>
      <c r="B500" s="1" t="s">
        <v>181</v>
      </c>
      <c r="C500" s="4">
        <v>10</v>
      </c>
      <c r="D500" s="8">
        <v>1.1399999999999999</v>
      </c>
      <c r="E500" s="4">
        <v>9</v>
      </c>
      <c r="F500" s="8">
        <v>1.73</v>
      </c>
      <c r="G500" s="4">
        <v>1</v>
      </c>
      <c r="H500" s="8">
        <v>0.3</v>
      </c>
      <c r="I500" s="4">
        <v>0</v>
      </c>
    </row>
    <row r="501" spans="1:9" x14ac:dyDescent="0.2">
      <c r="A501" s="2">
        <v>19</v>
      </c>
      <c r="B501" s="1" t="s">
        <v>185</v>
      </c>
      <c r="C501" s="4">
        <v>10</v>
      </c>
      <c r="D501" s="8">
        <v>1.1399999999999999</v>
      </c>
      <c r="E501" s="4">
        <v>8</v>
      </c>
      <c r="F501" s="8">
        <v>1.54</v>
      </c>
      <c r="G501" s="4">
        <v>2</v>
      </c>
      <c r="H501" s="8">
        <v>0.6</v>
      </c>
      <c r="I501" s="4">
        <v>0</v>
      </c>
    </row>
    <row r="502" spans="1:9" x14ac:dyDescent="0.2">
      <c r="A502" s="1"/>
      <c r="C502" s="4"/>
      <c r="D502" s="8"/>
      <c r="E502" s="4"/>
      <c r="F502" s="8"/>
      <c r="G502" s="4"/>
      <c r="H502" s="8"/>
      <c r="I502" s="4"/>
    </row>
    <row r="503" spans="1:9" x14ac:dyDescent="0.2">
      <c r="A503" s="1" t="s">
        <v>22</v>
      </c>
      <c r="C503" s="4"/>
      <c r="D503" s="8"/>
      <c r="E503" s="4"/>
      <c r="F503" s="8"/>
      <c r="G503" s="4"/>
      <c r="H503" s="8"/>
      <c r="I503" s="4"/>
    </row>
    <row r="504" spans="1:9" x14ac:dyDescent="0.2">
      <c r="A504" s="2">
        <v>1</v>
      </c>
      <c r="B504" s="1" t="s">
        <v>132</v>
      </c>
      <c r="C504" s="4">
        <v>59</v>
      </c>
      <c r="D504" s="8">
        <v>6.92</v>
      </c>
      <c r="E504" s="4">
        <v>41</v>
      </c>
      <c r="F504" s="8">
        <v>9.51</v>
      </c>
      <c r="G504" s="4">
        <v>18</v>
      </c>
      <c r="H504" s="8">
        <v>4.37</v>
      </c>
      <c r="I504" s="4">
        <v>0</v>
      </c>
    </row>
    <row r="505" spans="1:9" x14ac:dyDescent="0.2">
      <c r="A505" s="2">
        <v>2</v>
      </c>
      <c r="B505" s="1" t="s">
        <v>131</v>
      </c>
      <c r="C505" s="4">
        <v>44</v>
      </c>
      <c r="D505" s="8">
        <v>5.16</v>
      </c>
      <c r="E505" s="4">
        <v>41</v>
      </c>
      <c r="F505" s="8">
        <v>9.51</v>
      </c>
      <c r="G505" s="4">
        <v>3</v>
      </c>
      <c r="H505" s="8">
        <v>0.73</v>
      </c>
      <c r="I505" s="4">
        <v>0</v>
      </c>
    </row>
    <row r="506" spans="1:9" x14ac:dyDescent="0.2">
      <c r="A506" s="2">
        <v>3</v>
      </c>
      <c r="B506" s="1" t="s">
        <v>128</v>
      </c>
      <c r="C506" s="4">
        <v>41</v>
      </c>
      <c r="D506" s="8">
        <v>4.8099999999999996</v>
      </c>
      <c r="E506" s="4">
        <v>23</v>
      </c>
      <c r="F506" s="8">
        <v>5.34</v>
      </c>
      <c r="G506" s="4">
        <v>18</v>
      </c>
      <c r="H506" s="8">
        <v>4.37</v>
      </c>
      <c r="I506" s="4">
        <v>0</v>
      </c>
    </row>
    <row r="507" spans="1:9" x14ac:dyDescent="0.2">
      <c r="A507" s="2">
        <v>4</v>
      </c>
      <c r="B507" s="1" t="s">
        <v>138</v>
      </c>
      <c r="C507" s="4">
        <v>27</v>
      </c>
      <c r="D507" s="8">
        <v>3.17</v>
      </c>
      <c r="E507" s="4">
        <v>22</v>
      </c>
      <c r="F507" s="8">
        <v>5.0999999999999996</v>
      </c>
      <c r="G507" s="4">
        <v>5</v>
      </c>
      <c r="H507" s="8">
        <v>1.21</v>
      </c>
      <c r="I507" s="4">
        <v>0</v>
      </c>
    </row>
    <row r="508" spans="1:9" x14ac:dyDescent="0.2">
      <c r="A508" s="2">
        <v>5</v>
      </c>
      <c r="B508" s="1" t="s">
        <v>136</v>
      </c>
      <c r="C508" s="4">
        <v>26</v>
      </c>
      <c r="D508" s="8">
        <v>3.05</v>
      </c>
      <c r="E508" s="4">
        <v>25</v>
      </c>
      <c r="F508" s="8">
        <v>5.8</v>
      </c>
      <c r="G508" s="4">
        <v>1</v>
      </c>
      <c r="H508" s="8">
        <v>0.24</v>
      </c>
      <c r="I508" s="4">
        <v>0</v>
      </c>
    </row>
    <row r="509" spans="1:9" x14ac:dyDescent="0.2">
      <c r="A509" s="2">
        <v>6</v>
      </c>
      <c r="B509" s="1" t="s">
        <v>140</v>
      </c>
      <c r="C509" s="4">
        <v>24</v>
      </c>
      <c r="D509" s="8">
        <v>2.81</v>
      </c>
      <c r="E509" s="4">
        <v>23</v>
      </c>
      <c r="F509" s="8">
        <v>5.34</v>
      </c>
      <c r="G509" s="4">
        <v>1</v>
      </c>
      <c r="H509" s="8">
        <v>0.24</v>
      </c>
      <c r="I509" s="4">
        <v>0</v>
      </c>
    </row>
    <row r="510" spans="1:9" x14ac:dyDescent="0.2">
      <c r="A510" s="2">
        <v>7</v>
      </c>
      <c r="B510" s="1" t="s">
        <v>142</v>
      </c>
      <c r="C510" s="4">
        <v>22</v>
      </c>
      <c r="D510" s="8">
        <v>2.58</v>
      </c>
      <c r="E510" s="4">
        <v>8</v>
      </c>
      <c r="F510" s="8">
        <v>1.86</v>
      </c>
      <c r="G510" s="4">
        <v>14</v>
      </c>
      <c r="H510" s="8">
        <v>3.4</v>
      </c>
      <c r="I510" s="4">
        <v>0</v>
      </c>
    </row>
    <row r="511" spans="1:9" x14ac:dyDescent="0.2">
      <c r="A511" s="2">
        <v>8</v>
      </c>
      <c r="B511" s="1" t="s">
        <v>141</v>
      </c>
      <c r="C511" s="4">
        <v>17</v>
      </c>
      <c r="D511" s="8">
        <v>1.99</v>
      </c>
      <c r="E511" s="4">
        <v>12</v>
      </c>
      <c r="F511" s="8">
        <v>2.78</v>
      </c>
      <c r="G511" s="4">
        <v>5</v>
      </c>
      <c r="H511" s="8">
        <v>1.21</v>
      </c>
      <c r="I511" s="4">
        <v>0</v>
      </c>
    </row>
    <row r="512" spans="1:9" x14ac:dyDescent="0.2">
      <c r="A512" s="2">
        <v>9</v>
      </c>
      <c r="B512" s="1" t="s">
        <v>153</v>
      </c>
      <c r="C512" s="4">
        <v>16</v>
      </c>
      <c r="D512" s="8">
        <v>1.88</v>
      </c>
      <c r="E512" s="4">
        <v>7</v>
      </c>
      <c r="F512" s="8">
        <v>1.62</v>
      </c>
      <c r="G512" s="4">
        <v>9</v>
      </c>
      <c r="H512" s="8">
        <v>2.1800000000000002</v>
      </c>
      <c r="I512" s="4">
        <v>0</v>
      </c>
    </row>
    <row r="513" spans="1:9" x14ac:dyDescent="0.2">
      <c r="A513" s="2">
        <v>9</v>
      </c>
      <c r="B513" s="1" t="s">
        <v>139</v>
      </c>
      <c r="C513" s="4">
        <v>16</v>
      </c>
      <c r="D513" s="8">
        <v>1.88</v>
      </c>
      <c r="E513" s="4">
        <v>13</v>
      </c>
      <c r="F513" s="8">
        <v>3.02</v>
      </c>
      <c r="G513" s="4">
        <v>3</v>
      </c>
      <c r="H513" s="8">
        <v>0.73</v>
      </c>
      <c r="I513" s="4">
        <v>0</v>
      </c>
    </row>
    <row r="514" spans="1:9" x14ac:dyDescent="0.2">
      <c r="A514" s="2">
        <v>11</v>
      </c>
      <c r="B514" s="1" t="s">
        <v>123</v>
      </c>
      <c r="C514" s="4">
        <v>14</v>
      </c>
      <c r="D514" s="8">
        <v>1.64</v>
      </c>
      <c r="E514" s="4">
        <v>2</v>
      </c>
      <c r="F514" s="8">
        <v>0.46</v>
      </c>
      <c r="G514" s="4">
        <v>12</v>
      </c>
      <c r="H514" s="8">
        <v>2.91</v>
      </c>
      <c r="I514" s="4">
        <v>0</v>
      </c>
    </row>
    <row r="515" spans="1:9" x14ac:dyDescent="0.2">
      <c r="A515" s="2">
        <v>12</v>
      </c>
      <c r="B515" s="1" t="s">
        <v>137</v>
      </c>
      <c r="C515" s="4">
        <v>13</v>
      </c>
      <c r="D515" s="8">
        <v>1.52</v>
      </c>
      <c r="E515" s="4">
        <v>12</v>
      </c>
      <c r="F515" s="8">
        <v>2.78</v>
      </c>
      <c r="G515" s="4">
        <v>1</v>
      </c>
      <c r="H515" s="8">
        <v>0.24</v>
      </c>
      <c r="I515" s="4">
        <v>0</v>
      </c>
    </row>
    <row r="516" spans="1:9" x14ac:dyDescent="0.2">
      <c r="A516" s="2">
        <v>13</v>
      </c>
      <c r="B516" s="1" t="s">
        <v>165</v>
      </c>
      <c r="C516" s="4">
        <v>12</v>
      </c>
      <c r="D516" s="8">
        <v>1.41</v>
      </c>
      <c r="E516" s="4">
        <v>4</v>
      </c>
      <c r="F516" s="8">
        <v>0.93</v>
      </c>
      <c r="G516" s="4">
        <v>8</v>
      </c>
      <c r="H516" s="8">
        <v>1.94</v>
      </c>
      <c r="I516" s="4">
        <v>0</v>
      </c>
    </row>
    <row r="517" spans="1:9" x14ac:dyDescent="0.2">
      <c r="A517" s="2">
        <v>13</v>
      </c>
      <c r="B517" s="1" t="s">
        <v>156</v>
      </c>
      <c r="C517" s="4">
        <v>12</v>
      </c>
      <c r="D517" s="8">
        <v>1.41</v>
      </c>
      <c r="E517" s="4">
        <v>1</v>
      </c>
      <c r="F517" s="8">
        <v>0.23</v>
      </c>
      <c r="G517" s="4">
        <v>11</v>
      </c>
      <c r="H517" s="8">
        <v>2.67</v>
      </c>
      <c r="I517" s="4">
        <v>0</v>
      </c>
    </row>
    <row r="518" spans="1:9" x14ac:dyDescent="0.2">
      <c r="A518" s="2">
        <v>15</v>
      </c>
      <c r="B518" s="1" t="s">
        <v>176</v>
      </c>
      <c r="C518" s="4">
        <v>11</v>
      </c>
      <c r="D518" s="8">
        <v>1.29</v>
      </c>
      <c r="E518" s="4">
        <v>4</v>
      </c>
      <c r="F518" s="8">
        <v>0.93</v>
      </c>
      <c r="G518" s="4">
        <v>7</v>
      </c>
      <c r="H518" s="8">
        <v>1.7</v>
      </c>
      <c r="I518" s="4">
        <v>0</v>
      </c>
    </row>
    <row r="519" spans="1:9" x14ac:dyDescent="0.2">
      <c r="A519" s="2">
        <v>15</v>
      </c>
      <c r="B519" s="1" t="s">
        <v>158</v>
      </c>
      <c r="C519" s="4">
        <v>11</v>
      </c>
      <c r="D519" s="8">
        <v>1.29</v>
      </c>
      <c r="E519" s="4">
        <v>3</v>
      </c>
      <c r="F519" s="8">
        <v>0.7</v>
      </c>
      <c r="G519" s="4">
        <v>8</v>
      </c>
      <c r="H519" s="8">
        <v>1.94</v>
      </c>
      <c r="I519" s="4">
        <v>0</v>
      </c>
    </row>
    <row r="520" spans="1:9" x14ac:dyDescent="0.2">
      <c r="A520" s="2">
        <v>15</v>
      </c>
      <c r="B520" s="1" t="s">
        <v>134</v>
      </c>
      <c r="C520" s="4">
        <v>11</v>
      </c>
      <c r="D520" s="8">
        <v>1.29</v>
      </c>
      <c r="E520" s="4">
        <v>9</v>
      </c>
      <c r="F520" s="8">
        <v>2.09</v>
      </c>
      <c r="G520" s="4">
        <v>2</v>
      </c>
      <c r="H520" s="8">
        <v>0.49</v>
      </c>
      <c r="I520" s="4">
        <v>0</v>
      </c>
    </row>
    <row r="521" spans="1:9" x14ac:dyDescent="0.2">
      <c r="A521" s="2">
        <v>15</v>
      </c>
      <c r="B521" s="1" t="s">
        <v>144</v>
      </c>
      <c r="C521" s="4">
        <v>11</v>
      </c>
      <c r="D521" s="8">
        <v>1.29</v>
      </c>
      <c r="E521" s="4">
        <v>5</v>
      </c>
      <c r="F521" s="8">
        <v>1.1599999999999999</v>
      </c>
      <c r="G521" s="4">
        <v>6</v>
      </c>
      <c r="H521" s="8">
        <v>1.46</v>
      </c>
      <c r="I521" s="4">
        <v>0</v>
      </c>
    </row>
    <row r="522" spans="1:9" x14ac:dyDescent="0.2">
      <c r="A522" s="2">
        <v>19</v>
      </c>
      <c r="B522" s="1" t="s">
        <v>177</v>
      </c>
      <c r="C522" s="4">
        <v>10</v>
      </c>
      <c r="D522" s="8">
        <v>1.17</v>
      </c>
      <c r="E522" s="4">
        <v>3</v>
      </c>
      <c r="F522" s="8">
        <v>0.7</v>
      </c>
      <c r="G522" s="4">
        <v>7</v>
      </c>
      <c r="H522" s="8">
        <v>1.7</v>
      </c>
      <c r="I522" s="4">
        <v>0</v>
      </c>
    </row>
    <row r="523" spans="1:9" x14ac:dyDescent="0.2">
      <c r="A523" s="2">
        <v>19</v>
      </c>
      <c r="B523" s="1" t="s">
        <v>125</v>
      </c>
      <c r="C523" s="4">
        <v>10</v>
      </c>
      <c r="D523" s="8">
        <v>1.17</v>
      </c>
      <c r="E523" s="4">
        <v>1</v>
      </c>
      <c r="F523" s="8">
        <v>0.23</v>
      </c>
      <c r="G523" s="4">
        <v>9</v>
      </c>
      <c r="H523" s="8">
        <v>2.1800000000000002</v>
      </c>
      <c r="I523" s="4">
        <v>0</v>
      </c>
    </row>
    <row r="524" spans="1:9" x14ac:dyDescent="0.2">
      <c r="A524" s="2">
        <v>19</v>
      </c>
      <c r="B524" s="1" t="s">
        <v>186</v>
      </c>
      <c r="C524" s="4">
        <v>10</v>
      </c>
      <c r="D524" s="8">
        <v>1.17</v>
      </c>
      <c r="E524" s="4">
        <v>7</v>
      </c>
      <c r="F524" s="8">
        <v>1.62</v>
      </c>
      <c r="G524" s="4">
        <v>3</v>
      </c>
      <c r="H524" s="8">
        <v>0.73</v>
      </c>
      <c r="I524" s="4">
        <v>0</v>
      </c>
    </row>
    <row r="525" spans="1:9" x14ac:dyDescent="0.2">
      <c r="A525" s="2">
        <v>19</v>
      </c>
      <c r="B525" s="1" t="s">
        <v>187</v>
      </c>
      <c r="C525" s="4">
        <v>10</v>
      </c>
      <c r="D525" s="8">
        <v>1.17</v>
      </c>
      <c r="E525" s="4">
        <v>3</v>
      </c>
      <c r="F525" s="8">
        <v>0.7</v>
      </c>
      <c r="G525" s="4">
        <v>7</v>
      </c>
      <c r="H525" s="8">
        <v>1.7</v>
      </c>
      <c r="I525" s="4">
        <v>0</v>
      </c>
    </row>
    <row r="526" spans="1:9" x14ac:dyDescent="0.2">
      <c r="A526" s="2">
        <v>19</v>
      </c>
      <c r="B526" s="1" t="s">
        <v>188</v>
      </c>
      <c r="C526" s="4">
        <v>10</v>
      </c>
      <c r="D526" s="8">
        <v>1.17</v>
      </c>
      <c r="E526" s="4">
        <v>3</v>
      </c>
      <c r="F526" s="8">
        <v>0.7</v>
      </c>
      <c r="G526" s="4">
        <v>5</v>
      </c>
      <c r="H526" s="8">
        <v>1.21</v>
      </c>
      <c r="I526" s="4">
        <v>2</v>
      </c>
    </row>
    <row r="527" spans="1:9" x14ac:dyDescent="0.2">
      <c r="A527" s="1"/>
      <c r="C527" s="4"/>
      <c r="D527" s="8"/>
      <c r="E527" s="4"/>
      <c r="F527" s="8"/>
      <c r="G527" s="4"/>
      <c r="H527" s="8"/>
      <c r="I527" s="4"/>
    </row>
    <row r="528" spans="1:9" x14ac:dyDescent="0.2">
      <c r="A528" s="1" t="s">
        <v>23</v>
      </c>
      <c r="C528" s="4"/>
      <c r="D528" s="8"/>
      <c r="E528" s="4"/>
      <c r="F528" s="8"/>
      <c r="G528" s="4"/>
      <c r="H528" s="8"/>
      <c r="I528" s="4"/>
    </row>
    <row r="529" spans="1:9" x14ac:dyDescent="0.2">
      <c r="A529" s="2">
        <v>1</v>
      </c>
      <c r="B529" s="1" t="s">
        <v>138</v>
      </c>
      <c r="C529" s="4">
        <v>28</v>
      </c>
      <c r="D529" s="8">
        <v>5.25</v>
      </c>
      <c r="E529" s="4">
        <v>24</v>
      </c>
      <c r="F529" s="8">
        <v>8.57</v>
      </c>
      <c r="G529" s="4">
        <v>4</v>
      </c>
      <c r="H529" s="8">
        <v>1.61</v>
      </c>
      <c r="I529" s="4">
        <v>0</v>
      </c>
    </row>
    <row r="530" spans="1:9" x14ac:dyDescent="0.2">
      <c r="A530" s="2">
        <v>2</v>
      </c>
      <c r="B530" s="1" t="s">
        <v>136</v>
      </c>
      <c r="C530" s="4">
        <v>19</v>
      </c>
      <c r="D530" s="8">
        <v>3.56</v>
      </c>
      <c r="E530" s="4">
        <v>17</v>
      </c>
      <c r="F530" s="8">
        <v>6.07</v>
      </c>
      <c r="G530" s="4">
        <v>2</v>
      </c>
      <c r="H530" s="8">
        <v>0.81</v>
      </c>
      <c r="I530" s="4">
        <v>0</v>
      </c>
    </row>
    <row r="531" spans="1:9" x14ac:dyDescent="0.2">
      <c r="A531" s="2">
        <v>3</v>
      </c>
      <c r="B531" s="1" t="s">
        <v>140</v>
      </c>
      <c r="C531" s="4">
        <v>16</v>
      </c>
      <c r="D531" s="8">
        <v>3</v>
      </c>
      <c r="E531" s="4">
        <v>16</v>
      </c>
      <c r="F531" s="8">
        <v>5.71</v>
      </c>
      <c r="G531" s="4">
        <v>0</v>
      </c>
      <c r="H531" s="8">
        <v>0</v>
      </c>
      <c r="I531" s="4">
        <v>0</v>
      </c>
    </row>
    <row r="532" spans="1:9" x14ac:dyDescent="0.2">
      <c r="A532" s="2">
        <v>3</v>
      </c>
      <c r="B532" s="1" t="s">
        <v>141</v>
      </c>
      <c r="C532" s="4">
        <v>16</v>
      </c>
      <c r="D532" s="8">
        <v>3</v>
      </c>
      <c r="E532" s="4">
        <v>12</v>
      </c>
      <c r="F532" s="8">
        <v>4.29</v>
      </c>
      <c r="G532" s="4">
        <v>4</v>
      </c>
      <c r="H532" s="8">
        <v>1.61</v>
      </c>
      <c r="I532" s="4">
        <v>0</v>
      </c>
    </row>
    <row r="533" spans="1:9" x14ac:dyDescent="0.2">
      <c r="A533" s="2">
        <v>5</v>
      </c>
      <c r="B533" s="1" t="s">
        <v>128</v>
      </c>
      <c r="C533" s="4">
        <v>14</v>
      </c>
      <c r="D533" s="8">
        <v>2.63</v>
      </c>
      <c r="E533" s="4">
        <v>7</v>
      </c>
      <c r="F533" s="8">
        <v>2.5</v>
      </c>
      <c r="G533" s="4">
        <v>7</v>
      </c>
      <c r="H533" s="8">
        <v>2.82</v>
      </c>
      <c r="I533" s="4">
        <v>0</v>
      </c>
    </row>
    <row r="534" spans="1:9" x14ac:dyDescent="0.2">
      <c r="A534" s="2">
        <v>5</v>
      </c>
      <c r="B534" s="1" t="s">
        <v>137</v>
      </c>
      <c r="C534" s="4">
        <v>14</v>
      </c>
      <c r="D534" s="8">
        <v>2.63</v>
      </c>
      <c r="E534" s="4">
        <v>14</v>
      </c>
      <c r="F534" s="8">
        <v>5</v>
      </c>
      <c r="G534" s="4">
        <v>0</v>
      </c>
      <c r="H534" s="8">
        <v>0</v>
      </c>
      <c r="I534" s="4">
        <v>0</v>
      </c>
    </row>
    <row r="535" spans="1:9" x14ac:dyDescent="0.2">
      <c r="A535" s="2">
        <v>7</v>
      </c>
      <c r="B535" s="1" t="s">
        <v>132</v>
      </c>
      <c r="C535" s="4">
        <v>13</v>
      </c>
      <c r="D535" s="8">
        <v>2.44</v>
      </c>
      <c r="E535" s="4">
        <v>1</v>
      </c>
      <c r="F535" s="8">
        <v>0.36</v>
      </c>
      <c r="G535" s="4">
        <v>12</v>
      </c>
      <c r="H535" s="8">
        <v>4.84</v>
      </c>
      <c r="I535" s="4">
        <v>0</v>
      </c>
    </row>
    <row r="536" spans="1:9" x14ac:dyDescent="0.2">
      <c r="A536" s="2">
        <v>8</v>
      </c>
      <c r="B536" s="1" t="s">
        <v>142</v>
      </c>
      <c r="C536" s="4">
        <v>12</v>
      </c>
      <c r="D536" s="8">
        <v>2.25</v>
      </c>
      <c r="E536" s="4">
        <v>6</v>
      </c>
      <c r="F536" s="8">
        <v>2.14</v>
      </c>
      <c r="G536" s="4">
        <v>6</v>
      </c>
      <c r="H536" s="8">
        <v>2.42</v>
      </c>
      <c r="I536" s="4">
        <v>0</v>
      </c>
    </row>
    <row r="537" spans="1:9" x14ac:dyDescent="0.2">
      <c r="A537" s="2">
        <v>8</v>
      </c>
      <c r="B537" s="1" t="s">
        <v>148</v>
      </c>
      <c r="C537" s="4">
        <v>12</v>
      </c>
      <c r="D537" s="8">
        <v>2.25</v>
      </c>
      <c r="E537" s="4">
        <v>10</v>
      </c>
      <c r="F537" s="8">
        <v>3.57</v>
      </c>
      <c r="G537" s="4">
        <v>2</v>
      </c>
      <c r="H537" s="8">
        <v>0.81</v>
      </c>
      <c r="I537" s="4">
        <v>0</v>
      </c>
    </row>
    <row r="538" spans="1:9" x14ac:dyDescent="0.2">
      <c r="A538" s="2">
        <v>8</v>
      </c>
      <c r="B538" s="1" t="s">
        <v>131</v>
      </c>
      <c r="C538" s="4">
        <v>12</v>
      </c>
      <c r="D538" s="8">
        <v>2.25</v>
      </c>
      <c r="E538" s="4">
        <v>1</v>
      </c>
      <c r="F538" s="8">
        <v>0.36</v>
      </c>
      <c r="G538" s="4">
        <v>11</v>
      </c>
      <c r="H538" s="8">
        <v>4.4400000000000004</v>
      </c>
      <c r="I538" s="4">
        <v>0</v>
      </c>
    </row>
    <row r="539" spans="1:9" x14ac:dyDescent="0.2">
      <c r="A539" s="2">
        <v>11</v>
      </c>
      <c r="B539" s="1" t="s">
        <v>139</v>
      </c>
      <c r="C539" s="4">
        <v>10</v>
      </c>
      <c r="D539" s="8">
        <v>1.88</v>
      </c>
      <c r="E539" s="4">
        <v>6</v>
      </c>
      <c r="F539" s="8">
        <v>2.14</v>
      </c>
      <c r="G539" s="4">
        <v>4</v>
      </c>
      <c r="H539" s="8">
        <v>1.61</v>
      </c>
      <c r="I539" s="4">
        <v>0</v>
      </c>
    </row>
    <row r="540" spans="1:9" x14ac:dyDescent="0.2">
      <c r="A540" s="2">
        <v>12</v>
      </c>
      <c r="B540" s="1" t="s">
        <v>130</v>
      </c>
      <c r="C540" s="4">
        <v>9</v>
      </c>
      <c r="D540" s="8">
        <v>1.69</v>
      </c>
      <c r="E540" s="4">
        <v>6</v>
      </c>
      <c r="F540" s="8">
        <v>2.14</v>
      </c>
      <c r="G540" s="4">
        <v>3</v>
      </c>
      <c r="H540" s="8">
        <v>1.21</v>
      </c>
      <c r="I540" s="4">
        <v>0</v>
      </c>
    </row>
    <row r="541" spans="1:9" x14ac:dyDescent="0.2">
      <c r="A541" s="2">
        <v>13</v>
      </c>
      <c r="B541" s="1" t="s">
        <v>123</v>
      </c>
      <c r="C541" s="4">
        <v>8</v>
      </c>
      <c r="D541" s="8">
        <v>1.5</v>
      </c>
      <c r="E541" s="4">
        <v>2</v>
      </c>
      <c r="F541" s="8">
        <v>0.71</v>
      </c>
      <c r="G541" s="4">
        <v>6</v>
      </c>
      <c r="H541" s="8">
        <v>2.42</v>
      </c>
      <c r="I541" s="4">
        <v>0</v>
      </c>
    </row>
    <row r="542" spans="1:9" x14ac:dyDescent="0.2">
      <c r="A542" s="2">
        <v>13</v>
      </c>
      <c r="B542" s="1" t="s">
        <v>178</v>
      </c>
      <c r="C542" s="4">
        <v>8</v>
      </c>
      <c r="D542" s="8">
        <v>1.5</v>
      </c>
      <c r="E542" s="4">
        <v>7</v>
      </c>
      <c r="F542" s="8">
        <v>2.5</v>
      </c>
      <c r="G542" s="4">
        <v>1</v>
      </c>
      <c r="H542" s="8">
        <v>0.4</v>
      </c>
      <c r="I542" s="4">
        <v>0</v>
      </c>
    </row>
    <row r="543" spans="1:9" x14ac:dyDescent="0.2">
      <c r="A543" s="2">
        <v>13</v>
      </c>
      <c r="B543" s="1" t="s">
        <v>127</v>
      </c>
      <c r="C543" s="4">
        <v>8</v>
      </c>
      <c r="D543" s="8">
        <v>1.5</v>
      </c>
      <c r="E543" s="4">
        <v>7</v>
      </c>
      <c r="F543" s="8">
        <v>2.5</v>
      </c>
      <c r="G543" s="4">
        <v>1</v>
      </c>
      <c r="H543" s="8">
        <v>0.4</v>
      </c>
      <c r="I543" s="4">
        <v>0</v>
      </c>
    </row>
    <row r="544" spans="1:9" x14ac:dyDescent="0.2">
      <c r="A544" s="2">
        <v>13</v>
      </c>
      <c r="B544" s="1" t="s">
        <v>163</v>
      </c>
      <c r="C544" s="4">
        <v>8</v>
      </c>
      <c r="D544" s="8">
        <v>1.5</v>
      </c>
      <c r="E544" s="4">
        <v>5</v>
      </c>
      <c r="F544" s="8">
        <v>1.79</v>
      </c>
      <c r="G544" s="4">
        <v>3</v>
      </c>
      <c r="H544" s="8">
        <v>1.21</v>
      </c>
      <c r="I544" s="4">
        <v>0</v>
      </c>
    </row>
    <row r="545" spans="1:9" x14ac:dyDescent="0.2">
      <c r="A545" s="2">
        <v>13</v>
      </c>
      <c r="B545" s="1" t="s">
        <v>129</v>
      </c>
      <c r="C545" s="4">
        <v>8</v>
      </c>
      <c r="D545" s="8">
        <v>1.5</v>
      </c>
      <c r="E545" s="4">
        <v>2</v>
      </c>
      <c r="F545" s="8">
        <v>0.71</v>
      </c>
      <c r="G545" s="4">
        <v>6</v>
      </c>
      <c r="H545" s="8">
        <v>2.42</v>
      </c>
      <c r="I545" s="4">
        <v>0</v>
      </c>
    </row>
    <row r="546" spans="1:9" x14ac:dyDescent="0.2">
      <c r="A546" s="2">
        <v>13</v>
      </c>
      <c r="B546" s="1" t="s">
        <v>170</v>
      </c>
      <c r="C546" s="4">
        <v>8</v>
      </c>
      <c r="D546" s="8">
        <v>1.5</v>
      </c>
      <c r="E546" s="4">
        <v>2</v>
      </c>
      <c r="F546" s="8">
        <v>0.71</v>
      </c>
      <c r="G546" s="4">
        <v>6</v>
      </c>
      <c r="H546" s="8">
        <v>2.42</v>
      </c>
      <c r="I546" s="4">
        <v>0</v>
      </c>
    </row>
    <row r="547" spans="1:9" x14ac:dyDescent="0.2">
      <c r="A547" s="2">
        <v>13</v>
      </c>
      <c r="B547" s="1" t="s">
        <v>144</v>
      </c>
      <c r="C547" s="4">
        <v>8</v>
      </c>
      <c r="D547" s="8">
        <v>1.5</v>
      </c>
      <c r="E547" s="4">
        <v>7</v>
      </c>
      <c r="F547" s="8">
        <v>2.5</v>
      </c>
      <c r="G547" s="4">
        <v>1</v>
      </c>
      <c r="H547" s="8">
        <v>0.4</v>
      </c>
      <c r="I547" s="4">
        <v>0</v>
      </c>
    </row>
    <row r="548" spans="1:9" x14ac:dyDescent="0.2">
      <c r="A548" s="2">
        <v>13</v>
      </c>
      <c r="B548" s="1" t="s">
        <v>145</v>
      </c>
      <c r="C548" s="4">
        <v>8</v>
      </c>
      <c r="D548" s="8">
        <v>1.5</v>
      </c>
      <c r="E548" s="4">
        <v>7</v>
      </c>
      <c r="F548" s="8">
        <v>2.5</v>
      </c>
      <c r="G548" s="4">
        <v>1</v>
      </c>
      <c r="H548" s="8">
        <v>0.4</v>
      </c>
      <c r="I548" s="4">
        <v>0</v>
      </c>
    </row>
    <row r="549" spans="1:9" x14ac:dyDescent="0.2">
      <c r="A549" s="1"/>
      <c r="C549" s="4"/>
      <c r="D549" s="8"/>
      <c r="E549" s="4"/>
      <c r="F549" s="8"/>
      <c r="G549" s="4"/>
      <c r="H549" s="8"/>
      <c r="I549" s="4"/>
    </row>
    <row r="550" spans="1:9" x14ac:dyDescent="0.2">
      <c r="A550" s="1" t="s">
        <v>24</v>
      </c>
      <c r="C550" s="4"/>
      <c r="D550" s="8"/>
      <c r="E550" s="4"/>
      <c r="F550" s="8"/>
      <c r="G550" s="4"/>
      <c r="H550" s="8"/>
      <c r="I550" s="4"/>
    </row>
    <row r="551" spans="1:9" x14ac:dyDescent="0.2">
      <c r="A551" s="2">
        <v>1</v>
      </c>
      <c r="B551" s="1" t="s">
        <v>138</v>
      </c>
      <c r="C551" s="4">
        <v>26</v>
      </c>
      <c r="D551" s="8">
        <v>4.43</v>
      </c>
      <c r="E551" s="4">
        <v>23</v>
      </c>
      <c r="F551" s="8">
        <v>7.03</v>
      </c>
      <c r="G551" s="4">
        <v>3</v>
      </c>
      <c r="H551" s="8">
        <v>1.22</v>
      </c>
      <c r="I551" s="4">
        <v>0</v>
      </c>
    </row>
    <row r="552" spans="1:9" x14ac:dyDescent="0.2">
      <c r="A552" s="2">
        <v>2</v>
      </c>
      <c r="B552" s="1" t="s">
        <v>137</v>
      </c>
      <c r="C552" s="4">
        <v>24</v>
      </c>
      <c r="D552" s="8">
        <v>4.09</v>
      </c>
      <c r="E552" s="4">
        <v>24</v>
      </c>
      <c r="F552" s="8">
        <v>7.34</v>
      </c>
      <c r="G552" s="4">
        <v>0</v>
      </c>
      <c r="H552" s="8">
        <v>0</v>
      </c>
      <c r="I552" s="4">
        <v>0</v>
      </c>
    </row>
    <row r="553" spans="1:9" x14ac:dyDescent="0.2">
      <c r="A553" s="2">
        <v>3</v>
      </c>
      <c r="B553" s="1" t="s">
        <v>122</v>
      </c>
      <c r="C553" s="4">
        <v>20</v>
      </c>
      <c r="D553" s="8">
        <v>3.41</v>
      </c>
      <c r="E553" s="4">
        <v>1</v>
      </c>
      <c r="F553" s="8">
        <v>0.31</v>
      </c>
      <c r="G553" s="4">
        <v>19</v>
      </c>
      <c r="H553" s="8">
        <v>7.72</v>
      </c>
      <c r="I553" s="4">
        <v>0</v>
      </c>
    </row>
    <row r="554" spans="1:9" x14ac:dyDescent="0.2">
      <c r="A554" s="2">
        <v>4</v>
      </c>
      <c r="B554" s="1" t="s">
        <v>130</v>
      </c>
      <c r="C554" s="4">
        <v>18</v>
      </c>
      <c r="D554" s="8">
        <v>3.07</v>
      </c>
      <c r="E554" s="4">
        <v>17</v>
      </c>
      <c r="F554" s="8">
        <v>5.2</v>
      </c>
      <c r="G554" s="4">
        <v>1</v>
      </c>
      <c r="H554" s="8">
        <v>0.41</v>
      </c>
      <c r="I554" s="4">
        <v>0</v>
      </c>
    </row>
    <row r="555" spans="1:9" x14ac:dyDescent="0.2">
      <c r="A555" s="2">
        <v>5</v>
      </c>
      <c r="B555" s="1" t="s">
        <v>124</v>
      </c>
      <c r="C555" s="4">
        <v>17</v>
      </c>
      <c r="D555" s="8">
        <v>2.9</v>
      </c>
      <c r="E555" s="4">
        <v>11</v>
      </c>
      <c r="F555" s="8">
        <v>3.36</v>
      </c>
      <c r="G555" s="4">
        <v>6</v>
      </c>
      <c r="H555" s="8">
        <v>2.44</v>
      </c>
      <c r="I555" s="4">
        <v>0</v>
      </c>
    </row>
    <row r="556" spans="1:9" x14ac:dyDescent="0.2">
      <c r="A556" s="2">
        <v>5</v>
      </c>
      <c r="B556" s="1" t="s">
        <v>125</v>
      </c>
      <c r="C556" s="4">
        <v>17</v>
      </c>
      <c r="D556" s="8">
        <v>2.9</v>
      </c>
      <c r="E556" s="4">
        <v>6</v>
      </c>
      <c r="F556" s="8">
        <v>1.83</v>
      </c>
      <c r="G556" s="4">
        <v>11</v>
      </c>
      <c r="H556" s="8">
        <v>4.47</v>
      </c>
      <c r="I556" s="4">
        <v>0</v>
      </c>
    </row>
    <row r="557" spans="1:9" x14ac:dyDescent="0.2">
      <c r="A557" s="2">
        <v>5</v>
      </c>
      <c r="B557" s="1" t="s">
        <v>128</v>
      </c>
      <c r="C557" s="4">
        <v>17</v>
      </c>
      <c r="D557" s="8">
        <v>2.9</v>
      </c>
      <c r="E557" s="4">
        <v>10</v>
      </c>
      <c r="F557" s="8">
        <v>3.06</v>
      </c>
      <c r="G557" s="4">
        <v>7</v>
      </c>
      <c r="H557" s="8">
        <v>2.85</v>
      </c>
      <c r="I557" s="4">
        <v>0</v>
      </c>
    </row>
    <row r="558" spans="1:9" x14ac:dyDescent="0.2">
      <c r="A558" s="2">
        <v>5</v>
      </c>
      <c r="B558" s="1" t="s">
        <v>136</v>
      </c>
      <c r="C558" s="4">
        <v>17</v>
      </c>
      <c r="D558" s="8">
        <v>2.9</v>
      </c>
      <c r="E558" s="4">
        <v>17</v>
      </c>
      <c r="F558" s="8">
        <v>5.2</v>
      </c>
      <c r="G558" s="4">
        <v>0</v>
      </c>
      <c r="H558" s="8">
        <v>0</v>
      </c>
      <c r="I558" s="4">
        <v>0</v>
      </c>
    </row>
    <row r="559" spans="1:9" x14ac:dyDescent="0.2">
      <c r="A559" s="2">
        <v>9</v>
      </c>
      <c r="B559" s="1" t="s">
        <v>127</v>
      </c>
      <c r="C559" s="4">
        <v>14</v>
      </c>
      <c r="D559" s="8">
        <v>2.39</v>
      </c>
      <c r="E559" s="4">
        <v>11</v>
      </c>
      <c r="F559" s="8">
        <v>3.36</v>
      </c>
      <c r="G559" s="4">
        <v>3</v>
      </c>
      <c r="H559" s="8">
        <v>1.22</v>
      </c>
      <c r="I559" s="4">
        <v>0</v>
      </c>
    </row>
    <row r="560" spans="1:9" x14ac:dyDescent="0.2">
      <c r="A560" s="2">
        <v>10</v>
      </c>
      <c r="B560" s="1" t="s">
        <v>148</v>
      </c>
      <c r="C560" s="4">
        <v>13</v>
      </c>
      <c r="D560" s="8">
        <v>2.21</v>
      </c>
      <c r="E560" s="4">
        <v>10</v>
      </c>
      <c r="F560" s="8">
        <v>3.06</v>
      </c>
      <c r="G560" s="4">
        <v>3</v>
      </c>
      <c r="H560" s="8">
        <v>1.22</v>
      </c>
      <c r="I560" s="4">
        <v>0</v>
      </c>
    </row>
    <row r="561" spans="1:9" x14ac:dyDescent="0.2">
      <c r="A561" s="2">
        <v>10</v>
      </c>
      <c r="B561" s="1" t="s">
        <v>134</v>
      </c>
      <c r="C561" s="4">
        <v>13</v>
      </c>
      <c r="D561" s="8">
        <v>2.21</v>
      </c>
      <c r="E561" s="4">
        <v>11</v>
      </c>
      <c r="F561" s="8">
        <v>3.36</v>
      </c>
      <c r="G561" s="4">
        <v>2</v>
      </c>
      <c r="H561" s="8">
        <v>0.81</v>
      </c>
      <c r="I561" s="4">
        <v>0</v>
      </c>
    </row>
    <row r="562" spans="1:9" x14ac:dyDescent="0.2">
      <c r="A562" s="2">
        <v>12</v>
      </c>
      <c r="B562" s="1" t="s">
        <v>153</v>
      </c>
      <c r="C562" s="4">
        <v>11</v>
      </c>
      <c r="D562" s="8">
        <v>1.87</v>
      </c>
      <c r="E562" s="4">
        <v>2</v>
      </c>
      <c r="F562" s="8">
        <v>0.61</v>
      </c>
      <c r="G562" s="4">
        <v>9</v>
      </c>
      <c r="H562" s="8">
        <v>3.66</v>
      </c>
      <c r="I562" s="4">
        <v>0</v>
      </c>
    </row>
    <row r="563" spans="1:9" x14ac:dyDescent="0.2">
      <c r="A563" s="2">
        <v>12</v>
      </c>
      <c r="B563" s="1" t="s">
        <v>140</v>
      </c>
      <c r="C563" s="4">
        <v>11</v>
      </c>
      <c r="D563" s="8">
        <v>1.87</v>
      </c>
      <c r="E563" s="4">
        <v>11</v>
      </c>
      <c r="F563" s="8">
        <v>3.36</v>
      </c>
      <c r="G563" s="4">
        <v>0</v>
      </c>
      <c r="H563" s="8">
        <v>0</v>
      </c>
      <c r="I563" s="4">
        <v>0</v>
      </c>
    </row>
    <row r="564" spans="1:9" x14ac:dyDescent="0.2">
      <c r="A564" s="2">
        <v>14</v>
      </c>
      <c r="B564" s="1" t="s">
        <v>123</v>
      </c>
      <c r="C564" s="4">
        <v>10</v>
      </c>
      <c r="D564" s="8">
        <v>1.7</v>
      </c>
      <c r="E564" s="4">
        <v>4</v>
      </c>
      <c r="F564" s="8">
        <v>1.22</v>
      </c>
      <c r="G564" s="4">
        <v>6</v>
      </c>
      <c r="H564" s="8">
        <v>2.44</v>
      </c>
      <c r="I564" s="4">
        <v>0</v>
      </c>
    </row>
    <row r="565" spans="1:9" x14ac:dyDescent="0.2">
      <c r="A565" s="2">
        <v>14</v>
      </c>
      <c r="B565" s="1" t="s">
        <v>141</v>
      </c>
      <c r="C565" s="4">
        <v>10</v>
      </c>
      <c r="D565" s="8">
        <v>1.7</v>
      </c>
      <c r="E565" s="4">
        <v>9</v>
      </c>
      <c r="F565" s="8">
        <v>2.75</v>
      </c>
      <c r="G565" s="4">
        <v>1</v>
      </c>
      <c r="H565" s="8">
        <v>0.41</v>
      </c>
      <c r="I565" s="4">
        <v>0</v>
      </c>
    </row>
    <row r="566" spans="1:9" x14ac:dyDescent="0.2">
      <c r="A566" s="2">
        <v>16</v>
      </c>
      <c r="B566" s="1" t="s">
        <v>189</v>
      </c>
      <c r="C566" s="4">
        <v>9</v>
      </c>
      <c r="D566" s="8">
        <v>1.53</v>
      </c>
      <c r="E566" s="4">
        <v>2</v>
      </c>
      <c r="F566" s="8">
        <v>0.61</v>
      </c>
      <c r="G566" s="4">
        <v>7</v>
      </c>
      <c r="H566" s="8">
        <v>2.85</v>
      </c>
      <c r="I566" s="4">
        <v>0</v>
      </c>
    </row>
    <row r="567" spans="1:9" x14ac:dyDescent="0.2">
      <c r="A567" s="2">
        <v>16</v>
      </c>
      <c r="B567" s="1" t="s">
        <v>170</v>
      </c>
      <c r="C567" s="4">
        <v>9</v>
      </c>
      <c r="D567" s="8">
        <v>1.53</v>
      </c>
      <c r="E567" s="4">
        <v>6</v>
      </c>
      <c r="F567" s="8">
        <v>1.83</v>
      </c>
      <c r="G567" s="4">
        <v>3</v>
      </c>
      <c r="H567" s="8">
        <v>1.22</v>
      </c>
      <c r="I567" s="4">
        <v>0</v>
      </c>
    </row>
    <row r="568" spans="1:9" x14ac:dyDescent="0.2">
      <c r="A568" s="2">
        <v>16</v>
      </c>
      <c r="B568" s="1" t="s">
        <v>184</v>
      </c>
      <c r="C568" s="4">
        <v>9</v>
      </c>
      <c r="D568" s="8">
        <v>1.53</v>
      </c>
      <c r="E568" s="4">
        <v>0</v>
      </c>
      <c r="F568" s="8">
        <v>0</v>
      </c>
      <c r="G568" s="4">
        <v>0</v>
      </c>
      <c r="H568" s="8">
        <v>0</v>
      </c>
      <c r="I568" s="4">
        <v>0</v>
      </c>
    </row>
    <row r="569" spans="1:9" x14ac:dyDescent="0.2">
      <c r="A569" s="2">
        <v>19</v>
      </c>
      <c r="B569" s="1" t="s">
        <v>156</v>
      </c>
      <c r="C569" s="4">
        <v>8</v>
      </c>
      <c r="D569" s="8">
        <v>1.36</v>
      </c>
      <c r="E569" s="4">
        <v>2</v>
      </c>
      <c r="F569" s="8">
        <v>0.61</v>
      </c>
      <c r="G569" s="4">
        <v>6</v>
      </c>
      <c r="H569" s="8">
        <v>2.44</v>
      </c>
      <c r="I569" s="4">
        <v>0</v>
      </c>
    </row>
    <row r="570" spans="1:9" x14ac:dyDescent="0.2">
      <c r="A570" s="2">
        <v>19</v>
      </c>
      <c r="B570" s="1" t="s">
        <v>181</v>
      </c>
      <c r="C570" s="4">
        <v>8</v>
      </c>
      <c r="D570" s="8">
        <v>1.36</v>
      </c>
      <c r="E570" s="4">
        <v>8</v>
      </c>
      <c r="F570" s="8">
        <v>2.4500000000000002</v>
      </c>
      <c r="G570" s="4">
        <v>0</v>
      </c>
      <c r="H570" s="8">
        <v>0</v>
      </c>
      <c r="I570" s="4">
        <v>0</v>
      </c>
    </row>
    <row r="571" spans="1:9" x14ac:dyDescent="0.2">
      <c r="A571" s="1"/>
      <c r="C571" s="4"/>
      <c r="D571" s="8"/>
      <c r="E571" s="4"/>
      <c r="F571" s="8"/>
      <c r="G571" s="4"/>
      <c r="H571" s="8"/>
      <c r="I571" s="4"/>
    </row>
    <row r="572" spans="1:9" x14ac:dyDescent="0.2">
      <c r="A572" s="1" t="s">
        <v>25</v>
      </c>
      <c r="C572" s="4"/>
      <c r="D572" s="8"/>
      <c r="E572" s="4"/>
      <c r="F572" s="8"/>
      <c r="G572" s="4"/>
      <c r="H572" s="8"/>
      <c r="I572" s="4"/>
    </row>
    <row r="573" spans="1:9" x14ac:dyDescent="0.2">
      <c r="A573" s="2">
        <v>1</v>
      </c>
      <c r="B573" s="1" t="s">
        <v>138</v>
      </c>
      <c r="C573" s="4">
        <v>33</v>
      </c>
      <c r="D573" s="8">
        <v>6.48</v>
      </c>
      <c r="E573" s="4">
        <v>31</v>
      </c>
      <c r="F573" s="8">
        <v>11.27</v>
      </c>
      <c r="G573" s="4">
        <v>2</v>
      </c>
      <c r="H573" s="8">
        <v>0.93</v>
      </c>
      <c r="I573" s="4">
        <v>0</v>
      </c>
    </row>
    <row r="574" spans="1:9" x14ac:dyDescent="0.2">
      <c r="A574" s="2">
        <v>2</v>
      </c>
      <c r="B574" s="1" t="s">
        <v>137</v>
      </c>
      <c r="C574" s="4">
        <v>20</v>
      </c>
      <c r="D574" s="8">
        <v>3.93</v>
      </c>
      <c r="E574" s="4">
        <v>20</v>
      </c>
      <c r="F574" s="8">
        <v>7.27</v>
      </c>
      <c r="G574" s="4">
        <v>0</v>
      </c>
      <c r="H574" s="8">
        <v>0</v>
      </c>
      <c r="I574" s="4">
        <v>0</v>
      </c>
    </row>
    <row r="575" spans="1:9" x14ac:dyDescent="0.2">
      <c r="A575" s="2">
        <v>3</v>
      </c>
      <c r="B575" s="1" t="s">
        <v>122</v>
      </c>
      <c r="C575" s="4">
        <v>17</v>
      </c>
      <c r="D575" s="8">
        <v>3.34</v>
      </c>
      <c r="E575" s="4">
        <v>2</v>
      </c>
      <c r="F575" s="8">
        <v>0.73</v>
      </c>
      <c r="G575" s="4">
        <v>15</v>
      </c>
      <c r="H575" s="8">
        <v>6.98</v>
      </c>
      <c r="I575" s="4">
        <v>0</v>
      </c>
    </row>
    <row r="576" spans="1:9" x14ac:dyDescent="0.2">
      <c r="A576" s="2">
        <v>4</v>
      </c>
      <c r="B576" s="1" t="s">
        <v>128</v>
      </c>
      <c r="C576" s="4">
        <v>16</v>
      </c>
      <c r="D576" s="8">
        <v>3.14</v>
      </c>
      <c r="E576" s="4">
        <v>7</v>
      </c>
      <c r="F576" s="8">
        <v>2.5499999999999998</v>
      </c>
      <c r="G576" s="4">
        <v>9</v>
      </c>
      <c r="H576" s="8">
        <v>4.1900000000000004</v>
      </c>
      <c r="I576" s="4">
        <v>0</v>
      </c>
    </row>
    <row r="577" spans="1:9" x14ac:dyDescent="0.2">
      <c r="A577" s="2">
        <v>4</v>
      </c>
      <c r="B577" s="1" t="s">
        <v>136</v>
      </c>
      <c r="C577" s="4">
        <v>16</v>
      </c>
      <c r="D577" s="8">
        <v>3.14</v>
      </c>
      <c r="E577" s="4">
        <v>16</v>
      </c>
      <c r="F577" s="8">
        <v>5.82</v>
      </c>
      <c r="G577" s="4">
        <v>0</v>
      </c>
      <c r="H577" s="8">
        <v>0</v>
      </c>
      <c r="I577" s="4">
        <v>0</v>
      </c>
    </row>
    <row r="578" spans="1:9" x14ac:dyDescent="0.2">
      <c r="A578" s="2">
        <v>6</v>
      </c>
      <c r="B578" s="1" t="s">
        <v>123</v>
      </c>
      <c r="C578" s="4">
        <v>15</v>
      </c>
      <c r="D578" s="8">
        <v>2.95</v>
      </c>
      <c r="E578" s="4">
        <v>1</v>
      </c>
      <c r="F578" s="8">
        <v>0.36</v>
      </c>
      <c r="G578" s="4">
        <v>14</v>
      </c>
      <c r="H578" s="8">
        <v>6.51</v>
      </c>
      <c r="I578" s="4">
        <v>0</v>
      </c>
    </row>
    <row r="579" spans="1:9" x14ac:dyDescent="0.2">
      <c r="A579" s="2">
        <v>7</v>
      </c>
      <c r="B579" s="1" t="s">
        <v>140</v>
      </c>
      <c r="C579" s="4">
        <v>14</v>
      </c>
      <c r="D579" s="8">
        <v>2.75</v>
      </c>
      <c r="E579" s="4">
        <v>13</v>
      </c>
      <c r="F579" s="8">
        <v>4.7300000000000004</v>
      </c>
      <c r="G579" s="4">
        <v>1</v>
      </c>
      <c r="H579" s="8">
        <v>0.47</v>
      </c>
      <c r="I579" s="4">
        <v>0</v>
      </c>
    </row>
    <row r="580" spans="1:9" x14ac:dyDescent="0.2">
      <c r="A580" s="2">
        <v>8</v>
      </c>
      <c r="B580" s="1" t="s">
        <v>153</v>
      </c>
      <c r="C580" s="4">
        <v>13</v>
      </c>
      <c r="D580" s="8">
        <v>2.5499999999999998</v>
      </c>
      <c r="E580" s="4">
        <v>3</v>
      </c>
      <c r="F580" s="8">
        <v>1.0900000000000001</v>
      </c>
      <c r="G580" s="4">
        <v>10</v>
      </c>
      <c r="H580" s="8">
        <v>4.6500000000000004</v>
      </c>
      <c r="I580" s="4">
        <v>0</v>
      </c>
    </row>
    <row r="581" spans="1:9" x14ac:dyDescent="0.2">
      <c r="A581" s="2">
        <v>9</v>
      </c>
      <c r="B581" s="1" t="s">
        <v>125</v>
      </c>
      <c r="C581" s="4">
        <v>12</v>
      </c>
      <c r="D581" s="8">
        <v>2.36</v>
      </c>
      <c r="E581" s="4">
        <v>7</v>
      </c>
      <c r="F581" s="8">
        <v>2.5499999999999998</v>
      </c>
      <c r="G581" s="4">
        <v>5</v>
      </c>
      <c r="H581" s="8">
        <v>2.33</v>
      </c>
      <c r="I581" s="4">
        <v>0</v>
      </c>
    </row>
    <row r="582" spans="1:9" x14ac:dyDescent="0.2">
      <c r="A582" s="2">
        <v>10</v>
      </c>
      <c r="B582" s="1" t="s">
        <v>124</v>
      </c>
      <c r="C582" s="4">
        <v>11</v>
      </c>
      <c r="D582" s="8">
        <v>2.16</v>
      </c>
      <c r="E582" s="4">
        <v>5</v>
      </c>
      <c r="F582" s="8">
        <v>1.82</v>
      </c>
      <c r="G582" s="4">
        <v>6</v>
      </c>
      <c r="H582" s="8">
        <v>2.79</v>
      </c>
      <c r="I582" s="4">
        <v>0</v>
      </c>
    </row>
    <row r="583" spans="1:9" x14ac:dyDescent="0.2">
      <c r="A583" s="2">
        <v>10</v>
      </c>
      <c r="B583" s="1" t="s">
        <v>134</v>
      </c>
      <c r="C583" s="4">
        <v>11</v>
      </c>
      <c r="D583" s="8">
        <v>2.16</v>
      </c>
      <c r="E583" s="4">
        <v>10</v>
      </c>
      <c r="F583" s="8">
        <v>3.64</v>
      </c>
      <c r="G583" s="4">
        <v>1</v>
      </c>
      <c r="H583" s="8">
        <v>0.47</v>
      </c>
      <c r="I583" s="4">
        <v>0</v>
      </c>
    </row>
    <row r="584" spans="1:9" x14ac:dyDescent="0.2">
      <c r="A584" s="2">
        <v>12</v>
      </c>
      <c r="B584" s="1" t="s">
        <v>139</v>
      </c>
      <c r="C584" s="4">
        <v>10</v>
      </c>
      <c r="D584" s="8">
        <v>1.96</v>
      </c>
      <c r="E584" s="4">
        <v>6</v>
      </c>
      <c r="F584" s="8">
        <v>2.1800000000000002</v>
      </c>
      <c r="G584" s="4">
        <v>4</v>
      </c>
      <c r="H584" s="8">
        <v>1.86</v>
      </c>
      <c r="I584" s="4">
        <v>0</v>
      </c>
    </row>
    <row r="585" spans="1:9" x14ac:dyDescent="0.2">
      <c r="A585" s="2">
        <v>13</v>
      </c>
      <c r="B585" s="1" t="s">
        <v>130</v>
      </c>
      <c r="C585" s="4">
        <v>9</v>
      </c>
      <c r="D585" s="8">
        <v>1.77</v>
      </c>
      <c r="E585" s="4">
        <v>6</v>
      </c>
      <c r="F585" s="8">
        <v>2.1800000000000002</v>
      </c>
      <c r="G585" s="4">
        <v>3</v>
      </c>
      <c r="H585" s="8">
        <v>1.4</v>
      </c>
      <c r="I585" s="4">
        <v>0</v>
      </c>
    </row>
    <row r="586" spans="1:9" x14ac:dyDescent="0.2">
      <c r="A586" s="2">
        <v>13</v>
      </c>
      <c r="B586" s="1" t="s">
        <v>144</v>
      </c>
      <c r="C586" s="4">
        <v>9</v>
      </c>
      <c r="D586" s="8">
        <v>1.77</v>
      </c>
      <c r="E586" s="4">
        <v>7</v>
      </c>
      <c r="F586" s="8">
        <v>2.5499999999999998</v>
      </c>
      <c r="G586" s="4">
        <v>2</v>
      </c>
      <c r="H586" s="8">
        <v>0.93</v>
      </c>
      <c r="I586" s="4">
        <v>0</v>
      </c>
    </row>
    <row r="587" spans="1:9" x14ac:dyDescent="0.2">
      <c r="A587" s="2">
        <v>15</v>
      </c>
      <c r="B587" s="1" t="s">
        <v>190</v>
      </c>
      <c r="C587" s="4">
        <v>8</v>
      </c>
      <c r="D587" s="8">
        <v>1.57</v>
      </c>
      <c r="E587" s="4">
        <v>1</v>
      </c>
      <c r="F587" s="8">
        <v>0.36</v>
      </c>
      <c r="G587" s="4">
        <v>7</v>
      </c>
      <c r="H587" s="8">
        <v>3.26</v>
      </c>
      <c r="I587" s="4">
        <v>0</v>
      </c>
    </row>
    <row r="588" spans="1:9" x14ac:dyDescent="0.2">
      <c r="A588" s="2">
        <v>15</v>
      </c>
      <c r="B588" s="1" t="s">
        <v>191</v>
      </c>
      <c r="C588" s="4">
        <v>8</v>
      </c>
      <c r="D588" s="8">
        <v>1.57</v>
      </c>
      <c r="E588" s="4">
        <v>7</v>
      </c>
      <c r="F588" s="8">
        <v>2.5499999999999998</v>
      </c>
      <c r="G588" s="4">
        <v>1</v>
      </c>
      <c r="H588" s="8">
        <v>0.47</v>
      </c>
      <c r="I588" s="4">
        <v>0</v>
      </c>
    </row>
    <row r="589" spans="1:9" x14ac:dyDescent="0.2">
      <c r="A589" s="2">
        <v>15</v>
      </c>
      <c r="B589" s="1" t="s">
        <v>148</v>
      </c>
      <c r="C589" s="4">
        <v>8</v>
      </c>
      <c r="D589" s="8">
        <v>1.57</v>
      </c>
      <c r="E589" s="4">
        <v>5</v>
      </c>
      <c r="F589" s="8">
        <v>1.82</v>
      </c>
      <c r="G589" s="4">
        <v>3</v>
      </c>
      <c r="H589" s="8">
        <v>1.4</v>
      </c>
      <c r="I589" s="4">
        <v>0</v>
      </c>
    </row>
    <row r="590" spans="1:9" x14ac:dyDescent="0.2">
      <c r="A590" s="2">
        <v>15</v>
      </c>
      <c r="B590" s="1" t="s">
        <v>184</v>
      </c>
      <c r="C590" s="4">
        <v>8</v>
      </c>
      <c r="D590" s="8">
        <v>1.57</v>
      </c>
      <c r="E590" s="4">
        <v>0</v>
      </c>
      <c r="F590" s="8">
        <v>0</v>
      </c>
      <c r="G590" s="4">
        <v>0</v>
      </c>
      <c r="H590" s="8">
        <v>0</v>
      </c>
      <c r="I590" s="4">
        <v>0</v>
      </c>
    </row>
    <row r="591" spans="1:9" x14ac:dyDescent="0.2">
      <c r="A591" s="2">
        <v>19</v>
      </c>
      <c r="B591" s="1" t="s">
        <v>165</v>
      </c>
      <c r="C591" s="4">
        <v>7</v>
      </c>
      <c r="D591" s="8">
        <v>1.38</v>
      </c>
      <c r="E591" s="4">
        <v>4</v>
      </c>
      <c r="F591" s="8">
        <v>1.45</v>
      </c>
      <c r="G591" s="4">
        <v>3</v>
      </c>
      <c r="H591" s="8">
        <v>1.4</v>
      </c>
      <c r="I591" s="4">
        <v>0</v>
      </c>
    </row>
    <row r="592" spans="1:9" x14ac:dyDescent="0.2">
      <c r="A592" s="2">
        <v>19</v>
      </c>
      <c r="B592" s="1" t="s">
        <v>133</v>
      </c>
      <c r="C592" s="4">
        <v>7</v>
      </c>
      <c r="D592" s="8">
        <v>1.38</v>
      </c>
      <c r="E592" s="4">
        <v>1</v>
      </c>
      <c r="F592" s="8">
        <v>0.36</v>
      </c>
      <c r="G592" s="4">
        <v>6</v>
      </c>
      <c r="H592" s="8">
        <v>2.79</v>
      </c>
      <c r="I592" s="4">
        <v>0</v>
      </c>
    </row>
    <row r="593" spans="1:9" x14ac:dyDescent="0.2">
      <c r="A593" s="2">
        <v>19</v>
      </c>
      <c r="B593" s="1" t="s">
        <v>145</v>
      </c>
      <c r="C593" s="4">
        <v>7</v>
      </c>
      <c r="D593" s="8">
        <v>1.38</v>
      </c>
      <c r="E593" s="4">
        <v>6</v>
      </c>
      <c r="F593" s="8">
        <v>2.1800000000000002</v>
      </c>
      <c r="G593" s="4">
        <v>1</v>
      </c>
      <c r="H593" s="8">
        <v>0.47</v>
      </c>
      <c r="I593" s="4">
        <v>0</v>
      </c>
    </row>
    <row r="594" spans="1:9" x14ac:dyDescent="0.2">
      <c r="A594" s="1"/>
      <c r="C594" s="4"/>
      <c r="D594" s="8"/>
      <c r="E594" s="4"/>
      <c r="F594" s="8"/>
      <c r="G594" s="4"/>
      <c r="H594" s="8"/>
      <c r="I594" s="4"/>
    </row>
    <row r="595" spans="1:9" x14ac:dyDescent="0.2">
      <c r="A595" s="1" t="s">
        <v>26</v>
      </c>
      <c r="C595" s="4"/>
      <c r="D595" s="8"/>
      <c r="E595" s="4"/>
      <c r="F595" s="8"/>
      <c r="G595" s="4"/>
      <c r="H595" s="8"/>
      <c r="I595" s="4"/>
    </row>
    <row r="596" spans="1:9" x14ac:dyDescent="0.2">
      <c r="A596" s="2">
        <v>1</v>
      </c>
      <c r="B596" s="1" t="s">
        <v>124</v>
      </c>
      <c r="C596" s="4">
        <v>8</v>
      </c>
      <c r="D596" s="8">
        <v>4.42</v>
      </c>
      <c r="E596" s="4">
        <v>6</v>
      </c>
      <c r="F596" s="8">
        <v>5.41</v>
      </c>
      <c r="G596" s="4">
        <v>2</v>
      </c>
      <c r="H596" s="8">
        <v>3.17</v>
      </c>
      <c r="I596" s="4">
        <v>0</v>
      </c>
    </row>
    <row r="597" spans="1:9" x14ac:dyDescent="0.2">
      <c r="A597" s="2">
        <v>1</v>
      </c>
      <c r="B597" s="1" t="s">
        <v>136</v>
      </c>
      <c r="C597" s="4">
        <v>8</v>
      </c>
      <c r="D597" s="8">
        <v>4.42</v>
      </c>
      <c r="E597" s="4">
        <v>7</v>
      </c>
      <c r="F597" s="8">
        <v>6.31</v>
      </c>
      <c r="G597" s="4">
        <v>1</v>
      </c>
      <c r="H597" s="8">
        <v>1.59</v>
      </c>
      <c r="I597" s="4">
        <v>0</v>
      </c>
    </row>
    <row r="598" spans="1:9" x14ac:dyDescent="0.2">
      <c r="A598" s="2">
        <v>1</v>
      </c>
      <c r="B598" s="1" t="s">
        <v>138</v>
      </c>
      <c r="C598" s="4">
        <v>8</v>
      </c>
      <c r="D598" s="8">
        <v>4.42</v>
      </c>
      <c r="E598" s="4">
        <v>8</v>
      </c>
      <c r="F598" s="8">
        <v>7.21</v>
      </c>
      <c r="G598" s="4">
        <v>0</v>
      </c>
      <c r="H598" s="8">
        <v>0</v>
      </c>
      <c r="I598" s="4">
        <v>0</v>
      </c>
    </row>
    <row r="599" spans="1:9" x14ac:dyDescent="0.2">
      <c r="A599" s="2">
        <v>4</v>
      </c>
      <c r="B599" s="1" t="s">
        <v>122</v>
      </c>
      <c r="C599" s="4">
        <v>6</v>
      </c>
      <c r="D599" s="8">
        <v>3.31</v>
      </c>
      <c r="E599" s="4">
        <v>0</v>
      </c>
      <c r="F599" s="8">
        <v>0</v>
      </c>
      <c r="G599" s="4">
        <v>6</v>
      </c>
      <c r="H599" s="8">
        <v>9.52</v>
      </c>
      <c r="I599" s="4">
        <v>0</v>
      </c>
    </row>
    <row r="600" spans="1:9" x14ac:dyDescent="0.2">
      <c r="A600" s="2">
        <v>5</v>
      </c>
      <c r="B600" s="1" t="s">
        <v>179</v>
      </c>
      <c r="C600" s="4">
        <v>5</v>
      </c>
      <c r="D600" s="8">
        <v>2.76</v>
      </c>
      <c r="E600" s="4">
        <v>5</v>
      </c>
      <c r="F600" s="8">
        <v>4.5</v>
      </c>
      <c r="G600" s="4">
        <v>0</v>
      </c>
      <c r="H600" s="8">
        <v>0</v>
      </c>
      <c r="I600" s="4">
        <v>0</v>
      </c>
    </row>
    <row r="601" spans="1:9" x14ac:dyDescent="0.2">
      <c r="A601" s="2">
        <v>6</v>
      </c>
      <c r="B601" s="1" t="s">
        <v>153</v>
      </c>
      <c r="C601" s="4">
        <v>4</v>
      </c>
      <c r="D601" s="8">
        <v>2.21</v>
      </c>
      <c r="E601" s="4">
        <v>0</v>
      </c>
      <c r="F601" s="8">
        <v>0</v>
      </c>
      <c r="G601" s="4">
        <v>4</v>
      </c>
      <c r="H601" s="8">
        <v>6.35</v>
      </c>
      <c r="I601" s="4">
        <v>0</v>
      </c>
    </row>
    <row r="602" spans="1:9" x14ac:dyDescent="0.2">
      <c r="A602" s="2">
        <v>6</v>
      </c>
      <c r="B602" s="1" t="s">
        <v>150</v>
      </c>
      <c r="C602" s="4">
        <v>4</v>
      </c>
      <c r="D602" s="8">
        <v>2.21</v>
      </c>
      <c r="E602" s="4">
        <v>3</v>
      </c>
      <c r="F602" s="8">
        <v>2.7</v>
      </c>
      <c r="G602" s="4">
        <v>1</v>
      </c>
      <c r="H602" s="8">
        <v>1.59</v>
      </c>
      <c r="I602" s="4">
        <v>0</v>
      </c>
    </row>
    <row r="603" spans="1:9" x14ac:dyDescent="0.2">
      <c r="A603" s="2">
        <v>6</v>
      </c>
      <c r="B603" s="1" t="s">
        <v>127</v>
      </c>
      <c r="C603" s="4">
        <v>4</v>
      </c>
      <c r="D603" s="8">
        <v>2.21</v>
      </c>
      <c r="E603" s="4">
        <v>4</v>
      </c>
      <c r="F603" s="8">
        <v>3.6</v>
      </c>
      <c r="G603" s="4">
        <v>0</v>
      </c>
      <c r="H603" s="8">
        <v>0</v>
      </c>
      <c r="I603" s="4">
        <v>0</v>
      </c>
    </row>
    <row r="604" spans="1:9" x14ac:dyDescent="0.2">
      <c r="A604" s="2">
        <v>6</v>
      </c>
      <c r="B604" s="1" t="s">
        <v>128</v>
      </c>
      <c r="C604" s="4">
        <v>4</v>
      </c>
      <c r="D604" s="8">
        <v>2.21</v>
      </c>
      <c r="E604" s="4">
        <v>3</v>
      </c>
      <c r="F604" s="8">
        <v>2.7</v>
      </c>
      <c r="G604" s="4">
        <v>1</v>
      </c>
      <c r="H604" s="8">
        <v>1.59</v>
      </c>
      <c r="I604" s="4">
        <v>0</v>
      </c>
    </row>
    <row r="605" spans="1:9" x14ac:dyDescent="0.2">
      <c r="A605" s="2">
        <v>6</v>
      </c>
      <c r="B605" s="1" t="s">
        <v>130</v>
      </c>
      <c r="C605" s="4">
        <v>4</v>
      </c>
      <c r="D605" s="8">
        <v>2.21</v>
      </c>
      <c r="E605" s="4">
        <v>2</v>
      </c>
      <c r="F605" s="8">
        <v>1.8</v>
      </c>
      <c r="G605" s="4">
        <v>2</v>
      </c>
      <c r="H605" s="8">
        <v>3.17</v>
      </c>
      <c r="I605" s="4">
        <v>0</v>
      </c>
    </row>
    <row r="606" spans="1:9" x14ac:dyDescent="0.2">
      <c r="A606" s="2">
        <v>6</v>
      </c>
      <c r="B606" s="1" t="s">
        <v>184</v>
      </c>
      <c r="C606" s="4">
        <v>4</v>
      </c>
      <c r="D606" s="8">
        <v>2.21</v>
      </c>
      <c r="E606" s="4">
        <v>0</v>
      </c>
      <c r="F606" s="8">
        <v>0</v>
      </c>
      <c r="G606" s="4">
        <v>0</v>
      </c>
      <c r="H606" s="8">
        <v>0</v>
      </c>
      <c r="I606" s="4">
        <v>0</v>
      </c>
    </row>
    <row r="607" spans="1:9" x14ac:dyDescent="0.2">
      <c r="A607" s="2">
        <v>6</v>
      </c>
      <c r="B607" s="1" t="s">
        <v>140</v>
      </c>
      <c r="C607" s="4">
        <v>4</v>
      </c>
      <c r="D607" s="8">
        <v>2.21</v>
      </c>
      <c r="E607" s="4">
        <v>4</v>
      </c>
      <c r="F607" s="8">
        <v>3.6</v>
      </c>
      <c r="G607" s="4">
        <v>0</v>
      </c>
      <c r="H607" s="8">
        <v>0</v>
      </c>
      <c r="I607" s="4">
        <v>0</v>
      </c>
    </row>
    <row r="608" spans="1:9" x14ac:dyDescent="0.2">
      <c r="A608" s="2">
        <v>13</v>
      </c>
      <c r="B608" s="1" t="s">
        <v>192</v>
      </c>
      <c r="C608" s="4">
        <v>3</v>
      </c>
      <c r="D608" s="8">
        <v>1.66</v>
      </c>
      <c r="E608" s="4">
        <v>2</v>
      </c>
      <c r="F608" s="8">
        <v>1.8</v>
      </c>
      <c r="G608" s="4">
        <v>1</v>
      </c>
      <c r="H608" s="8">
        <v>1.59</v>
      </c>
      <c r="I608" s="4">
        <v>0</v>
      </c>
    </row>
    <row r="609" spans="1:9" x14ac:dyDescent="0.2">
      <c r="A609" s="2">
        <v>13</v>
      </c>
      <c r="B609" s="1" t="s">
        <v>165</v>
      </c>
      <c r="C609" s="4">
        <v>3</v>
      </c>
      <c r="D609" s="8">
        <v>1.66</v>
      </c>
      <c r="E609" s="4">
        <v>2</v>
      </c>
      <c r="F609" s="8">
        <v>1.8</v>
      </c>
      <c r="G609" s="4">
        <v>1</v>
      </c>
      <c r="H609" s="8">
        <v>1.59</v>
      </c>
      <c r="I609" s="4">
        <v>0</v>
      </c>
    </row>
    <row r="610" spans="1:9" x14ac:dyDescent="0.2">
      <c r="A610" s="2">
        <v>13</v>
      </c>
      <c r="B610" s="1" t="s">
        <v>125</v>
      </c>
      <c r="C610" s="4">
        <v>3</v>
      </c>
      <c r="D610" s="8">
        <v>1.66</v>
      </c>
      <c r="E610" s="4">
        <v>1</v>
      </c>
      <c r="F610" s="8">
        <v>0.9</v>
      </c>
      <c r="G610" s="4">
        <v>2</v>
      </c>
      <c r="H610" s="8">
        <v>3.17</v>
      </c>
      <c r="I610" s="4">
        <v>0</v>
      </c>
    </row>
    <row r="611" spans="1:9" x14ac:dyDescent="0.2">
      <c r="A611" s="2">
        <v>13</v>
      </c>
      <c r="B611" s="1" t="s">
        <v>160</v>
      </c>
      <c r="C611" s="4">
        <v>3</v>
      </c>
      <c r="D611" s="8">
        <v>1.66</v>
      </c>
      <c r="E611" s="4">
        <v>2</v>
      </c>
      <c r="F611" s="8">
        <v>1.8</v>
      </c>
      <c r="G611" s="4">
        <v>1</v>
      </c>
      <c r="H611" s="8">
        <v>1.59</v>
      </c>
      <c r="I611" s="4">
        <v>0</v>
      </c>
    </row>
    <row r="612" spans="1:9" x14ac:dyDescent="0.2">
      <c r="A612" s="2">
        <v>13</v>
      </c>
      <c r="B612" s="1" t="s">
        <v>181</v>
      </c>
      <c r="C612" s="4">
        <v>3</v>
      </c>
      <c r="D612" s="8">
        <v>1.66</v>
      </c>
      <c r="E612" s="4">
        <v>3</v>
      </c>
      <c r="F612" s="8">
        <v>2.7</v>
      </c>
      <c r="G612" s="4">
        <v>0</v>
      </c>
      <c r="H612" s="8">
        <v>0</v>
      </c>
      <c r="I612" s="4">
        <v>0</v>
      </c>
    </row>
    <row r="613" spans="1:9" x14ac:dyDescent="0.2">
      <c r="A613" s="2">
        <v>13</v>
      </c>
      <c r="B613" s="1" t="s">
        <v>163</v>
      </c>
      <c r="C613" s="4">
        <v>3</v>
      </c>
      <c r="D613" s="8">
        <v>1.66</v>
      </c>
      <c r="E613" s="4">
        <v>3</v>
      </c>
      <c r="F613" s="8">
        <v>2.7</v>
      </c>
      <c r="G613" s="4">
        <v>0</v>
      </c>
      <c r="H613" s="8">
        <v>0</v>
      </c>
      <c r="I613" s="4">
        <v>0</v>
      </c>
    </row>
    <row r="614" spans="1:9" x14ac:dyDescent="0.2">
      <c r="A614" s="2">
        <v>13</v>
      </c>
      <c r="B614" s="1" t="s">
        <v>129</v>
      </c>
      <c r="C614" s="4">
        <v>3</v>
      </c>
      <c r="D614" s="8">
        <v>1.66</v>
      </c>
      <c r="E614" s="4">
        <v>1</v>
      </c>
      <c r="F614" s="8">
        <v>0.9</v>
      </c>
      <c r="G614" s="4">
        <v>2</v>
      </c>
      <c r="H614" s="8">
        <v>3.17</v>
      </c>
      <c r="I614" s="4">
        <v>0</v>
      </c>
    </row>
    <row r="615" spans="1:9" x14ac:dyDescent="0.2">
      <c r="A615" s="2">
        <v>13</v>
      </c>
      <c r="B615" s="1" t="s">
        <v>132</v>
      </c>
      <c r="C615" s="4">
        <v>3</v>
      </c>
      <c r="D615" s="8">
        <v>1.66</v>
      </c>
      <c r="E615" s="4">
        <v>2</v>
      </c>
      <c r="F615" s="8">
        <v>1.8</v>
      </c>
      <c r="G615" s="4">
        <v>1</v>
      </c>
      <c r="H615" s="8">
        <v>1.59</v>
      </c>
      <c r="I615" s="4">
        <v>0</v>
      </c>
    </row>
    <row r="616" spans="1:9" x14ac:dyDescent="0.2">
      <c r="A616" s="2">
        <v>13</v>
      </c>
      <c r="B616" s="1" t="s">
        <v>144</v>
      </c>
      <c r="C616" s="4">
        <v>3</v>
      </c>
      <c r="D616" s="8">
        <v>1.66</v>
      </c>
      <c r="E616" s="4">
        <v>3</v>
      </c>
      <c r="F616" s="8">
        <v>2.7</v>
      </c>
      <c r="G616" s="4">
        <v>0</v>
      </c>
      <c r="H616" s="8">
        <v>0</v>
      </c>
      <c r="I616" s="4">
        <v>0</v>
      </c>
    </row>
    <row r="617" spans="1:9" x14ac:dyDescent="0.2">
      <c r="A617" s="2">
        <v>13</v>
      </c>
      <c r="B617" s="1" t="s">
        <v>137</v>
      </c>
      <c r="C617" s="4">
        <v>3</v>
      </c>
      <c r="D617" s="8">
        <v>1.66</v>
      </c>
      <c r="E617" s="4">
        <v>3</v>
      </c>
      <c r="F617" s="8">
        <v>2.7</v>
      </c>
      <c r="G617" s="4">
        <v>0</v>
      </c>
      <c r="H617" s="8">
        <v>0</v>
      </c>
      <c r="I617" s="4">
        <v>0</v>
      </c>
    </row>
    <row r="618" spans="1:9" x14ac:dyDescent="0.2">
      <c r="A618" s="2">
        <v>13</v>
      </c>
      <c r="B618" s="1" t="s">
        <v>145</v>
      </c>
      <c r="C618" s="4">
        <v>3</v>
      </c>
      <c r="D618" s="8">
        <v>1.66</v>
      </c>
      <c r="E618" s="4">
        <v>3</v>
      </c>
      <c r="F618" s="8">
        <v>2.7</v>
      </c>
      <c r="G618" s="4">
        <v>0</v>
      </c>
      <c r="H618" s="8">
        <v>0</v>
      </c>
      <c r="I618" s="4">
        <v>0</v>
      </c>
    </row>
    <row r="619" spans="1:9" x14ac:dyDescent="0.2">
      <c r="A619" s="2">
        <v>13</v>
      </c>
      <c r="B619" s="1" t="s">
        <v>139</v>
      </c>
      <c r="C619" s="4">
        <v>3</v>
      </c>
      <c r="D619" s="8">
        <v>1.66</v>
      </c>
      <c r="E619" s="4">
        <v>2</v>
      </c>
      <c r="F619" s="8">
        <v>1.8</v>
      </c>
      <c r="G619" s="4">
        <v>0</v>
      </c>
      <c r="H619" s="8">
        <v>0</v>
      </c>
      <c r="I619" s="4">
        <v>1</v>
      </c>
    </row>
    <row r="620" spans="1:9" x14ac:dyDescent="0.2">
      <c r="A620" s="1"/>
      <c r="C620" s="4"/>
      <c r="D620" s="8"/>
      <c r="E620" s="4"/>
      <c r="F620" s="8"/>
      <c r="G620" s="4"/>
      <c r="H620" s="8"/>
      <c r="I620" s="4"/>
    </row>
    <row r="621" spans="1:9" x14ac:dyDescent="0.2">
      <c r="A621" s="1" t="s">
        <v>27</v>
      </c>
      <c r="C621" s="4"/>
      <c r="D621" s="8"/>
      <c r="E621" s="4"/>
      <c r="F621" s="8"/>
      <c r="G621" s="4"/>
      <c r="H621" s="8"/>
      <c r="I621" s="4"/>
    </row>
    <row r="622" spans="1:9" x14ac:dyDescent="0.2">
      <c r="A622" s="2">
        <v>1</v>
      </c>
      <c r="B622" s="1" t="s">
        <v>138</v>
      </c>
      <c r="C622" s="4">
        <v>22</v>
      </c>
      <c r="D622" s="8">
        <v>5</v>
      </c>
      <c r="E622" s="4">
        <v>19</v>
      </c>
      <c r="F622" s="8">
        <v>7.17</v>
      </c>
      <c r="G622" s="4">
        <v>3</v>
      </c>
      <c r="H622" s="8">
        <v>1.74</v>
      </c>
      <c r="I622" s="4">
        <v>0</v>
      </c>
    </row>
    <row r="623" spans="1:9" x14ac:dyDescent="0.2">
      <c r="A623" s="2">
        <v>2</v>
      </c>
      <c r="B623" s="1" t="s">
        <v>137</v>
      </c>
      <c r="C623" s="4">
        <v>19</v>
      </c>
      <c r="D623" s="8">
        <v>4.32</v>
      </c>
      <c r="E623" s="4">
        <v>19</v>
      </c>
      <c r="F623" s="8">
        <v>7.17</v>
      </c>
      <c r="G623" s="4">
        <v>0</v>
      </c>
      <c r="H623" s="8">
        <v>0</v>
      </c>
      <c r="I623" s="4">
        <v>0</v>
      </c>
    </row>
    <row r="624" spans="1:9" x14ac:dyDescent="0.2">
      <c r="A624" s="2">
        <v>3</v>
      </c>
      <c r="B624" s="1" t="s">
        <v>140</v>
      </c>
      <c r="C624" s="4">
        <v>17</v>
      </c>
      <c r="D624" s="8">
        <v>3.86</v>
      </c>
      <c r="E624" s="4">
        <v>17</v>
      </c>
      <c r="F624" s="8">
        <v>6.42</v>
      </c>
      <c r="G624" s="4">
        <v>0</v>
      </c>
      <c r="H624" s="8">
        <v>0</v>
      </c>
      <c r="I624" s="4">
        <v>0</v>
      </c>
    </row>
    <row r="625" spans="1:9" x14ac:dyDescent="0.2">
      <c r="A625" s="2">
        <v>4</v>
      </c>
      <c r="B625" s="1" t="s">
        <v>136</v>
      </c>
      <c r="C625" s="4">
        <v>16</v>
      </c>
      <c r="D625" s="8">
        <v>3.64</v>
      </c>
      <c r="E625" s="4">
        <v>16</v>
      </c>
      <c r="F625" s="8">
        <v>6.04</v>
      </c>
      <c r="G625" s="4">
        <v>0</v>
      </c>
      <c r="H625" s="8">
        <v>0</v>
      </c>
      <c r="I625" s="4">
        <v>0</v>
      </c>
    </row>
    <row r="626" spans="1:9" x14ac:dyDescent="0.2">
      <c r="A626" s="2">
        <v>5</v>
      </c>
      <c r="B626" s="1" t="s">
        <v>141</v>
      </c>
      <c r="C626" s="4">
        <v>15</v>
      </c>
      <c r="D626" s="8">
        <v>3.41</v>
      </c>
      <c r="E626" s="4">
        <v>14</v>
      </c>
      <c r="F626" s="8">
        <v>5.28</v>
      </c>
      <c r="G626" s="4">
        <v>1</v>
      </c>
      <c r="H626" s="8">
        <v>0.57999999999999996</v>
      </c>
      <c r="I626" s="4">
        <v>0</v>
      </c>
    </row>
    <row r="627" spans="1:9" x14ac:dyDescent="0.2">
      <c r="A627" s="2">
        <v>6</v>
      </c>
      <c r="B627" s="1" t="s">
        <v>128</v>
      </c>
      <c r="C627" s="4">
        <v>13</v>
      </c>
      <c r="D627" s="8">
        <v>2.95</v>
      </c>
      <c r="E627" s="4">
        <v>10</v>
      </c>
      <c r="F627" s="8">
        <v>3.77</v>
      </c>
      <c r="G627" s="4">
        <v>3</v>
      </c>
      <c r="H627" s="8">
        <v>1.74</v>
      </c>
      <c r="I627" s="4">
        <v>0</v>
      </c>
    </row>
    <row r="628" spans="1:9" x14ac:dyDescent="0.2">
      <c r="A628" s="2">
        <v>7</v>
      </c>
      <c r="B628" s="1" t="s">
        <v>134</v>
      </c>
      <c r="C628" s="4">
        <v>12</v>
      </c>
      <c r="D628" s="8">
        <v>2.73</v>
      </c>
      <c r="E628" s="4">
        <v>10</v>
      </c>
      <c r="F628" s="8">
        <v>3.77</v>
      </c>
      <c r="G628" s="4">
        <v>2</v>
      </c>
      <c r="H628" s="8">
        <v>1.1599999999999999</v>
      </c>
      <c r="I628" s="4">
        <v>0</v>
      </c>
    </row>
    <row r="629" spans="1:9" x14ac:dyDescent="0.2">
      <c r="A629" s="2">
        <v>8</v>
      </c>
      <c r="B629" s="1" t="s">
        <v>142</v>
      </c>
      <c r="C629" s="4">
        <v>10</v>
      </c>
      <c r="D629" s="8">
        <v>2.27</v>
      </c>
      <c r="E629" s="4">
        <v>5</v>
      </c>
      <c r="F629" s="8">
        <v>1.89</v>
      </c>
      <c r="G629" s="4">
        <v>5</v>
      </c>
      <c r="H629" s="8">
        <v>2.91</v>
      </c>
      <c r="I629" s="4">
        <v>0</v>
      </c>
    </row>
    <row r="630" spans="1:9" x14ac:dyDescent="0.2">
      <c r="A630" s="2">
        <v>9</v>
      </c>
      <c r="B630" s="1" t="s">
        <v>122</v>
      </c>
      <c r="C630" s="4">
        <v>9</v>
      </c>
      <c r="D630" s="8">
        <v>2.0499999999999998</v>
      </c>
      <c r="E630" s="4">
        <v>2</v>
      </c>
      <c r="F630" s="8">
        <v>0.75</v>
      </c>
      <c r="G630" s="4">
        <v>7</v>
      </c>
      <c r="H630" s="8">
        <v>4.07</v>
      </c>
      <c r="I630" s="4">
        <v>0</v>
      </c>
    </row>
    <row r="631" spans="1:9" x14ac:dyDescent="0.2">
      <c r="A631" s="2">
        <v>9</v>
      </c>
      <c r="B631" s="1" t="s">
        <v>165</v>
      </c>
      <c r="C631" s="4">
        <v>9</v>
      </c>
      <c r="D631" s="8">
        <v>2.0499999999999998</v>
      </c>
      <c r="E631" s="4">
        <v>5</v>
      </c>
      <c r="F631" s="8">
        <v>1.89</v>
      </c>
      <c r="G631" s="4">
        <v>4</v>
      </c>
      <c r="H631" s="8">
        <v>2.33</v>
      </c>
      <c r="I631" s="4">
        <v>0</v>
      </c>
    </row>
    <row r="632" spans="1:9" x14ac:dyDescent="0.2">
      <c r="A632" s="2">
        <v>11</v>
      </c>
      <c r="B632" s="1" t="s">
        <v>153</v>
      </c>
      <c r="C632" s="4">
        <v>8</v>
      </c>
      <c r="D632" s="8">
        <v>1.82</v>
      </c>
      <c r="E632" s="4">
        <v>4</v>
      </c>
      <c r="F632" s="8">
        <v>1.51</v>
      </c>
      <c r="G632" s="4">
        <v>4</v>
      </c>
      <c r="H632" s="8">
        <v>2.33</v>
      </c>
      <c r="I632" s="4">
        <v>0</v>
      </c>
    </row>
    <row r="633" spans="1:9" x14ac:dyDescent="0.2">
      <c r="A633" s="2">
        <v>11</v>
      </c>
      <c r="B633" s="1" t="s">
        <v>135</v>
      </c>
      <c r="C633" s="4">
        <v>8</v>
      </c>
      <c r="D633" s="8">
        <v>1.82</v>
      </c>
      <c r="E633" s="4">
        <v>7</v>
      </c>
      <c r="F633" s="8">
        <v>2.64</v>
      </c>
      <c r="G633" s="4">
        <v>1</v>
      </c>
      <c r="H633" s="8">
        <v>0.57999999999999996</v>
      </c>
      <c r="I633" s="4">
        <v>0</v>
      </c>
    </row>
    <row r="634" spans="1:9" x14ac:dyDescent="0.2">
      <c r="A634" s="2">
        <v>11</v>
      </c>
      <c r="B634" s="1" t="s">
        <v>139</v>
      </c>
      <c r="C634" s="4">
        <v>8</v>
      </c>
      <c r="D634" s="8">
        <v>1.82</v>
      </c>
      <c r="E634" s="4">
        <v>7</v>
      </c>
      <c r="F634" s="8">
        <v>2.64</v>
      </c>
      <c r="G634" s="4">
        <v>1</v>
      </c>
      <c r="H634" s="8">
        <v>0.57999999999999996</v>
      </c>
      <c r="I634" s="4">
        <v>0</v>
      </c>
    </row>
    <row r="635" spans="1:9" x14ac:dyDescent="0.2">
      <c r="A635" s="2">
        <v>14</v>
      </c>
      <c r="B635" s="1" t="s">
        <v>178</v>
      </c>
      <c r="C635" s="4">
        <v>7</v>
      </c>
      <c r="D635" s="8">
        <v>1.59</v>
      </c>
      <c r="E635" s="4">
        <v>3</v>
      </c>
      <c r="F635" s="8">
        <v>1.1299999999999999</v>
      </c>
      <c r="G635" s="4">
        <v>4</v>
      </c>
      <c r="H635" s="8">
        <v>2.33</v>
      </c>
      <c r="I635" s="4">
        <v>0</v>
      </c>
    </row>
    <row r="636" spans="1:9" x14ac:dyDescent="0.2">
      <c r="A636" s="2">
        <v>14</v>
      </c>
      <c r="B636" s="1" t="s">
        <v>130</v>
      </c>
      <c r="C636" s="4">
        <v>7</v>
      </c>
      <c r="D636" s="8">
        <v>1.59</v>
      </c>
      <c r="E636" s="4">
        <v>5</v>
      </c>
      <c r="F636" s="8">
        <v>1.89</v>
      </c>
      <c r="G636" s="4">
        <v>2</v>
      </c>
      <c r="H636" s="8">
        <v>1.1599999999999999</v>
      </c>
      <c r="I636" s="4">
        <v>0</v>
      </c>
    </row>
    <row r="637" spans="1:9" x14ac:dyDescent="0.2">
      <c r="A637" s="2">
        <v>14</v>
      </c>
      <c r="B637" s="1" t="s">
        <v>145</v>
      </c>
      <c r="C637" s="4">
        <v>7</v>
      </c>
      <c r="D637" s="8">
        <v>1.59</v>
      </c>
      <c r="E637" s="4">
        <v>5</v>
      </c>
      <c r="F637" s="8">
        <v>1.89</v>
      </c>
      <c r="G637" s="4">
        <v>2</v>
      </c>
      <c r="H637" s="8">
        <v>1.1599999999999999</v>
      </c>
      <c r="I637" s="4">
        <v>0</v>
      </c>
    </row>
    <row r="638" spans="1:9" x14ac:dyDescent="0.2">
      <c r="A638" s="2">
        <v>17</v>
      </c>
      <c r="B638" s="1" t="s">
        <v>123</v>
      </c>
      <c r="C638" s="4">
        <v>6</v>
      </c>
      <c r="D638" s="8">
        <v>1.36</v>
      </c>
      <c r="E638" s="4">
        <v>1</v>
      </c>
      <c r="F638" s="8">
        <v>0.38</v>
      </c>
      <c r="G638" s="4">
        <v>5</v>
      </c>
      <c r="H638" s="8">
        <v>2.91</v>
      </c>
      <c r="I638" s="4">
        <v>0</v>
      </c>
    </row>
    <row r="639" spans="1:9" x14ac:dyDescent="0.2">
      <c r="A639" s="2">
        <v>17</v>
      </c>
      <c r="B639" s="1" t="s">
        <v>127</v>
      </c>
      <c r="C639" s="4">
        <v>6</v>
      </c>
      <c r="D639" s="8">
        <v>1.36</v>
      </c>
      <c r="E639" s="4">
        <v>6</v>
      </c>
      <c r="F639" s="8">
        <v>2.2599999999999998</v>
      </c>
      <c r="G639" s="4">
        <v>0</v>
      </c>
      <c r="H639" s="8">
        <v>0</v>
      </c>
      <c r="I639" s="4">
        <v>0</v>
      </c>
    </row>
    <row r="640" spans="1:9" x14ac:dyDescent="0.2">
      <c r="A640" s="2">
        <v>19</v>
      </c>
      <c r="B640" s="1" t="s">
        <v>176</v>
      </c>
      <c r="C640" s="4">
        <v>5</v>
      </c>
      <c r="D640" s="8">
        <v>1.1399999999999999</v>
      </c>
      <c r="E640" s="4">
        <v>2</v>
      </c>
      <c r="F640" s="8">
        <v>0.75</v>
      </c>
      <c r="G640" s="4">
        <v>3</v>
      </c>
      <c r="H640" s="8">
        <v>1.74</v>
      </c>
      <c r="I640" s="4">
        <v>0</v>
      </c>
    </row>
    <row r="641" spans="1:9" x14ac:dyDescent="0.2">
      <c r="A641" s="2">
        <v>19</v>
      </c>
      <c r="B641" s="1" t="s">
        <v>177</v>
      </c>
      <c r="C641" s="4">
        <v>5</v>
      </c>
      <c r="D641" s="8">
        <v>1.1399999999999999</v>
      </c>
      <c r="E641" s="4">
        <v>3</v>
      </c>
      <c r="F641" s="8">
        <v>1.1299999999999999</v>
      </c>
      <c r="G641" s="4">
        <v>2</v>
      </c>
      <c r="H641" s="8">
        <v>1.1599999999999999</v>
      </c>
      <c r="I641" s="4">
        <v>0</v>
      </c>
    </row>
    <row r="642" spans="1:9" x14ac:dyDescent="0.2">
      <c r="A642" s="2">
        <v>19</v>
      </c>
      <c r="B642" s="1" t="s">
        <v>193</v>
      </c>
      <c r="C642" s="4">
        <v>5</v>
      </c>
      <c r="D642" s="8">
        <v>1.1399999999999999</v>
      </c>
      <c r="E642" s="4">
        <v>3</v>
      </c>
      <c r="F642" s="8">
        <v>1.1299999999999999</v>
      </c>
      <c r="G642" s="4">
        <v>2</v>
      </c>
      <c r="H642" s="8">
        <v>1.1599999999999999</v>
      </c>
      <c r="I642" s="4">
        <v>0</v>
      </c>
    </row>
    <row r="643" spans="1:9" x14ac:dyDescent="0.2">
      <c r="A643" s="2">
        <v>19</v>
      </c>
      <c r="B643" s="1" t="s">
        <v>180</v>
      </c>
      <c r="C643" s="4">
        <v>5</v>
      </c>
      <c r="D643" s="8">
        <v>1.1399999999999999</v>
      </c>
      <c r="E643" s="4">
        <v>2</v>
      </c>
      <c r="F643" s="8">
        <v>0.75</v>
      </c>
      <c r="G643" s="4">
        <v>3</v>
      </c>
      <c r="H643" s="8">
        <v>1.74</v>
      </c>
      <c r="I643" s="4">
        <v>0</v>
      </c>
    </row>
    <row r="644" spans="1:9" x14ac:dyDescent="0.2">
      <c r="A644" s="2">
        <v>19</v>
      </c>
      <c r="B644" s="1" t="s">
        <v>163</v>
      </c>
      <c r="C644" s="4">
        <v>5</v>
      </c>
      <c r="D644" s="8">
        <v>1.1399999999999999</v>
      </c>
      <c r="E644" s="4">
        <v>5</v>
      </c>
      <c r="F644" s="8">
        <v>1.89</v>
      </c>
      <c r="G644" s="4">
        <v>0</v>
      </c>
      <c r="H644" s="8">
        <v>0</v>
      </c>
      <c r="I644" s="4">
        <v>0</v>
      </c>
    </row>
    <row r="645" spans="1:9" x14ac:dyDescent="0.2">
      <c r="A645" s="2">
        <v>19</v>
      </c>
      <c r="B645" s="1" t="s">
        <v>132</v>
      </c>
      <c r="C645" s="4">
        <v>5</v>
      </c>
      <c r="D645" s="8">
        <v>1.1399999999999999</v>
      </c>
      <c r="E645" s="4">
        <v>2</v>
      </c>
      <c r="F645" s="8">
        <v>0.75</v>
      </c>
      <c r="G645" s="4">
        <v>3</v>
      </c>
      <c r="H645" s="8">
        <v>1.74</v>
      </c>
      <c r="I645" s="4">
        <v>0</v>
      </c>
    </row>
    <row r="646" spans="1:9" x14ac:dyDescent="0.2">
      <c r="A646" s="2">
        <v>19</v>
      </c>
      <c r="B646" s="1" t="s">
        <v>133</v>
      </c>
      <c r="C646" s="4">
        <v>5</v>
      </c>
      <c r="D646" s="8">
        <v>1.1399999999999999</v>
      </c>
      <c r="E646" s="4">
        <v>4</v>
      </c>
      <c r="F646" s="8">
        <v>1.51</v>
      </c>
      <c r="G646" s="4">
        <v>1</v>
      </c>
      <c r="H646" s="8">
        <v>0.57999999999999996</v>
      </c>
      <c r="I646" s="4">
        <v>0</v>
      </c>
    </row>
    <row r="647" spans="1:9" x14ac:dyDescent="0.2">
      <c r="A647" s="1"/>
      <c r="C647" s="4"/>
      <c r="D647" s="8"/>
      <c r="E647" s="4"/>
      <c r="F647" s="8"/>
      <c r="G647" s="4"/>
      <c r="H647" s="8"/>
      <c r="I647" s="4"/>
    </row>
    <row r="648" spans="1:9" x14ac:dyDescent="0.2">
      <c r="A648" s="1" t="s">
        <v>28</v>
      </c>
      <c r="C648" s="4"/>
      <c r="D648" s="8"/>
      <c r="E648" s="4"/>
      <c r="F648" s="8"/>
      <c r="G648" s="4"/>
      <c r="H648" s="8"/>
      <c r="I648" s="4"/>
    </row>
    <row r="649" spans="1:9" x14ac:dyDescent="0.2">
      <c r="A649" s="2">
        <v>1</v>
      </c>
      <c r="B649" s="1" t="s">
        <v>128</v>
      </c>
      <c r="C649" s="4">
        <v>10</v>
      </c>
      <c r="D649" s="8">
        <v>4.95</v>
      </c>
      <c r="E649" s="4">
        <v>7</v>
      </c>
      <c r="F649" s="8">
        <v>5.88</v>
      </c>
      <c r="G649" s="4">
        <v>3</v>
      </c>
      <c r="H649" s="8">
        <v>3.95</v>
      </c>
      <c r="I649" s="4">
        <v>0</v>
      </c>
    </row>
    <row r="650" spans="1:9" x14ac:dyDescent="0.2">
      <c r="A650" s="2">
        <v>2</v>
      </c>
      <c r="B650" s="1" t="s">
        <v>122</v>
      </c>
      <c r="C650" s="4">
        <v>7</v>
      </c>
      <c r="D650" s="8">
        <v>3.47</v>
      </c>
      <c r="E650" s="4">
        <v>2</v>
      </c>
      <c r="F650" s="8">
        <v>1.68</v>
      </c>
      <c r="G650" s="4">
        <v>5</v>
      </c>
      <c r="H650" s="8">
        <v>6.58</v>
      </c>
      <c r="I650" s="4">
        <v>0</v>
      </c>
    </row>
    <row r="651" spans="1:9" x14ac:dyDescent="0.2">
      <c r="A651" s="2">
        <v>2</v>
      </c>
      <c r="B651" s="1" t="s">
        <v>123</v>
      </c>
      <c r="C651" s="4">
        <v>7</v>
      </c>
      <c r="D651" s="8">
        <v>3.47</v>
      </c>
      <c r="E651" s="4">
        <v>3</v>
      </c>
      <c r="F651" s="8">
        <v>2.52</v>
      </c>
      <c r="G651" s="4">
        <v>4</v>
      </c>
      <c r="H651" s="8">
        <v>5.26</v>
      </c>
      <c r="I651" s="4">
        <v>0</v>
      </c>
    </row>
    <row r="652" spans="1:9" x14ac:dyDescent="0.2">
      <c r="A652" s="2">
        <v>2</v>
      </c>
      <c r="B652" s="1" t="s">
        <v>137</v>
      </c>
      <c r="C652" s="4">
        <v>7</v>
      </c>
      <c r="D652" s="8">
        <v>3.47</v>
      </c>
      <c r="E652" s="4">
        <v>7</v>
      </c>
      <c r="F652" s="8">
        <v>5.88</v>
      </c>
      <c r="G652" s="4">
        <v>0</v>
      </c>
      <c r="H652" s="8">
        <v>0</v>
      </c>
      <c r="I652" s="4">
        <v>0</v>
      </c>
    </row>
    <row r="653" spans="1:9" x14ac:dyDescent="0.2">
      <c r="A653" s="2">
        <v>5</v>
      </c>
      <c r="B653" s="1" t="s">
        <v>136</v>
      </c>
      <c r="C653" s="4">
        <v>6</v>
      </c>
      <c r="D653" s="8">
        <v>2.97</v>
      </c>
      <c r="E653" s="4">
        <v>6</v>
      </c>
      <c r="F653" s="8">
        <v>5.04</v>
      </c>
      <c r="G653" s="4">
        <v>0</v>
      </c>
      <c r="H653" s="8">
        <v>0</v>
      </c>
      <c r="I653" s="4">
        <v>0</v>
      </c>
    </row>
    <row r="654" spans="1:9" x14ac:dyDescent="0.2">
      <c r="A654" s="2">
        <v>6</v>
      </c>
      <c r="B654" s="1" t="s">
        <v>124</v>
      </c>
      <c r="C654" s="4">
        <v>5</v>
      </c>
      <c r="D654" s="8">
        <v>2.48</v>
      </c>
      <c r="E654" s="4">
        <v>4</v>
      </c>
      <c r="F654" s="8">
        <v>3.36</v>
      </c>
      <c r="G654" s="4">
        <v>1</v>
      </c>
      <c r="H654" s="8">
        <v>1.32</v>
      </c>
      <c r="I654" s="4">
        <v>0</v>
      </c>
    </row>
    <row r="655" spans="1:9" x14ac:dyDescent="0.2">
      <c r="A655" s="2">
        <v>6</v>
      </c>
      <c r="B655" s="1" t="s">
        <v>147</v>
      </c>
      <c r="C655" s="4">
        <v>5</v>
      </c>
      <c r="D655" s="8">
        <v>2.48</v>
      </c>
      <c r="E655" s="4">
        <v>4</v>
      </c>
      <c r="F655" s="8">
        <v>3.36</v>
      </c>
      <c r="G655" s="4">
        <v>1</v>
      </c>
      <c r="H655" s="8">
        <v>1.32</v>
      </c>
      <c r="I655" s="4">
        <v>0</v>
      </c>
    </row>
    <row r="656" spans="1:9" x14ac:dyDescent="0.2">
      <c r="A656" s="2">
        <v>6</v>
      </c>
      <c r="B656" s="1" t="s">
        <v>168</v>
      </c>
      <c r="C656" s="4">
        <v>5</v>
      </c>
      <c r="D656" s="8">
        <v>2.48</v>
      </c>
      <c r="E656" s="4">
        <v>4</v>
      </c>
      <c r="F656" s="8">
        <v>3.36</v>
      </c>
      <c r="G656" s="4">
        <v>1</v>
      </c>
      <c r="H656" s="8">
        <v>1.32</v>
      </c>
      <c r="I656" s="4">
        <v>0</v>
      </c>
    </row>
    <row r="657" spans="1:9" x14ac:dyDescent="0.2">
      <c r="A657" s="2">
        <v>6</v>
      </c>
      <c r="B657" s="1" t="s">
        <v>142</v>
      </c>
      <c r="C657" s="4">
        <v>5</v>
      </c>
      <c r="D657" s="8">
        <v>2.48</v>
      </c>
      <c r="E657" s="4">
        <v>3</v>
      </c>
      <c r="F657" s="8">
        <v>2.52</v>
      </c>
      <c r="G657" s="4">
        <v>2</v>
      </c>
      <c r="H657" s="8">
        <v>2.63</v>
      </c>
      <c r="I657" s="4">
        <v>0</v>
      </c>
    </row>
    <row r="658" spans="1:9" x14ac:dyDescent="0.2">
      <c r="A658" s="2">
        <v>6</v>
      </c>
      <c r="B658" s="1" t="s">
        <v>148</v>
      </c>
      <c r="C658" s="4">
        <v>5</v>
      </c>
      <c r="D658" s="8">
        <v>2.48</v>
      </c>
      <c r="E658" s="4">
        <v>4</v>
      </c>
      <c r="F658" s="8">
        <v>3.36</v>
      </c>
      <c r="G658" s="4">
        <v>1</v>
      </c>
      <c r="H658" s="8">
        <v>1.32</v>
      </c>
      <c r="I658" s="4">
        <v>0</v>
      </c>
    </row>
    <row r="659" spans="1:9" x14ac:dyDescent="0.2">
      <c r="A659" s="2">
        <v>11</v>
      </c>
      <c r="B659" s="1" t="s">
        <v>169</v>
      </c>
      <c r="C659" s="4">
        <v>4</v>
      </c>
      <c r="D659" s="8">
        <v>1.98</v>
      </c>
      <c r="E659" s="4">
        <v>3</v>
      </c>
      <c r="F659" s="8">
        <v>2.52</v>
      </c>
      <c r="G659" s="4">
        <v>1</v>
      </c>
      <c r="H659" s="8">
        <v>1.32</v>
      </c>
      <c r="I659" s="4">
        <v>0</v>
      </c>
    </row>
    <row r="660" spans="1:9" x14ac:dyDescent="0.2">
      <c r="A660" s="2">
        <v>11</v>
      </c>
      <c r="B660" s="1" t="s">
        <v>138</v>
      </c>
      <c r="C660" s="4">
        <v>4</v>
      </c>
      <c r="D660" s="8">
        <v>1.98</v>
      </c>
      <c r="E660" s="4">
        <v>3</v>
      </c>
      <c r="F660" s="8">
        <v>2.52</v>
      </c>
      <c r="G660" s="4">
        <v>1</v>
      </c>
      <c r="H660" s="8">
        <v>1.32</v>
      </c>
      <c r="I660" s="4">
        <v>0</v>
      </c>
    </row>
    <row r="661" spans="1:9" x14ac:dyDescent="0.2">
      <c r="A661" s="2">
        <v>11</v>
      </c>
      <c r="B661" s="1" t="s">
        <v>145</v>
      </c>
      <c r="C661" s="4">
        <v>4</v>
      </c>
      <c r="D661" s="8">
        <v>1.98</v>
      </c>
      <c r="E661" s="4">
        <v>4</v>
      </c>
      <c r="F661" s="8">
        <v>3.36</v>
      </c>
      <c r="G661" s="4">
        <v>0</v>
      </c>
      <c r="H661" s="8">
        <v>0</v>
      </c>
      <c r="I661" s="4">
        <v>0</v>
      </c>
    </row>
    <row r="662" spans="1:9" x14ac:dyDescent="0.2">
      <c r="A662" s="2">
        <v>11</v>
      </c>
      <c r="B662" s="1" t="s">
        <v>140</v>
      </c>
      <c r="C662" s="4">
        <v>4</v>
      </c>
      <c r="D662" s="8">
        <v>1.98</v>
      </c>
      <c r="E662" s="4">
        <v>4</v>
      </c>
      <c r="F662" s="8">
        <v>3.36</v>
      </c>
      <c r="G662" s="4">
        <v>0</v>
      </c>
      <c r="H662" s="8">
        <v>0</v>
      </c>
      <c r="I662" s="4">
        <v>0</v>
      </c>
    </row>
    <row r="663" spans="1:9" x14ac:dyDescent="0.2">
      <c r="A663" s="2">
        <v>11</v>
      </c>
      <c r="B663" s="1" t="s">
        <v>141</v>
      </c>
      <c r="C663" s="4">
        <v>4</v>
      </c>
      <c r="D663" s="8">
        <v>1.98</v>
      </c>
      <c r="E663" s="4">
        <v>4</v>
      </c>
      <c r="F663" s="8">
        <v>3.36</v>
      </c>
      <c r="G663" s="4">
        <v>0</v>
      </c>
      <c r="H663" s="8">
        <v>0</v>
      </c>
      <c r="I663" s="4">
        <v>0</v>
      </c>
    </row>
    <row r="664" spans="1:9" x14ac:dyDescent="0.2">
      <c r="A664" s="2">
        <v>16</v>
      </c>
      <c r="B664" s="1" t="s">
        <v>177</v>
      </c>
      <c r="C664" s="4">
        <v>3</v>
      </c>
      <c r="D664" s="8">
        <v>1.49</v>
      </c>
      <c r="E664" s="4">
        <v>1</v>
      </c>
      <c r="F664" s="8">
        <v>0.84</v>
      </c>
      <c r="G664" s="4">
        <v>2</v>
      </c>
      <c r="H664" s="8">
        <v>2.63</v>
      </c>
      <c r="I664" s="4">
        <v>0</v>
      </c>
    </row>
    <row r="665" spans="1:9" x14ac:dyDescent="0.2">
      <c r="A665" s="2">
        <v>16</v>
      </c>
      <c r="B665" s="1" t="s">
        <v>165</v>
      </c>
      <c r="C665" s="4">
        <v>3</v>
      </c>
      <c r="D665" s="8">
        <v>1.49</v>
      </c>
      <c r="E665" s="4">
        <v>2</v>
      </c>
      <c r="F665" s="8">
        <v>1.68</v>
      </c>
      <c r="G665" s="4">
        <v>1</v>
      </c>
      <c r="H665" s="8">
        <v>1.32</v>
      </c>
      <c r="I665" s="4">
        <v>0</v>
      </c>
    </row>
    <row r="666" spans="1:9" x14ac:dyDescent="0.2">
      <c r="A666" s="2">
        <v>16</v>
      </c>
      <c r="B666" s="1" t="s">
        <v>173</v>
      </c>
      <c r="C666" s="4">
        <v>3</v>
      </c>
      <c r="D666" s="8">
        <v>1.49</v>
      </c>
      <c r="E666" s="4">
        <v>1</v>
      </c>
      <c r="F666" s="8">
        <v>0.84</v>
      </c>
      <c r="G666" s="4">
        <v>2</v>
      </c>
      <c r="H666" s="8">
        <v>2.63</v>
      </c>
      <c r="I666" s="4">
        <v>0</v>
      </c>
    </row>
    <row r="667" spans="1:9" x14ac:dyDescent="0.2">
      <c r="A667" s="2">
        <v>16</v>
      </c>
      <c r="B667" s="1" t="s">
        <v>153</v>
      </c>
      <c r="C667" s="4">
        <v>3</v>
      </c>
      <c r="D667" s="8">
        <v>1.49</v>
      </c>
      <c r="E667" s="4">
        <v>0</v>
      </c>
      <c r="F667" s="8">
        <v>0</v>
      </c>
      <c r="G667" s="4">
        <v>3</v>
      </c>
      <c r="H667" s="8">
        <v>3.95</v>
      </c>
      <c r="I667" s="4">
        <v>0</v>
      </c>
    </row>
    <row r="668" spans="1:9" x14ac:dyDescent="0.2">
      <c r="A668" s="2">
        <v>16</v>
      </c>
      <c r="B668" s="1" t="s">
        <v>194</v>
      </c>
      <c r="C668" s="4">
        <v>3</v>
      </c>
      <c r="D668" s="8">
        <v>1.49</v>
      </c>
      <c r="E668" s="4">
        <v>1</v>
      </c>
      <c r="F668" s="8">
        <v>0.84</v>
      </c>
      <c r="G668" s="4">
        <v>2</v>
      </c>
      <c r="H668" s="8">
        <v>2.63</v>
      </c>
      <c r="I668" s="4">
        <v>0</v>
      </c>
    </row>
    <row r="669" spans="1:9" x14ac:dyDescent="0.2">
      <c r="A669" s="2">
        <v>16</v>
      </c>
      <c r="B669" s="1" t="s">
        <v>181</v>
      </c>
      <c r="C669" s="4">
        <v>3</v>
      </c>
      <c r="D669" s="8">
        <v>1.49</v>
      </c>
      <c r="E669" s="4">
        <v>3</v>
      </c>
      <c r="F669" s="8">
        <v>2.52</v>
      </c>
      <c r="G669" s="4">
        <v>0</v>
      </c>
      <c r="H669" s="8">
        <v>0</v>
      </c>
      <c r="I669" s="4">
        <v>0</v>
      </c>
    </row>
    <row r="670" spans="1:9" x14ac:dyDescent="0.2">
      <c r="A670" s="2">
        <v>16</v>
      </c>
      <c r="B670" s="1" t="s">
        <v>127</v>
      </c>
      <c r="C670" s="4">
        <v>3</v>
      </c>
      <c r="D670" s="8">
        <v>1.49</v>
      </c>
      <c r="E670" s="4">
        <v>2</v>
      </c>
      <c r="F670" s="8">
        <v>1.68</v>
      </c>
      <c r="G670" s="4">
        <v>1</v>
      </c>
      <c r="H670" s="8">
        <v>1.32</v>
      </c>
      <c r="I670" s="4">
        <v>0</v>
      </c>
    </row>
    <row r="671" spans="1:9" x14ac:dyDescent="0.2">
      <c r="A671" s="2">
        <v>16</v>
      </c>
      <c r="B671" s="1" t="s">
        <v>131</v>
      </c>
      <c r="C671" s="4">
        <v>3</v>
      </c>
      <c r="D671" s="8">
        <v>1.49</v>
      </c>
      <c r="E671" s="4">
        <v>1</v>
      </c>
      <c r="F671" s="8">
        <v>0.84</v>
      </c>
      <c r="G671" s="4">
        <v>2</v>
      </c>
      <c r="H671" s="8">
        <v>2.63</v>
      </c>
      <c r="I671" s="4">
        <v>0</v>
      </c>
    </row>
    <row r="672" spans="1:9" x14ac:dyDescent="0.2">
      <c r="A672" s="2">
        <v>16</v>
      </c>
      <c r="B672" s="1" t="s">
        <v>134</v>
      </c>
      <c r="C672" s="4">
        <v>3</v>
      </c>
      <c r="D672" s="8">
        <v>1.49</v>
      </c>
      <c r="E672" s="4">
        <v>3</v>
      </c>
      <c r="F672" s="8">
        <v>2.52</v>
      </c>
      <c r="G672" s="4">
        <v>0</v>
      </c>
      <c r="H672" s="8">
        <v>0</v>
      </c>
      <c r="I672" s="4">
        <v>0</v>
      </c>
    </row>
    <row r="673" spans="1:9" x14ac:dyDescent="0.2">
      <c r="A673" s="2">
        <v>16</v>
      </c>
      <c r="B673" s="1" t="s">
        <v>195</v>
      </c>
      <c r="C673" s="4">
        <v>3</v>
      </c>
      <c r="D673" s="8">
        <v>1.49</v>
      </c>
      <c r="E673" s="4">
        <v>2</v>
      </c>
      <c r="F673" s="8">
        <v>1.68</v>
      </c>
      <c r="G673" s="4">
        <v>0</v>
      </c>
      <c r="H673" s="8">
        <v>0</v>
      </c>
      <c r="I673" s="4">
        <v>0</v>
      </c>
    </row>
    <row r="674" spans="1:9" x14ac:dyDescent="0.2">
      <c r="A674" s="2">
        <v>16</v>
      </c>
      <c r="B674" s="1" t="s">
        <v>196</v>
      </c>
      <c r="C674" s="4">
        <v>3</v>
      </c>
      <c r="D674" s="8">
        <v>1.49</v>
      </c>
      <c r="E674" s="4">
        <v>0</v>
      </c>
      <c r="F674" s="8">
        <v>0</v>
      </c>
      <c r="G674" s="4">
        <v>1</v>
      </c>
      <c r="H674" s="8">
        <v>1.32</v>
      </c>
      <c r="I674" s="4">
        <v>0</v>
      </c>
    </row>
    <row r="675" spans="1:9" x14ac:dyDescent="0.2">
      <c r="A675" s="1"/>
      <c r="C675" s="4"/>
      <c r="D675" s="8"/>
      <c r="E675" s="4"/>
      <c r="F675" s="8"/>
      <c r="G675" s="4"/>
      <c r="H675" s="8"/>
      <c r="I675" s="4"/>
    </row>
    <row r="676" spans="1:9" x14ac:dyDescent="0.2">
      <c r="A676" s="1" t="s">
        <v>29</v>
      </c>
      <c r="C676" s="4"/>
      <c r="D676" s="8"/>
      <c r="E676" s="4"/>
      <c r="F676" s="8"/>
      <c r="G676" s="4"/>
      <c r="H676" s="8"/>
      <c r="I676" s="4"/>
    </row>
    <row r="677" spans="1:9" x14ac:dyDescent="0.2">
      <c r="A677" s="2">
        <v>1</v>
      </c>
      <c r="B677" s="1" t="s">
        <v>138</v>
      </c>
      <c r="C677" s="4">
        <v>14</v>
      </c>
      <c r="D677" s="8">
        <v>4.6399999999999997</v>
      </c>
      <c r="E677" s="4">
        <v>13</v>
      </c>
      <c r="F677" s="8">
        <v>7.39</v>
      </c>
      <c r="G677" s="4">
        <v>1</v>
      </c>
      <c r="H677" s="8">
        <v>0.81</v>
      </c>
      <c r="I677" s="4">
        <v>0</v>
      </c>
    </row>
    <row r="678" spans="1:9" x14ac:dyDescent="0.2">
      <c r="A678" s="2">
        <v>2</v>
      </c>
      <c r="B678" s="1" t="s">
        <v>136</v>
      </c>
      <c r="C678" s="4">
        <v>13</v>
      </c>
      <c r="D678" s="8">
        <v>4.3</v>
      </c>
      <c r="E678" s="4">
        <v>13</v>
      </c>
      <c r="F678" s="8">
        <v>7.39</v>
      </c>
      <c r="G678" s="4">
        <v>0</v>
      </c>
      <c r="H678" s="8">
        <v>0</v>
      </c>
      <c r="I678" s="4">
        <v>0</v>
      </c>
    </row>
    <row r="679" spans="1:9" x14ac:dyDescent="0.2">
      <c r="A679" s="2">
        <v>3</v>
      </c>
      <c r="B679" s="1" t="s">
        <v>122</v>
      </c>
      <c r="C679" s="4">
        <v>12</v>
      </c>
      <c r="D679" s="8">
        <v>3.97</v>
      </c>
      <c r="E679" s="4">
        <v>3</v>
      </c>
      <c r="F679" s="8">
        <v>1.7</v>
      </c>
      <c r="G679" s="4">
        <v>9</v>
      </c>
      <c r="H679" s="8">
        <v>7.32</v>
      </c>
      <c r="I679" s="4">
        <v>0</v>
      </c>
    </row>
    <row r="680" spans="1:9" x14ac:dyDescent="0.2">
      <c r="A680" s="2">
        <v>4</v>
      </c>
      <c r="B680" s="1" t="s">
        <v>173</v>
      </c>
      <c r="C680" s="4">
        <v>10</v>
      </c>
      <c r="D680" s="8">
        <v>3.31</v>
      </c>
      <c r="E680" s="4">
        <v>10</v>
      </c>
      <c r="F680" s="8">
        <v>5.68</v>
      </c>
      <c r="G680" s="4">
        <v>0</v>
      </c>
      <c r="H680" s="8">
        <v>0</v>
      </c>
      <c r="I680" s="4">
        <v>0</v>
      </c>
    </row>
    <row r="681" spans="1:9" x14ac:dyDescent="0.2">
      <c r="A681" s="2">
        <v>4</v>
      </c>
      <c r="B681" s="1" t="s">
        <v>142</v>
      </c>
      <c r="C681" s="4">
        <v>10</v>
      </c>
      <c r="D681" s="8">
        <v>3.31</v>
      </c>
      <c r="E681" s="4">
        <v>8</v>
      </c>
      <c r="F681" s="8">
        <v>4.55</v>
      </c>
      <c r="G681" s="4">
        <v>2</v>
      </c>
      <c r="H681" s="8">
        <v>1.63</v>
      </c>
      <c r="I681" s="4">
        <v>0</v>
      </c>
    </row>
    <row r="682" spans="1:9" x14ac:dyDescent="0.2">
      <c r="A682" s="2">
        <v>4</v>
      </c>
      <c r="B682" s="1" t="s">
        <v>137</v>
      </c>
      <c r="C682" s="4">
        <v>10</v>
      </c>
      <c r="D682" s="8">
        <v>3.31</v>
      </c>
      <c r="E682" s="4">
        <v>10</v>
      </c>
      <c r="F682" s="8">
        <v>5.68</v>
      </c>
      <c r="G682" s="4">
        <v>0</v>
      </c>
      <c r="H682" s="8">
        <v>0</v>
      </c>
      <c r="I682" s="4">
        <v>0</v>
      </c>
    </row>
    <row r="683" spans="1:9" x14ac:dyDescent="0.2">
      <c r="A683" s="2">
        <v>7</v>
      </c>
      <c r="B683" s="1" t="s">
        <v>128</v>
      </c>
      <c r="C683" s="4">
        <v>9</v>
      </c>
      <c r="D683" s="8">
        <v>2.98</v>
      </c>
      <c r="E683" s="4">
        <v>6</v>
      </c>
      <c r="F683" s="8">
        <v>3.41</v>
      </c>
      <c r="G683" s="4">
        <v>3</v>
      </c>
      <c r="H683" s="8">
        <v>2.44</v>
      </c>
      <c r="I683" s="4">
        <v>0</v>
      </c>
    </row>
    <row r="684" spans="1:9" x14ac:dyDescent="0.2">
      <c r="A684" s="2">
        <v>8</v>
      </c>
      <c r="B684" s="1" t="s">
        <v>177</v>
      </c>
      <c r="C684" s="4">
        <v>7</v>
      </c>
      <c r="D684" s="8">
        <v>2.3199999999999998</v>
      </c>
      <c r="E684" s="4">
        <v>3</v>
      </c>
      <c r="F684" s="8">
        <v>1.7</v>
      </c>
      <c r="G684" s="4">
        <v>4</v>
      </c>
      <c r="H684" s="8">
        <v>3.25</v>
      </c>
      <c r="I684" s="4">
        <v>0</v>
      </c>
    </row>
    <row r="685" spans="1:9" x14ac:dyDescent="0.2">
      <c r="A685" s="2">
        <v>8</v>
      </c>
      <c r="B685" s="1" t="s">
        <v>153</v>
      </c>
      <c r="C685" s="4">
        <v>7</v>
      </c>
      <c r="D685" s="8">
        <v>2.3199999999999998</v>
      </c>
      <c r="E685" s="4">
        <v>4</v>
      </c>
      <c r="F685" s="8">
        <v>2.27</v>
      </c>
      <c r="G685" s="4">
        <v>3</v>
      </c>
      <c r="H685" s="8">
        <v>2.44</v>
      </c>
      <c r="I685" s="4">
        <v>0</v>
      </c>
    </row>
    <row r="686" spans="1:9" x14ac:dyDescent="0.2">
      <c r="A686" s="2">
        <v>10</v>
      </c>
      <c r="B686" s="1" t="s">
        <v>123</v>
      </c>
      <c r="C686" s="4">
        <v>6</v>
      </c>
      <c r="D686" s="8">
        <v>1.99</v>
      </c>
      <c r="E686" s="4">
        <v>2</v>
      </c>
      <c r="F686" s="8">
        <v>1.1399999999999999</v>
      </c>
      <c r="G686" s="4">
        <v>4</v>
      </c>
      <c r="H686" s="8">
        <v>3.25</v>
      </c>
      <c r="I686" s="4">
        <v>0</v>
      </c>
    </row>
    <row r="687" spans="1:9" x14ac:dyDescent="0.2">
      <c r="A687" s="2">
        <v>10</v>
      </c>
      <c r="B687" s="1" t="s">
        <v>158</v>
      </c>
      <c r="C687" s="4">
        <v>6</v>
      </c>
      <c r="D687" s="8">
        <v>1.99</v>
      </c>
      <c r="E687" s="4">
        <v>3</v>
      </c>
      <c r="F687" s="8">
        <v>1.7</v>
      </c>
      <c r="G687" s="4">
        <v>3</v>
      </c>
      <c r="H687" s="8">
        <v>2.44</v>
      </c>
      <c r="I687" s="4">
        <v>0</v>
      </c>
    </row>
    <row r="688" spans="1:9" x14ac:dyDescent="0.2">
      <c r="A688" s="2">
        <v>10</v>
      </c>
      <c r="B688" s="1" t="s">
        <v>140</v>
      </c>
      <c r="C688" s="4">
        <v>6</v>
      </c>
      <c r="D688" s="8">
        <v>1.99</v>
      </c>
      <c r="E688" s="4">
        <v>6</v>
      </c>
      <c r="F688" s="8">
        <v>3.41</v>
      </c>
      <c r="G688" s="4">
        <v>0</v>
      </c>
      <c r="H688" s="8">
        <v>0</v>
      </c>
      <c r="I688" s="4">
        <v>0</v>
      </c>
    </row>
    <row r="689" spans="1:9" x14ac:dyDescent="0.2">
      <c r="A689" s="2">
        <v>13</v>
      </c>
      <c r="B689" s="1" t="s">
        <v>165</v>
      </c>
      <c r="C689" s="4">
        <v>5</v>
      </c>
      <c r="D689" s="8">
        <v>1.66</v>
      </c>
      <c r="E689" s="4">
        <v>4</v>
      </c>
      <c r="F689" s="8">
        <v>2.27</v>
      </c>
      <c r="G689" s="4">
        <v>1</v>
      </c>
      <c r="H689" s="8">
        <v>0.81</v>
      </c>
      <c r="I689" s="4">
        <v>0</v>
      </c>
    </row>
    <row r="690" spans="1:9" x14ac:dyDescent="0.2">
      <c r="A690" s="2">
        <v>13</v>
      </c>
      <c r="B690" s="1" t="s">
        <v>125</v>
      </c>
      <c r="C690" s="4">
        <v>5</v>
      </c>
      <c r="D690" s="8">
        <v>1.66</v>
      </c>
      <c r="E690" s="4">
        <v>3</v>
      </c>
      <c r="F690" s="8">
        <v>1.7</v>
      </c>
      <c r="G690" s="4">
        <v>2</v>
      </c>
      <c r="H690" s="8">
        <v>1.63</v>
      </c>
      <c r="I690" s="4">
        <v>0</v>
      </c>
    </row>
    <row r="691" spans="1:9" x14ac:dyDescent="0.2">
      <c r="A691" s="2">
        <v>13</v>
      </c>
      <c r="B691" s="1" t="s">
        <v>141</v>
      </c>
      <c r="C691" s="4">
        <v>5</v>
      </c>
      <c r="D691" s="8">
        <v>1.66</v>
      </c>
      <c r="E691" s="4">
        <v>3</v>
      </c>
      <c r="F691" s="8">
        <v>1.7</v>
      </c>
      <c r="G691" s="4">
        <v>2</v>
      </c>
      <c r="H691" s="8">
        <v>1.63</v>
      </c>
      <c r="I691" s="4">
        <v>0</v>
      </c>
    </row>
    <row r="692" spans="1:9" x14ac:dyDescent="0.2">
      <c r="A692" s="2">
        <v>16</v>
      </c>
      <c r="B692" s="1" t="s">
        <v>124</v>
      </c>
      <c r="C692" s="4">
        <v>4</v>
      </c>
      <c r="D692" s="8">
        <v>1.32</v>
      </c>
      <c r="E692" s="4">
        <v>2</v>
      </c>
      <c r="F692" s="8">
        <v>1.1399999999999999</v>
      </c>
      <c r="G692" s="4">
        <v>2</v>
      </c>
      <c r="H692" s="8">
        <v>1.63</v>
      </c>
      <c r="I692" s="4">
        <v>0</v>
      </c>
    </row>
    <row r="693" spans="1:9" x14ac:dyDescent="0.2">
      <c r="A693" s="2">
        <v>16</v>
      </c>
      <c r="B693" s="1" t="s">
        <v>192</v>
      </c>
      <c r="C693" s="4">
        <v>4</v>
      </c>
      <c r="D693" s="8">
        <v>1.32</v>
      </c>
      <c r="E693" s="4">
        <v>4</v>
      </c>
      <c r="F693" s="8">
        <v>2.27</v>
      </c>
      <c r="G693" s="4">
        <v>0</v>
      </c>
      <c r="H693" s="8">
        <v>0</v>
      </c>
      <c r="I693" s="4">
        <v>0</v>
      </c>
    </row>
    <row r="694" spans="1:9" x14ac:dyDescent="0.2">
      <c r="A694" s="2">
        <v>16</v>
      </c>
      <c r="B694" s="1" t="s">
        <v>155</v>
      </c>
      <c r="C694" s="4">
        <v>4</v>
      </c>
      <c r="D694" s="8">
        <v>1.32</v>
      </c>
      <c r="E694" s="4">
        <v>4</v>
      </c>
      <c r="F694" s="8">
        <v>2.27</v>
      </c>
      <c r="G694" s="4">
        <v>0</v>
      </c>
      <c r="H694" s="8">
        <v>0</v>
      </c>
      <c r="I694" s="4">
        <v>0</v>
      </c>
    </row>
    <row r="695" spans="1:9" x14ac:dyDescent="0.2">
      <c r="A695" s="2">
        <v>16</v>
      </c>
      <c r="B695" s="1" t="s">
        <v>197</v>
      </c>
      <c r="C695" s="4">
        <v>4</v>
      </c>
      <c r="D695" s="8">
        <v>1.32</v>
      </c>
      <c r="E695" s="4">
        <v>2</v>
      </c>
      <c r="F695" s="8">
        <v>1.1399999999999999</v>
      </c>
      <c r="G695" s="4">
        <v>2</v>
      </c>
      <c r="H695" s="8">
        <v>1.63</v>
      </c>
      <c r="I695" s="4">
        <v>0</v>
      </c>
    </row>
    <row r="696" spans="1:9" x14ac:dyDescent="0.2">
      <c r="A696" s="2">
        <v>16</v>
      </c>
      <c r="B696" s="1" t="s">
        <v>134</v>
      </c>
      <c r="C696" s="4">
        <v>4</v>
      </c>
      <c r="D696" s="8">
        <v>1.32</v>
      </c>
      <c r="E696" s="4">
        <v>4</v>
      </c>
      <c r="F696" s="8">
        <v>2.27</v>
      </c>
      <c r="G696" s="4">
        <v>0</v>
      </c>
      <c r="H696" s="8">
        <v>0</v>
      </c>
      <c r="I696" s="4">
        <v>0</v>
      </c>
    </row>
    <row r="697" spans="1:9" x14ac:dyDescent="0.2">
      <c r="A697" s="2">
        <v>16</v>
      </c>
      <c r="B697" s="1" t="s">
        <v>198</v>
      </c>
      <c r="C697" s="4">
        <v>4</v>
      </c>
      <c r="D697" s="8">
        <v>1.32</v>
      </c>
      <c r="E697" s="4">
        <v>1</v>
      </c>
      <c r="F697" s="8">
        <v>0.56999999999999995</v>
      </c>
      <c r="G697" s="4">
        <v>3</v>
      </c>
      <c r="H697" s="8">
        <v>2.44</v>
      </c>
      <c r="I697" s="4">
        <v>0</v>
      </c>
    </row>
    <row r="698" spans="1:9" x14ac:dyDescent="0.2">
      <c r="A698" s="2">
        <v>16</v>
      </c>
      <c r="B698" s="1" t="s">
        <v>188</v>
      </c>
      <c r="C698" s="4">
        <v>4</v>
      </c>
      <c r="D698" s="8">
        <v>1.32</v>
      </c>
      <c r="E698" s="4">
        <v>2</v>
      </c>
      <c r="F698" s="8">
        <v>1.1399999999999999</v>
      </c>
      <c r="G698" s="4">
        <v>2</v>
      </c>
      <c r="H698" s="8">
        <v>1.63</v>
      </c>
      <c r="I698" s="4">
        <v>0</v>
      </c>
    </row>
    <row r="699" spans="1:9" x14ac:dyDescent="0.2">
      <c r="A699" s="1"/>
      <c r="C699" s="4"/>
      <c r="D699" s="8"/>
      <c r="E699" s="4"/>
      <c r="F699" s="8"/>
      <c r="G699" s="4"/>
      <c r="H699" s="8"/>
      <c r="I699" s="4"/>
    </row>
    <row r="700" spans="1:9" x14ac:dyDescent="0.2">
      <c r="A700" s="1" t="s">
        <v>30</v>
      </c>
      <c r="C700" s="4"/>
      <c r="D700" s="8"/>
      <c r="E700" s="4"/>
      <c r="F700" s="8"/>
      <c r="G700" s="4"/>
      <c r="H700" s="8"/>
      <c r="I700" s="4"/>
    </row>
    <row r="701" spans="1:9" x14ac:dyDescent="0.2">
      <c r="A701" s="2">
        <v>1</v>
      </c>
      <c r="B701" s="1" t="s">
        <v>122</v>
      </c>
      <c r="C701" s="4">
        <v>47</v>
      </c>
      <c r="D701" s="8">
        <v>8.1199999999999992</v>
      </c>
      <c r="E701" s="4">
        <v>14</v>
      </c>
      <c r="F701" s="8">
        <v>4.1399999999999997</v>
      </c>
      <c r="G701" s="4">
        <v>33</v>
      </c>
      <c r="H701" s="8">
        <v>15.35</v>
      </c>
      <c r="I701" s="4">
        <v>0</v>
      </c>
    </row>
    <row r="702" spans="1:9" x14ac:dyDescent="0.2">
      <c r="A702" s="2">
        <v>2</v>
      </c>
      <c r="B702" s="1" t="s">
        <v>138</v>
      </c>
      <c r="C702" s="4">
        <v>30</v>
      </c>
      <c r="D702" s="8">
        <v>5.18</v>
      </c>
      <c r="E702" s="4">
        <v>27</v>
      </c>
      <c r="F702" s="8">
        <v>7.99</v>
      </c>
      <c r="G702" s="4">
        <v>3</v>
      </c>
      <c r="H702" s="8">
        <v>1.4</v>
      </c>
      <c r="I702" s="4">
        <v>0</v>
      </c>
    </row>
    <row r="703" spans="1:9" x14ac:dyDescent="0.2">
      <c r="A703" s="2">
        <v>3</v>
      </c>
      <c r="B703" s="1" t="s">
        <v>137</v>
      </c>
      <c r="C703" s="4">
        <v>23</v>
      </c>
      <c r="D703" s="8">
        <v>3.97</v>
      </c>
      <c r="E703" s="4">
        <v>23</v>
      </c>
      <c r="F703" s="8">
        <v>6.8</v>
      </c>
      <c r="G703" s="4">
        <v>0</v>
      </c>
      <c r="H703" s="8">
        <v>0</v>
      </c>
      <c r="I703" s="4">
        <v>0</v>
      </c>
    </row>
    <row r="704" spans="1:9" x14ac:dyDescent="0.2">
      <c r="A704" s="2">
        <v>4</v>
      </c>
      <c r="B704" s="1" t="s">
        <v>128</v>
      </c>
      <c r="C704" s="4">
        <v>19</v>
      </c>
      <c r="D704" s="8">
        <v>3.28</v>
      </c>
      <c r="E704" s="4">
        <v>14</v>
      </c>
      <c r="F704" s="8">
        <v>4.1399999999999997</v>
      </c>
      <c r="G704" s="4">
        <v>5</v>
      </c>
      <c r="H704" s="8">
        <v>2.33</v>
      </c>
      <c r="I704" s="4">
        <v>0</v>
      </c>
    </row>
    <row r="705" spans="1:9" x14ac:dyDescent="0.2">
      <c r="A705" s="2">
        <v>5</v>
      </c>
      <c r="B705" s="1" t="s">
        <v>136</v>
      </c>
      <c r="C705" s="4">
        <v>18</v>
      </c>
      <c r="D705" s="8">
        <v>3.11</v>
      </c>
      <c r="E705" s="4">
        <v>16</v>
      </c>
      <c r="F705" s="8">
        <v>4.7300000000000004</v>
      </c>
      <c r="G705" s="4">
        <v>2</v>
      </c>
      <c r="H705" s="8">
        <v>0.93</v>
      </c>
      <c r="I705" s="4">
        <v>0</v>
      </c>
    </row>
    <row r="706" spans="1:9" x14ac:dyDescent="0.2">
      <c r="A706" s="2">
        <v>6</v>
      </c>
      <c r="B706" s="1" t="s">
        <v>184</v>
      </c>
      <c r="C706" s="4">
        <v>17</v>
      </c>
      <c r="D706" s="8">
        <v>2.94</v>
      </c>
      <c r="E706" s="4">
        <v>0</v>
      </c>
      <c r="F706" s="8">
        <v>0</v>
      </c>
      <c r="G706" s="4">
        <v>0</v>
      </c>
      <c r="H706" s="8">
        <v>0</v>
      </c>
      <c r="I706" s="4">
        <v>0</v>
      </c>
    </row>
    <row r="707" spans="1:9" x14ac:dyDescent="0.2">
      <c r="A707" s="2">
        <v>7</v>
      </c>
      <c r="B707" s="1" t="s">
        <v>124</v>
      </c>
      <c r="C707" s="4">
        <v>15</v>
      </c>
      <c r="D707" s="8">
        <v>2.59</v>
      </c>
      <c r="E707" s="4">
        <v>7</v>
      </c>
      <c r="F707" s="8">
        <v>2.0699999999999998</v>
      </c>
      <c r="G707" s="4">
        <v>8</v>
      </c>
      <c r="H707" s="8">
        <v>3.72</v>
      </c>
      <c r="I707" s="4">
        <v>0</v>
      </c>
    </row>
    <row r="708" spans="1:9" x14ac:dyDescent="0.2">
      <c r="A708" s="2">
        <v>8</v>
      </c>
      <c r="B708" s="1" t="s">
        <v>123</v>
      </c>
      <c r="C708" s="4">
        <v>14</v>
      </c>
      <c r="D708" s="8">
        <v>2.42</v>
      </c>
      <c r="E708" s="4">
        <v>4</v>
      </c>
      <c r="F708" s="8">
        <v>1.18</v>
      </c>
      <c r="G708" s="4">
        <v>10</v>
      </c>
      <c r="H708" s="8">
        <v>4.6500000000000004</v>
      </c>
      <c r="I708" s="4">
        <v>0</v>
      </c>
    </row>
    <row r="709" spans="1:9" x14ac:dyDescent="0.2">
      <c r="A709" s="2">
        <v>9</v>
      </c>
      <c r="B709" s="1" t="s">
        <v>147</v>
      </c>
      <c r="C709" s="4">
        <v>12</v>
      </c>
      <c r="D709" s="8">
        <v>2.0699999999999998</v>
      </c>
      <c r="E709" s="4">
        <v>9</v>
      </c>
      <c r="F709" s="8">
        <v>2.66</v>
      </c>
      <c r="G709" s="4">
        <v>3</v>
      </c>
      <c r="H709" s="8">
        <v>1.4</v>
      </c>
      <c r="I709" s="4">
        <v>0</v>
      </c>
    </row>
    <row r="710" spans="1:9" x14ac:dyDescent="0.2">
      <c r="A710" s="2">
        <v>9</v>
      </c>
      <c r="B710" s="1" t="s">
        <v>127</v>
      </c>
      <c r="C710" s="4">
        <v>12</v>
      </c>
      <c r="D710" s="8">
        <v>2.0699999999999998</v>
      </c>
      <c r="E710" s="4">
        <v>10</v>
      </c>
      <c r="F710" s="8">
        <v>2.96</v>
      </c>
      <c r="G710" s="4">
        <v>2</v>
      </c>
      <c r="H710" s="8">
        <v>0.93</v>
      </c>
      <c r="I710" s="4">
        <v>0</v>
      </c>
    </row>
    <row r="711" spans="1:9" x14ac:dyDescent="0.2">
      <c r="A711" s="2">
        <v>11</v>
      </c>
      <c r="B711" s="1" t="s">
        <v>139</v>
      </c>
      <c r="C711" s="4">
        <v>11</v>
      </c>
      <c r="D711" s="8">
        <v>1.9</v>
      </c>
      <c r="E711" s="4">
        <v>9</v>
      </c>
      <c r="F711" s="8">
        <v>2.66</v>
      </c>
      <c r="G711" s="4">
        <v>2</v>
      </c>
      <c r="H711" s="8">
        <v>0.93</v>
      </c>
      <c r="I711" s="4">
        <v>0</v>
      </c>
    </row>
    <row r="712" spans="1:9" x14ac:dyDescent="0.2">
      <c r="A712" s="2">
        <v>11</v>
      </c>
      <c r="B712" s="1" t="s">
        <v>140</v>
      </c>
      <c r="C712" s="4">
        <v>11</v>
      </c>
      <c r="D712" s="8">
        <v>1.9</v>
      </c>
      <c r="E712" s="4">
        <v>11</v>
      </c>
      <c r="F712" s="8">
        <v>3.25</v>
      </c>
      <c r="G712" s="4">
        <v>0</v>
      </c>
      <c r="H712" s="8">
        <v>0</v>
      </c>
      <c r="I712" s="4">
        <v>0</v>
      </c>
    </row>
    <row r="713" spans="1:9" x14ac:dyDescent="0.2">
      <c r="A713" s="2">
        <v>13</v>
      </c>
      <c r="B713" s="1" t="s">
        <v>125</v>
      </c>
      <c r="C713" s="4">
        <v>10</v>
      </c>
      <c r="D713" s="8">
        <v>1.73</v>
      </c>
      <c r="E713" s="4">
        <v>4</v>
      </c>
      <c r="F713" s="8">
        <v>1.18</v>
      </c>
      <c r="G713" s="4">
        <v>6</v>
      </c>
      <c r="H713" s="8">
        <v>2.79</v>
      </c>
      <c r="I713" s="4">
        <v>0</v>
      </c>
    </row>
    <row r="714" spans="1:9" x14ac:dyDescent="0.2">
      <c r="A714" s="2">
        <v>14</v>
      </c>
      <c r="B714" s="1" t="s">
        <v>158</v>
      </c>
      <c r="C714" s="4">
        <v>9</v>
      </c>
      <c r="D714" s="8">
        <v>1.55</v>
      </c>
      <c r="E714" s="4">
        <v>8</v>
      </c>
      <c r="F714" s="8">
        <v>2.37</v>
      </c>
      <c r="G714" s="4">
        <v>1</v>
      </c>
      <c r="H714" s="8">
        <v>0.47</v>
      </c>
      <c r="I714" s="4">
        <v>0</v>
      </c>
    </row>
    <row r="715" spans="1:9" x14ac:dyDescent="0.2">
      <c r="A715" s="2">
        <v>14</v>
      </c>
      <c r="B715" s="1" t="s">
        <v>170</v>
      </c>
      <c r="C715" s="4">
        <v>9</v>
      </c>
      <c r="D715" s="8">
        <v>1.55</v>
      </c>
      <c r="E715" s="4">
        <v>4</v>
      </c>
      <c r="F715" s="8">
        <v>1.18</v>
      </c>
      <c r="G715" s="4">
        <v>5</v>
      </c>
      <c r="H715" s="8">
        <v>2.33</v>
      </c>
      <c r="I715" s="4">
        <v>0</v>
      </c>
    </row>
    <row r="716" spans="1:9" x14ac:dyDescent="0.2">
      <c r="A716" s="2">
        <v>14</v>
      </c>
      <c r="B716" s="1" t="s">
        <v>130</v>
      </c>
      <c r="C716" s="4">
        <v>9</v>
      </c>
      <c r="D716" s="8">
        <v>1.55</v>
      </c>
      <c r="E716" s="4">
        <v>9</v>
      </c>
      <c r="F716" s="8">
        <v>2.66</v>
      </c>
      <c r="G716" s="4">
        <v>0</v>
      </c>
      <c r="H716" s="8">
        <v>0</v>
      </c>
      <c r="I716" s="4">
        <v>0</v>
      </c>
    </row>
    <row r="717" spans="1:9" x14ac:dyDescent="0.2">
      <c r="A717" s="2">
        <v>14</v>
      </c>
      <c r="B717" s="1" t="s">
        <v>133</v>
      </c>
      <c r="C717" s="4">
        <v>9</v>
      </c>
      <c r="D717" s="8">
        <v>1.55</v>
      </c>
      <c r="E717" s="4">
        <v>3</v>
      </c>
      <c r="F717" s="8">
        <v>0.89</v>
      </c>
      <c r="G717" s="4">
        <v>5</v>
      </c>
      <c r="H717" s="8">
        <v>2.33</v>
      </c>
      <c r="I717" s="4">
        <v>0</v>
      </c>
    </row>
    <row r="718" spans="1:9" x14ac:dyDescent="0.2">
      <c r="A718" s="2">
        <v>14</v>
      </c>
      <c r="B718" s="1" t="s">
        <v>167</v>
      </c>
      <c r="C718" s="4">
        <v>9</v>
      </c>
      <c r="D718" s="8">
        <v>1.55</v>
      </c>
      <c r="E718" s="4">
        <v>8</v>
      </c>
      <c r="F718" s="8">
        <v>2.37</v>
      </c>
      <c r="G718" s="4">
        <v>1</v>
      </c>
      <c r="H718" s="8">
        <v>0.47</v>
      </c>
      <c r="I718" s="4">
        <v>0</v>
      </c>
    </row>
    <row r="719" spans="1:9" x14ac:dyDescent="0.2">
      <c r="A719" s="2">
        <v>19</v>
      </c>
      <c r="B719" s="1" t="s">
        <v>183</v>
      </c>
      <c r="C719" s="4">
        <v>8</v>
      </c>
      <c r="D719" s="8">
        <v>1.38</v>
      </c>
      <c r="E719" s="4">
        <v>5</v>
      </c>
      <c r="F719" s="8">
        <v>1.48</v>
      </c>
      <c r="G719" s="4">
        <v>3</v>
      </c>
      <c r="H719" s="8">
        <v>1.4</v>
      </c>
      <c r="I719" s="4">
        <v>0</v>
      </c>
    </row>
    <row r="720" spans="1:9" x14ac:dyDescent="0.2">
      <c r="A720" s="2">
        <v>19</v>
      </c>
      <c r="B720" s="1" t="s">
        <v>129</v>
      </c>
      <c r="C720" s="4">
        <v>8</v>
      </c>
      <c r="D720" s="8">
        <v>1.38</v>
      </c>
      <c r="E720" s="4">
        <v>4</v>
      </c>
      <c r="F720" s="8">
        <v>1.18</v>
      </c>
      <c r="G720" s="4">
        <v>4</v>
      </c>
      <c r="H720" s="8">
        <v>1.86</v>
      </c>
      <c r="I720" s="4">
        <v>0</v>
      </c>
    </row>
    <row r="721" spans="1:9" x14ac:dyDescent="0.2">
      <c r="A721" s="2">
        <v>19</v>
      </c>
      <c r="B721" s="1" t="s">
        <v>134</v>
      </c>
      <c r="C721" s="4">
        <v>8</v>
      </c>
      <c r="D721" s="8">
        <v>1.38</v>
      </c>
      <c r="E721" s="4">
        <v>5</v>
      </c>
      <c r="F721" s="8">
        <v>1.48</v>
      </c>
      <c r="G721" s="4">
        <v>3</v>
      </c>
      <c r="H721" s="8">
        <v>1.4</v>
      </c>
      <c r="I721" s="4">
        <v>0</v>
      </c>
    </row>
    <row r="722" spans="1:9" x14ac:dyDescent="0.2">
      <c r="A722" s="1"/>
      <c r="C722" s="4"/>
      <c r="D722" s="8"/>
      <c r="E722" s="4"/>
      <c r="F722" s="8"/>
      <c r="G722" s="4"/>
      <c r="H722" s="8"/>
      <c r="I722" s="4"/>
    </row>
    <row r="723" spans="1:9" x14ac:dyDescent="0.2">
      <c r="A723" s="1" t="s">
        <v>31</v>
      </c>
      <c r="C723" s="4"/>
      <c r="D723" s="8"/>
      <c r="E723" s="4"/>
      <c r="F723" s="8"/>
      <c r="G723" s="4"/>
      <c r="H723" s="8"/>
      <c r="I723" s="4"/>
    </row>
    <row r="724" spans="1:9" x14ac:dyDescent="0.2">
      <c r="A724" s="2">
        <v>1</v>
      </c>
      <c r="B724" s="1" t="s">
        <v>128</v>
      </c>
      <c r="C724" s="4">
        <v>23</v>
      </c>
      <c r="D724" s="8">
        <v>5.12</v>
      </c>
      <c r="E724" s="4">
        <v>16</v>
      </c>
      <c r="F724" s="8">
        <v>6.48</v>
      </c>
      <c r="G724" s="4">
        <v>7</v>
      </c>
      <c r="H724" s="8">
        <v>3.76</v>
      </c>
      <c r="I724" s="4">
        <v>0</v>
      </c>
    </row>
    <row r="725" spans="1:9" x14ac:dyDescent="0.2">
      <c r="A725" s="2">
        <v>2</v>
      </c>
      <c r="B725" s="1" t="s">
        <v>138</v>
      </c>
      <c r="C725" s="4">
        <v>20</v>
      </c>
      <c r="D725" s="8">
        <v>4.45</v>
      </c>
      <c r="E725" s="4">
        <v>17</v>
      </c>
      <c r="F725" s="8">
        <v>6.88</v>
      </c>
      <c r="G725" s="4">
        <v>3</v>
      </c>
      <c r="H725" s="8">
        <v>1.61</v>
      </c>
      <c r="I725" s="4">
        <v>0</v>
      </c>
    </row>
    <row r="726" spans="1:9" x14ac:dyDescent="0.2">
      <c r="A726" s="2">
        <v>2</v>
      </c>
      <c r="B726" s="1" t="s">
        <v>139</v>
      </c>
      <c r="C726" s="4">
        <v>20</v>
      </c>
      <c r="D726" s="8">
        <v>4.45</v>
      </c>
      <c r="E726" s="4">
        <v>19</v>
      </c>
      <c r="F726" s="8">
        <v>7.69</v>
      </c>
      <c r="G726" s="4">
        <v>1</v>
      </c>
      <c r="H726" s="8">
        <v>0.54</v>
      </c>
      <c r="I726" s="4">
        <v>0</v>
      </c>
    </row>
    <row r="727" spans="1:9" x14ac:dyDescent="0.2">
      <c r="A727" s="2">
        <v>4</v>
      </c>
      <c r="B727" s="1" t="s">
        <v>136</v>
      </c>
      <c r="C727" s="4">
        <v>18</v>
      </c>
      <c r="D727" s="8">
        <v>4.01</v>
      </c>
      <c r="E727" s="4">
        <v>16</v>
      </c>
      <c r="F727" s="8">
        <v>6.48</v>
      </c>
      <c r="G727" s="4">
        <v>2</v>
      </c>
      <c r="H727" s="8">
        <v>1.08</v>
      </c>
      <c r="I727" s="4">
        <v>0</v>
      </c>
    </row>
    <row r="728" spans="1:9" x14ac:dyDescent="0.2">
      <c r="A728" s="2">
        <v>5</v>
      </c>
      <c r="B728" s="1" t="s">
        <v>123</v>
      </c>
      <c r="C728" s="4">
        <v>14</v>
      </c>
      <c r="D728" s="8">
        <v>3.12</v>
      </c>
      <c r="E728" s="4">
        <v>4</v>
      </c>
      <c r="F728" s="8">
        <v>1.62</v>
      </c>
      <c r="G728" s="4">
        <v>10</v>
      </c>
      <c r="H728" s="8">
        <v>5.38</v>
      </c>
      <c r="I728" s="4">
        <v>0</v>
      </c>
    </row>
    <row r="729" spans="1:9" x14ac:dyDescent="0.2">
      <c r="A729" s="2">
        <v>5</v>
      </c>
      <c r="B729" s="1" t="s">
        <v>137</v>
      </c>
      <c r="C729" s="4">
        <v>14</v>
      </c>
      <c r="D729" s="8">
        <v>3.12</v>
      </c>
      <c r="E729" s="4">
        <v>14</v>
      </c>
      <c r="F729" s="8">
        <v>5.67</v>
      </c>
      <c r="G729" s="4">
        <v>0</v>
      </c>
      <c r="H729" s="8">
        <v>0</v>
      </c>
      <c r="I729" s="4">
        <v>0</v>
      </c>
    </row>
    <row r="730" spans="1:9" x14ac:dyDescent="0.2">
      <c r="A730" s="2">
        <v>7</v>
      </c>
      <c r="B730" s="1" t="s">
        <v>140</v>
      </c>
      <c r="C730" s="4">
        <v>13</v>
      </c>
      <c r="D730" s="8">
        <v>2.9</v>
      </c>
      <c r="E730" s="4">
        <v>12</v>
      </c>
      <c r="F730" s="8">
        <v>4.8600000000000003</v>
      </c>
      <c r="G730" s="4">
        <v>1</v>
      </c>
      <c r="H730" s="8">
        <v>0.54</v>
      </c>
      <c r="I730" s="4">
        <v>0</v>
      </c>
    </row>
    <row r="731" spans="1:9" x14ac:dyDescent="0.2">
      <c r="A731" s="2">
        <v>8</v>
      </c>
      <c r="B731" s="1" t="s">
        <v>122</v>
      </c>
      <c r="C731" s="4">
        <v>11</v>
      </c>
      <c r="D731" s="8">
        <v>2.4500000000000002</v>
      </c>
      <c r="E731" s="4">
        <v>2</v>
      </c>
      <c r="F731" s="8">
        <v>0.81</v>
      </c>
      <c r="G731" s="4">
        <v>9</v>
      </c>
      <c r="H731" s="8">
        <v>4.84</v>
      </c>
      <c r="I731" s="4">
        <v>0</v>
      </c>
    </row>
    <row r="732" spans="1:9" x14ac:dyDescent="0.2">
      <c r="A732" s="2">
        <v>8</v>
      </c>
      <c r="B732" s="1" t="s">
        <v>183</v>
      </c>
      <c r="C732" s="4">
        <v>11</v>
      </c>
      <c r="D732" s="8">
        <v>2.4500000000000002</v>
      </c>
      <c r="E732" s="4">
        <v>8</v>
      </c>
      <c r="F732" s="8">
        <v>3.24</v>
      </c>
      <c r="G732" s="4">
        <v>3</v>
      </c>
      <c r="H732" s="8">
        <v>1.61</v>
      </c>
      <c r="I732" s="4">
        <v>0</v>
      </c>
    </row>
    <row r="733" spans="1:9" x14ac:dyDescent="0.2">
      <c r="A733" s="2">
        <v>8</v>
      </c>
      <c r="B733" s="1" t="s">
        <v>145</v>
      </c>
      <c r="C733" s="4">
        <v>11</v>
      </c>
      <c r="D733" s="8">
        <v>2.4500000000000002</v>
      </c>
      <c r="E733" s="4">
        <v>9</v>
      </c>
      <c r="F733" s="8">
        <v>3.64</v>
      </c>
      <c r="G733" s="4">
        <v>2</v>
      </c>
      <c r="H733" s="8">
        <v>1.08</v>
      </c>
      <c r="I733" s="4">
        <v>0</v>
      </c>
    </row>
    <row r="734" spans="1:9" x14ac:dyDescent="0.2">
      <c r="A734" s="2">
        <v>11</v>
      </c>
      <c r="B734" s="1" t="s">
        <v>124</v>
      </c>
      <c r="C734" s="4">
        <v>9</v>
      </c>
      <c r="D734" s="8">
        <v>2</v>
      </c>
      <c r="E734" s="4">
        <v>3</v>
      </c>
      <c r="F734" s="8">
        <v>1.21</v>
      </c>
      <c r="G734" s="4">
        <v>6</v>
      </c>
      <c r="H734" s="8">
        <v>3.23</v>
      </c>
      <c r="I734" s="4">
        <v>0</v>
      </c>
    </row>
    <row r="735" spans="1:9" x14ac:dyDescent="0.2">
      <c r="A735" s="2">
        <v>11</v>
      </c>
      <c r="B735" s="1" t="s">
        <v>125</v>
      </c>
      <c r="C735" s="4">
        <v>9</v>
      </c>
      <c r="D735" s="8">
        <v>2</v>
      </c>
      <c r="E735" s="4">
        <v>6</v>
      </c>
      <c r="F735" s="8">
        <v>2.4300000000000002</v>
      </c>
      <c r="G735" s="4">
        <v>3</v>
      </c>
      <c r="H735" s="8">
        <v>1.61</v>
      </c>
      <c r="I735" s="4">
        <v>0</v>
      </c>
    </row>
    <row r="736" spans="1:9" x14ac:dyDescent="0.2">
      <c r="A736" s="2">
        <v>13</v>
      </c>
      <c r="B736" s="1" t="s">
        <v>165</v>
      </c>
      <c r="C736" s="4">
        <v>8</v>
      </c>
      <c r="D736" s="8">
        <v>1.78</v>
      </c>
      <c r="E736" s="4">
        <v>4</v>
      </c>
      <c r="F736" s="8">
        <v>1.62</v>
      </c>
      <c r="G736" s="4">
        <v>4</v>
      </c>
      <c r="H736" s="8">
        <v>2.15</v>
      </c>
      <c r="I736" s="4">
        <v>0</v>
      </c>
    </row>
    <row r="737" spans="1:9" x14ac:dyDescent="0.2">
      <c r="A737" s="2">
        <v>13</v>
      </c>
      <c r="B737" s="1" t="s">
        <v>130</v>
      </c>
      <c r="C737" s="4">
        <v>8</v>
      </c>
      <c r="D737" s="8">
        <v>1.78</v>
      </c>
      <c r="E737" s="4">
        <v>5</v>
      </c>
      <c r="F737" s="8">
        <v>2.02</v>
      </c>
      <c r="G737" s="4">
        <v>3</v>
      </c>
      <c r="H737" s="8">
        <v>1.61</v>
      </c>
      <c r="I737" s="4">
        <v>0</v>
      </c>
    </row>
    <row r="738" spans="1:9" x14ac:dyDescent="0.2">
      <c r="A738" s="2">
        <v>13</v>
      </c>
      <c r="B738" s="1" t="s">
        <v>141</v>
      </c>
      <c r="C738" s="4">
        <v>8</v>
      </c>
      <c r="D738" s="8">
        <v>1.78</v>
      </c>
      <c r="E738" s="4">
        <v>7</v>
      </c>
      <c r="F738" s="8">
        <v>2.83</v>
      </c>
      <c r="G738" s="4">
        <v>1</v>
      </c>
      <c r="H738" s="8">
        <v>0.54</v>
      </c>
      <c r="I738" s="4">
        <v>0</v>
      </c>
    </row>
    <row r="739" spans="1:9" x14ac:dyDescent="0.2">
      <c r="A739" s="2">
        <v>16</v>
      </c>
      <c r="B739" s="1" t="s">
        <v>142</v>
      </c>
      <c r="C739" s="4">
        <v>7</v>
      </c>
      <c r="D739" s="8">
        <v>1.56</v>
      </c>
      <c r="E739" s="4">
        <v>4</v>
      </c>
      <c r="F739" s="8">
        <v>1.62</v>
      </c>
      <c r="G739" s="4">
        <v>3</v>
      </c>
      <c r="H739" s="8">
        <v>1.61</v>
      </c>
      <c r="I739" s="4">
        <v>0</v>
      </c>
    </row>
    <row r="740" spans="1:9" x14ac:dyDescent="0.2">
      <c r="A740" s="2">
        <v>16</v>
      </c>
      <c r="B740" s="1" t="s">
        <v>163</v>
      </c>
      <c r="C740" s="4">
        <v>7</v>
      </c>
      <c r="D740" s="8">
        <v>1.56</v>
      </c>
      <c r="E740" s="4">
        <v>6</v>
      </c>
      <c r="F740" s="8">
        <v>2.4300000000000002</v>
      </c>
      <c r="G740" s="4">
        <v>1</v>
      </c>
      <c r="H740" s="8">
        <v>0.54</v>
      </c>
      <c r="I740" s="4">
        <v>0</v>
      </c>
    </row>
    <row r="741" spans="1:9" x14ac:dyDescent="0.2">
      <c r="A741" s="2">
        <v>18</v>
      </c>
      <c r="B741" s="1" t="s">
        <v>158</v>
      </c>
      <c r="C741" s="4">
        <v>6</v>
      </c>
      <c r="D741" s="8">
        <v>1.34</v>
      </c>
      <c r="E741" s="4">
        <v>4</v>
      </c>
      <c r="F741" s="8">
        <v>1.62</v>
      </c>
      <c r="G741" s="4">
        <v>2</v>
      </c>
      <c r="H741" s="8">
        <v>1.08</v>
      </c>
      <c r="I741" s="4">
        <v>0</v>
      </c>
    </row>
    <row r="742" spans="1:9" x14ac:dyDescent="0.2">
      <c r="A742" s="2">
        <v>18</v>
      </c>
      <c r="B742" s="1" t="s">
        <v>157</v>
      </c>
      <c r="C742" s="4">
        <v>6</v>
      </c>
      <c r="D742" s="8">
        <v>1.34</v>
      </c>
      <c r="E742" s="4">
        <v>3</v>
      </c>
      <c r="F742" s="8">
        <v>1.21</v>
      </c>
      <c r="G742" s="4">
        <v>3</v>
      </c>
      <c r="H742" s="8">
        <v>1.61</v>
      </c>
      <c r="I742" s="4">
        <v>0</v>
      </c>
    </row>
    <row r="743" spans="1:9" x14ac:dyDescent="0.2">
      <c r="A743" s="2">
        <v>20</v>
      </c>
      <c r="B743" s="1" t="s">
        <v>147</v>
      </c>
      <c r="C743" s="4">
        <v>5</v>
      </c>
      <c r="D743" s="8">
        <v>1.1100000000000001</v>
      </c>
      <c r="E743" s="4">
        <v>3</v>
      </c>
      <c r="F743" s="8">
        <v>1.21</v>
      </c>
      <c r="G743" s="4">
        <v>2</v>
      </c>
      <c r="H743" s="8">
        <v>1.08</v>
      </c>
      <c r="I743" s="4">
        <v>0</v>
      </c>
    </row>
    <row r="744" spans="1:9" x14ac:dyDescent="0.2">
      <c r="A744" s="2">
        <v>20</v>
      </c>
      <c r="B744" s="1" t="s">
        <v>189</v>
      </c>
      <c r="C744" s="4">
        <v>5</v>
      </c>
      <c r="D744" s="8">
        <v>1.1100000000000001</v>
      </c>
      <c r="E744" s="4">
        <v>2</v>
      </c>
      <c r="F744" s="8">
        <v>0.81</v>
      </c>
      <c r="G744" s="4">
        <v>3</v>
      </c>
      <c r="H744" s="8">
        <v>1.61</v>
      </c>
      <c r="I744" s="4">
        <v>0</v>
      </c>
    </row>
    <row r="745" spans="1:9" x14ac:dyDescent="0.2">
      <c r="A745" s="2">
        <v>20</v>
      </c>
      <c r="B745" s="1" t="s">
        <v>164</v>
      </c>
      <c r="C745" s="4">
        <v>5</v>
      </c>
      <c r="D745" s="8">
        <v>1.1100000000000001</v>
      </c>
      <c r="E745" s="4">
        <v>2</v>
      </c>
      <c r="F745" s="8">
        <v>0.81</v>
      </c>
      <c r="G745" s="4">
        <v>3</v>
      </c>
      <c r="H745" s="8">
        <v>1.61</v>
      </c>
      <c r="I745" s="4">
        <v>0</v>
      </c>
    </row>
    <row r="746" spans="1:9" x14ac:dyDescent="0.2">
      <c r="A746" s="2">
        <v>20</v>
      </c>
      <c r="B746" s="1" t="s">
        <v>135</v>
      </c>
      <c r="C746" s="4">
        <v>5</v>
      </c>
      <c r="D746" s="8">
        <v>1.1100000000000001</v>
      </c>
      <c r="E746" s="4">
        <v>5</v>
      </c>
      <c r="F746" s="8">
        <v>2.02</v>
      </c>
      <c r="G746" s="4">
        <v>0</v>
      </c>
      <c r="H746" s="8">
        <v>0</v>
      </c>
      <c r="I746" s="4">
        <v>0</v>
      </c>
    </row>
    <row r="747" spans="1:9" x14ac:dyDescent="0.2">
      <c r="A747" s="2">
        <v>20</v>
      </c>
      <c r="B747" s="1" t="s">
        <v>144</v>
      </c>
      <c r="C747" s="4">
        <v>5</v>
      </c>
      <c r="D747" s="8">
        <v>1.1100000000000001</v>
      </c>
      <c r="E747" s="4">
        <v>3</v>
      </c>
      <c r="F747" s="8">
        <v>1.21</v>
      </c>
      <c r="G747" s="4">
        <v>2</v>
      </c>
      <c r="H747" s="8">
        <v>1.08</v>
      </c>
      <c r="I747" s="4">
        <v>0</v>
      </c>
    </row>
    <row r="748" spans="1:9" x14ac:dyDescent="0.2">
      <c r="A748" s="1"/>
      <c r="C748" s="4"/>
      <c r="D748" s="8"/>
      <c r="E748" s="4"/>
      <c r="F748" s="8"/>
      <c r="G748" s="4"/>
      <c r="H748" s="8"/>
      <c r="I748" s="4"/>
    </row>
    <row r="749" spans="1:9" x14ac:dyDescent="0.2">
      <c r="A749" s="1" t="s">
        <v>32</v>
      </c>
      <c r="C749" s="4"/>
      <c r="D749" s="8"/>
      <c r="E749" s="4"/>
      <c r="F749" s="8"/>
      <c r="G749" s="4"/>
      <c r="H749" s="8"/>
      <c r="I749" s="4"/>
    </row>
    <row r="750" spans="1:9" x14ac:dyDescent="0.2">
      <c r="A750" s="2">
        <v>1</v>
      </c>
      <c r="B750" s="1" t="s">
        <v>138</v>
      </c>
      <c r="C750" s="4">
        <v>26</v>
      </c>
      <c r="D750" s="8">
        <v>4.5599999999999996</v>
      </c>
      <c r="E750" s="4">
        <v>25</v>
      </c>
      <c r="F750" s="8">
        <v>7.65</v>
      </c>
      <c r="G750" s="4">
        <v>1</v>
      </c>
      <c r="H750" s="8">
        <v>0.45</v>
      </c>
      <c r="I750" s="4">
        <v>0</v>
      </c>
    </row>
    <row r="751" spans="1:9" x14ac:dyDescent="0.2">
      <c r="A751" s="2">
        <v>2</v>
      </c>
      <c r="B751" s="1" t="s">
        <v>139</v>
      </c>
      <c r="C751" s="4">
        <v>24</v>
      </c>
      <c r="D751" s="8">
        <v>4.21</v>
      </c>
      <c r="E751" s="4">
        <v>19</v>
      </c>
      <c r="F751" s="8">
        <v>5.81</v>
      </c>
      <c r="G751" s="4">
        <v>5</v>
      </c>
      <c r="H751" s="8">
        <v>2.23</v>
      </c>
      <c r="I751" s="4">
        <v>0</v>
      </c>
    </row>
    <row r="752" spans="1:9" x14ac:dyDescent="0.2">
      <c r="A752" s="2">
        <v>3</v>
      </c>
      <c r="B752" s="1" t="s">
        <v>122</v>
      </c>
      <c r="C752" s="4">
        <v>21</v>
      </c>
      <c r="D752" s="8">
        <v>3.68</v>
      </c>
      <c r="E752" s="4">
        <v>5</v>
      </c>
      <c r="F752" s="8">
        <v>1.53</v>
      </c>
      <c r="G752" s="4">
        <v>16</v>
      </c>
      <c r="H752" s="8">
        <v>7.14</v>
      </c>
      <c r="I752" s="4">
        <v>0</v>
      </c>
    </row>
    <row r="753" spans="1:9" x14ac:dyDescent="0.2">
      <c r="A753" s="2">
        <v>4</v>
      </c>
      <c r="B753" s="1" t="s">
        <v>128</v>
      </c>
      <c r="C753" s="4">
        <v>20</v>
      </c>
      <c r="D753" s="8">
        <v>3.51</v>
      </c>
      <c r="E753" s="4">
        <v>13</v>
      </c>
      <c r="F753" s="8">
        <v>3.98</v>
      </c>
      <c r="G753" s="4">
        <v>7</v>
      </c>
      <c r="H753" s="8">
        <v>3.13</v>
      </c>
      <c r="I753" s="4">
        <v>0</v>
      </c>
    </row>
    <row r="754" spans="1:9" x14ac:dyDescent="0.2">
      <c r="A754" s="2">
        <v>4</v>
      </c>
      <c r="B754" s="1" t="s">
        <v>137</v>
      </c>
      <c r="C754" s="4">
        <v>20</v>
      </c>
      <c r="D754" s="8">
        <v>3.51</v>
      </c>
      <c r="E754" s="4">
        <v>20</v>
      </c>
      <c r="F754" s="8">
        <v>6.12</v>
      </c>
      <c r="G754" s="4">
        <v>0</v>
      </c>
      <c r="H754" s="8">
        <v>0</v>
      </c>
      <c r="I754" s="4">
        <v>0</v>
      </c>
    </row>
    <row r="755" spans="1:9" x14ac:dyDescent="0.2">
      <c r="A755" s="2">
        <v>6</v>
      </c>
      <c r="B755" s="1" t="s">
        <v>136</v>
      </c>
      <c r="C755" s="4">
        <v>15</v>
      </c>
      <c r="D755" s="8">
        <v>2.63</v>
      </c>
      <c r="E755" s="4">
        <v>14</v>
      </c>
      <c r="F755" s="8">
        <v>4.28</v>
      </c>
      <c r="G755" s="4">
        <v>1</v>
      </c>
      <c r="H755" s="8">
        <v>0.45</v>
      </c>
      <c r="I755" s="4">
        <v>0</v>
      </c>
    </row>
    <row r="756" spans="1:9" x14ac:dyDescent="0.2">
      <c r="A756" s="2">
        <v>7</v>
      </c>
      <c r="B756" s="1" t="s">
        <v>153</v>
      </c>
      <c r="C756" s="4">
        <v>13</v>
      </c>
      <c r="D756" s="8">
        <v>2.2799999999999998</v>
      </c>
      <c r="E756" s="4">
        <v>3</v>
      </c>
      <c r="F756" s="8">
        <v>0.92</v>
      </c>
      <c r="G756" s="4">
        <v>10</v>
      </c>
      <c r="H756" s="8">
        <v>4.46</v>
      </c>
      <c r="I756" s="4">
        <v>0</v>
      </c>
    </row>
    <row r="757" spans="1:9" x14ac:dyDescent="0.2">
      <c r="A757" s="2">
        <v>7</v>
      </c>
      <c r="B757" s="1" t="s">
        <v>145</v>
      </c>
      <c r="C757" s="4">
        <v>13</v>
      </c>
      <c r="D757" s="8">
        <v>2.2799999999999998</v>
      </c>
      <c r="E757" s="4">
        <v>7</v>
      </c>
      <c r="F757" s="8">
        <v>2.14</v>
      </c>
      <c r="G757" s="4">
        <v>6</v>
      </c>
      <c r="H757" s="8">
        <v>2.68</v>
      </c>
      <c r="I757" s="4">
        <v>0</v>
      </c>
    </row>
    <row r="758" spans="1:9" x14ac:dyDescent="0.2">
      <c r="A758" s="2">
        <v>9</v>
      </c>
      <c r="B758" s="1" t="s">
        <v>123</v>
      </c>
      <c r="C758" s="4">
        <v>12</v>
      </c>
      <c r="D758" s="8">
        <v>2.11</v>
      </c>
      <c r="E758" s="4">
        <v>4</v>
      </c>
      <c r="F758" s="8">
        <v>1.22</v>
      </c>
      <c r="G758" s="4">
        <v>8</v>
      </c>
      <c r="H758" s="8">
        <v>3.57</v>
      </c>
      <c r="I758" s="4">
        <v>0</v>
      </c>
    </row>
    <row r="759" spans="1:9" x14ac:dyDescent="0.2">
      <c r="A759" s="2">
        <v>9</v>
      </c>
      <c r="B759" s="1" t="s">
        <v>140</v>
      </c>
      <c r="C759" s="4">
        <v>12</v>
      </c>
      <c r="D759" s="8">
        <v>2.11</v>
      </c>
      <c r="E759" s="4">
        <v>11</v>
      </c>
      <c r="F759" s="8">
        <v>3.36</v>
      </c>
      <c r="G759" s="4">
        <v>1</v>
      </c>
      <c r="H759" s="8">
        <v>0.45</v>
      </c>
      <c r="I759" s="4">
        <v>0</v>
      </c>
    </row>
    <row r="760" spans="1:9" x14ac:dyDescent="0.2">
      <c r="A760" s="2">
        <v>11</v>
      </c>
      <c r="B760" s="1" t="s">
        <v>124</v>
      </c>
      <c r="C760" s="4">
        <v>11</v>
      </c>
      <c r="D760" s="8">
        <v>1.93</v>
      </c>
      <c r="E760" s="4">
        <v>8</v>
      </c>
      <c r="F760" s="8">
        <v>2.4500000000000002</v>
      </c>
      <c r="G760" s="4">
        <v>3</v>
      </c>
      <c r="H760" s="8">
        <v>1.34</v>
      </c>
      <c r="I760" s="4">
        <v>0</v>
      </c>
    </row>
    <row r="761" spans="1:9" x14ac:dyDescent="0.2">
      <c r="A761" s="2">
        <v>11</v>
      </c>
      <c r="B761" s="1" t="s">
        <v>132</v>
      </c>
      <c r="C761" s="4">
        <v>11</v>
      </c>
      <c r="D761" s="8">
        <v>1.93</v>
      </c>
      <c r="E761" s="4">
        <v>9</v>
      </c>
      <c r="F761" s="8">
        <v>2.75</v>
      </c>
      <c r="G761" s="4">
        <v>2</v>
      </c>
      <c r="H761" s="8">
        <v>0.89</v>
      </c>
      <c r="I761" s="4">
        <v>0</v>
      </c>
    </row>
    <row r="762" spans="1:9" x14ac:dyDescent="0.2">
      <c r="A762" s="2">
        <v>13</v>
      </c>
      <c r="B762" s="1" t="s">
        <v>147</v>
      </c>
      <c r="C762" s="4">
        <v>10</v>
      </c>
      <c r="D762" s="8">
        <v>1.75</v>
      </c>
      <c r="E762" s="4">
        <v>9</v>
      </c>
      <c r="F762" s="8">
        <v>2.75</v>
      </c>
      <c r="G762" s="4">
        <v>1</v>
      </c>
      <c r="H762" s="8">
        <v>0.45</v>
      </c>
      <c r="I762" s="4">
        <v>0</v>
      </c>
    </row>
    <row r="763" spans="1:9" x14ac:dyDescent="0.2">
      <c r="A763" s="2">
        <v>13</v>
      </c>
      <c r="B763" s="1" t="s">
        <v>134</v>
      </c>
      <c r="C763" s="4">
        <v>10</v>
      </c>
      <c r="D763" s="8">
        <v>1.75</v>
      </c>
      <c r="E763" s="4">
        <v>9</v>
      </c>
      <c r="F763" s="8">
        <v>2.75</v>
      </c>
      <c r="G763" s="4">
        <v>1</v>
      </c>
      <c r="H763" s="8">
        <v>0.45</v>
      </c>
      <c r="I763" s="4">
        <v>0</v>
      </c>
    </row>
    <row r="764" spans="1:9" x14ac:dyDescent="0.2">
      <c r="A764" s="2">
        <v>15</v>
      </c>
      <c r="B764" s="1" t="s">
        <v>125</v>
      </c>
      <c r="C764" s="4">
        <v>9</v>
      </c>
      <c r="D764" s="8">
        <v>1.58</v>
      </c>
      <c r="E764" s="4">
        <v>4</v>
      </c>
      <c r="F764" s="8">
        <v>1.22</v>
      </c>
      <c r="G764" s="4">
        <v>5</v>
      </c>
      <c r="H764" s="8">
        <v>2.23</v>
      </c>
      <c r="I764" s="4">
        <v>0</v>
      </c>
    </row>
    <row r="765" spans="1:9" x14ac:dyDescent="0.2">
      <c r="A765" s="2">
        <v>15</v>
      </c>
      <c r="B765" s="1" t="s">
        <v>133</v>
      </c>
      <c r="C765" s="4">
        <v>9</v>
      </c>
      <c r="D765" s="8">
        <v>1.58</v>
      </c>
      <c r="E765" s="4">
        <v>7</v>
      </c>
      <c r="F765" s="8">
        <v>2.14</v>
      </c>
      <c r="G765" s="4">
        <v>2</v>
      </c>
      <c r="H765" s="8">
        <v>0.89</v>
      </c>
      <c r="I765" s="4">
        <v>0</v>
      </c>
    </row>
    <row r="766" spans="1:9" x14ac:dyDescent="0.2">
      <c r="A766" s="2">
        <v>15</v>
      </c>
      <c r="B766" s="1" t="s">
        <v>199</v>
      </c>
      <c r="C766" s="4">
        <v>9</v>
      </c>
      <c r="D766" s="8">
        <v>1.58</v>
      </c>
      <c r="E766" s="4">
        <v>0</v>
      </c>
      <c r="F766" s="8">
        <v>0</v>
      </c>
      <c r="G766" s="4">
        <v>2</v>
      </c>
      <c r="H766" s="8">
        <v>0.89</v>
      </c>
      <c r="I766" s="4">
        <v>0</v>
      </c>
    </row>
    <row r="767" spans="1:9" x14ac:dyDescent="0.2">
      <c r="A767" s="2">
        <v>15</v>
      </c>
      <c r="B767" s="1" t="s">
        <v>141</v>
      </c>
      <c r="C767" s="4">
        <v>9</v>
      </c>
      <c r="D767" s="8">
        <v>1.58</v>
      </c>
      <c r="E767" s="4">
        <v>7</v>
      </c>
      <c r="F767" s="8">
        <v>2.14</v>
      </c>
      <c r="G767" s="4">
        <v>2</v>
      </c>
      <c r="H767" s="8">
        <v>0.89</v>
      </c>
      <c r="I767" s="4">
        <v>0</v>
      </c>
    </row>
    <row r="768" spans="1:9" x14ac:dyDescent="0.2">
      <c r="A768" s="2">
        <v>19</v>
      </c>
      <c r="B768" s="1" t="s">
        <v>129</v>
      </c>
      <c r="C768" s="4">
        <v>8</v>
      </c>
      <c r="D768" s="8">
        <v>1.4</v>
      </c>
      <c r="E768" s="4">
        <v>6</v>
      </c>
      <c r="F768" s="8">
        <v>1.83</v>
      </c>
      <c r="G768" s="4">
        <v>2</v>
      </c>
      <c r="H768" s="8">
        <v>0.89</v>
      </c>
      <c r="I768" s="4">
        <v>0</v>
      </c>
    </row>
    <row r="769" spans="1:9" x14ac:dyDescent="0.2">
      <c r="A769" s="2">
        <v>19</v>
      </c>
      <c r="B769" s="1" t="s">
        <v>130</v>
      </c>
      <c r="C769" s="4">
        <v>8</v>
      </c>
      <c r="D769" s="8">
        <v>1.4</v>
      </c>
      <c r="E769" s="4">
        <v>6</v>
      </c>
      <c r="F769" s="8">
        <v>1.83</v>
      </c>
      <c r="G769" s="4">
        <v>2</v>
      </c>
      <c r="H769" s="8">
        <v>0.89</v>
      </c>
      <c r="I769" s="4">
        <v>0</v>
      </c>
    </row>
    <row r="770" spans="1:9" x14ac:dyDescent="0.2">
      <c r="A770" s="1"/>
      <c r="C770" s="4"/>
      <c r="D770" s="8"/>
      <c r="E770" s="4"/>
      <c r="F770" s="8"/>
      <c r="G770" s="4"/>
      <c r="H770" s="8"/>
      <c r="I770" s="4"/>
    </row>
    <row r="771" spans="1:9" x14ac:dyDescent="0.2">
      <c r="A771" s="1" t="s">
        <v>33</v>
      </c>
      <c r="C771" s="4"/>
      <c r="D771" s="8"/>
      <c r="E771" s="4"/>
      <c r="F771" s="8"/>
      <c r="G771" s="4"/>
      <c r="H771" s="8"/>
      <c r="I771" s="4"/>
    </row>
    <row r="772" spans="1:9" x14ac:dyDescent="0.2">
      <c r="A772" s="2">
        <v>1</v>
      </c>
      <c r="B772" s="1" t="s">
        <v>138</v>
      </c>
      <c r="C772" s="4">
        <v>40</v>
      </c>
      <c r="D772" s="8">
        <v>9.9</v>
      </c>
      <c r="E772" s="4">
        <v>37</v>
      </c>
      <c r="F772" s="8">
        <v>16.59</v>
      </c>
      <c r="G772" s="4">
        <v>3</v>
      </c>
      <c r="H772" s="8">
        <v>1.69</v>
      </c>
      <c r="I772" s="4">
        <v>0</v>
      </c>
    </row>
    <row r="773" spans="1:9" x14ac:dyDescent="0.2">
      <c r="A773" s="2">
        <v>2</v>
      </c>
      <c r="B773" s="1" t="s">
        <v>132</v>
      </c>
      <c r="C773" s="4">
        <v>23</v>
      </c>
      <c r="D773" s="8">
        <v>5.69</v>
      </c>
      <c r="E773" s="4">
        <v>17</v>
      </c>
      <c r="F773" s="8">
        <v>7.62</v>
      </c>
      <c r="G773" s="4">
        <v>6</v>
      </c>
      <c r="H773" s="8">
        <v>3.39</v>
      </c>
      <c r="I773" s="4">
        <v>0</v>
      </c>
    </row>
    <row r="774" spans="1:9" x14ac:dyDescent="0.2">
      <c r="A774" s="2">
        <v>3</v>
      </c>
      <c r="B774" s="1" t="s">
        <v>134</v>
      </c>
      <c r="C774" s="4">
        <v>20</v>
      </c>
      <c r="D774" s="8">
        <v>4.95</v>
      </c>
      <c r="E774" s="4">
        <v>13</v>
      </c>
      <c r="F774" s="8">
        <v>5.83</v>
      </c>
      <c r="G774" s="4">
        <v>7</v>
      </c>
      <c r="H774" s="8">
        <v>3.95</v>
      </c>
      <c r="I774" s="4">
        <v>0</v>
      </c>
    </row>
    <row r="775" spans="1:9" x14ac:dyDescent="0.2">
      <c r="A775" s="2">
        <v>4</v>
      </c>
      <c r="B775" s="1" t="s">
        <v>136</v>
      </c>
      <c r="C775" s="4">
        <v>18</v>
      </c>
      <c r="D775" s="8">
        <v>4.46</v>
      </c>
      <c r="E775" s="4">
        <v>17</v>
      </c>
      <c r="F775" s="8">
        <v>7.62</v>
      </c>
      <c r="G775" s="4">
        <v>1</v>
      </c>
      <c r="H775" s="8">
        <v>0.56000000000000005</v>
      </c>
      <c r="I775" s="4">
        <v>0</v>
      </c>
    </row>
    <row r="776" spans="1:9" x14ac:dyDescent="0.2">
      <c r="A776" s="2">
        <v>5</v>
      </c>
      <c r="B776" s="1" t="s">
        <v>135</v>
      </c>
      <c r="C776" s="4">
        <v>13</v>
      </c>
      <c r="D776" s="8">
        <v>3.22</v>
      </c>
      <c r="E776" s="4">
        <v>12</v>
      </c>
      <c r="F776" s="8">
        <v>5.38</v>
      </c>
      <c r="G776" s="4">
        <v>1</v>
      </c>
      <c r="H776" s="8">
        <v>0.56000000000000005</v>
      </c>
      <c r="I776" s="4">
        <v>0</v>
      </c>
    </row>
    <row r="777" spans="1:9" x14ac:dyDescent="0.2">
      <c r="A777" s="2">
        <v>5</v>
      </c>
      <c r="B777" s="1" t="s">
        <v>140</v>
      </c>
      <c r="C777" s="4">
        <v>13</v>
      </c>
      <c r="D777" s="8">
        <v>3.22</v>
      </c>
      <c r="E777" s="4">
        <v>10</v>
      </c>
      <c r="F777" s="8">
        <v>4.4800000000000004</v>
      </c>
      <c r="G777" s="4">
        <v>3</v>
      </c>
      <c r="H777" s="8">
        <v>1.69</v>
      </c>
      <c r="I777" s="4">
        <v>0</v>
      </c>
    </row>
    <row r="778" spans="1:9" x14ac:dyDescent="0.2">
      <c r="A778" s="2">
        <v>7</v>
      </c>
      <c r="B778" s="1" t="s">
        <v>130</v>
      </c>
      <c r="C778" s="4">
        <v>12</v>
      </c>
      <c r="D778" s="8">
        <v>2.97</v>
      </c>
      <c r="E778" s="4">
        <v>5</v>
      </c>
      <c r="F778" s="8">
        <v>2.2400000000000002</v>
      </c>
      <c r="G778" s="4">
        <v>7</v>
      </c>
      <c r="H778" s="8">
        <v>3.95</v>
      </c>
      <c r="I778" s="4">
        <v>0</v>
      </c>
    </row>
    <row r="779" spans="1:9" x14ac:dyDescent="0.2">
      <c r="A779" s="2">
        <v>8</v>
      </c>
      <c r="B779" s="1" t="s">
        <v>128</v>
      </c>
      <c r="C779" s="4">
        <v>11</v>
      </c>
      <c r="D779" s="8">
        <v>2.72</v>
      </c>
      <c r="E779" s="4">
        <v>5</v>
      </c>
      <c r="F779" s="8">
        <v>2.2400000000000002</v>
      </c>
      <c r="G779" s="4">
        <v>6</v>
      </c>
      <c r="H779" s="8">
        <v>3.39</v>
      </c>
      <c r="I779" s="4">
        <v>0</v>
      </c>
    </row>
    <row r="780" spans="1:9" x14ac:dyDescent="0.2">
      <c r="A780" s="2">
        <v>9</v>
      </c>
      <c r="B780" s="1" t="s">
        <v>144</v>
      </c>
      <c r="C780" s="4">
        <v>10</v>
      </c>
      <c r="D780" s="8">
        <v>2.48</v>
      </c>
      <c r="E780" s="4">
        <v>4</v>
      </c>
      <c r="F780" s="8">
        <v>1.79</v>
      </c>
      <c r="G780" s="4">
        <v>6</v>
      </c>
      <c r="H780" s="8">
        <v>3.39</v>
      </c>
      <c r="I780" s="4">
        <v>0</v>
      </c>
    </row>
    <row r="781" spans="1:9" x14ac:dyDescent="0.2">
      <c r="A781" s="2">
        <v>9</v>
      </c>
      <c r="B781" s="1" t="s">
        <v>139</v>
      </c>
      <c r="C781" s="4">
        <v>10</v>
      </c>
      <c r="D781" s="8">
        <v>2.48</v>
      </c>
      <c r="E781" s="4">
        <v>6</v>
      </c>
      <c r="F781" s="8">
        <v>2.69</v>
      </c>
      <c r="G781" s="4">
        <v>4</v>
      </c>
      <c r="H781" s="8">
        <v>2.2599999999999998</v>
      </c>
      <c r="I781" s="4">
        <v>0</v>
      </c>
    </row>
    <row r="782" spans="1:9" x14ac:dyDescent="0.2">
      <c r="A782" s="2">
        <v>11</v>
      </c>
      <c r="B782" s="1" t="s">
        <v>142</v>
      </c>
      <c r="C782" s="4">
        <v>9</v>
      </c>
      <c r="D782" s="8">
        <v>2.23</v>
      </c>
      <c r="E782" s="4">
        <v>2</v>
      </c>
      <c r="F782" s="8">
        <v>0.9</v>
      </c>
      <c r="G782" s="4">
        <v>7</v>
      </c>
      <c r="H782" s="8">
        <v>3.95</v>
      </c>
      <c r="I782" s="4">
        <v>0</v>
      </c>
    </row>
    <row r="783" spans="1:9" x14ac:dyDescent="0.2">
      <c r="A783" s="2">
        <v>11</v>
      </c>
      <c r="B783" s="1" t="s">
        <v>137</v>
      </c>
      <c r="C783" s="4">
        <v>9</v>
      </c>
      <c r="D783" s="8">
        <v>2.23</v>
      </c>
      <c r="E783" s="4">
        <v>9</v>
      </c>
      <c r="F783" s="8">
        <v>4.04</v>
      </c>
      <c r="G783" s="4">
        <v>0</v>
      </c>
      <c r="H783" s="8">
        <v>0</v>
      </c>
      <c r="I783" s="4">
        <v>0</v>
      </c>
    </row>
    <row r="784" spans="1:9" x14ac:dyDescent="0.2">
      <c r="A784" s="2">
        <v>11</v>
      </c>
      <c r="B784" s="1" t="s">
        <v>145</v>
      </c>
      <c r="C784" s="4">
        <v>9</v>
      </c>
      <c r="D784" s="8">
        <v>2.23</v>
      </c>
      <c r="E784" s="4">
        <v>5</v>
      </c>
      <c r="F784" s="8">
        <v>2.2400000000000002</v>
      </c>
      <c r="G784" s="4">
        <v>4</v>
      </c>
      <c r="H784" s="8">
        <v>2.2599999999999998</v>
      </c>
      <c r="I784" s="4">
        <v>0</v>
      </c>
    </row>
    <row r="785" spans="1:9" x14ac:dyDescent="0.2">
      <c r="A785" s="2">
        <v>14</v>
      </c>
      <c r="B785" s="1" t="s">
        <v>129</v>
      </c>
      <c r="C785" s="4">
        <v>8</v>
      </c>
      <c r="D785" s="8">
        <v>1.98</v>
      </c>
      <c r="E785" s="4">
        <v>3</v>
      </c>
      <c r="F785" s="8">
        <v>1.35</v>
      </c>
      <c r="G785" s="4">
        <v>5</v>
      </c>
      <c r="H785" s="8">
        <v>2.82</v>
      </c>
      <c r="I785" s="4">
        <v>0</v>
      </c>
    </row>
    <row r="786" spans="1:9" x14ac:dyDescent="0.2">
      <c r="A786" s="2">
        <v>15</v>
      </c>
      <c r="B786" s="1" t="s">
        <v>158</v>
      </c>
      <c r="C786" s="4">
        <v>7</v>
      </c>
      <c r="D786" s="8">
        <v>1.73</v>
      </c>
      <c r="E786" s="4">
        <v>2</v>
      </c>
      <c r="F786" s="8">
        <v>0.9</v>
      </c>
      <c r="G786" s="4">
        <v>5</v>
      </c>
      <c r="H786" s="8">
        <v>2.82</v>
      </c>
      <c r="I786" s="4">
        <v>0</v>
      </c>
    </row>
    <row r="787" spans="1:9" x14ac:dyDescent="0.2">
      <c r="A787" s="2">
        <v>15</v>
      </c>
      <c r="B787" s="1" t="s">
        <v>148</v>
      </c>
      <c r="C787" s="4">
        <v>7</v>
      </c>
      <c r="D787" s="8">
        <v>1.73</v>
      </c>
      <c r="E787" s="4">
        <v>4</v>
      </c>
      <c r="F787" s="8">
        <v>1.79</v>
      </c>
      <c r="G787" s="4">
        <v>3</v>
      </c>
      <c r="H787" s="8">
        <v>1.69</v>
      </c>
      <c r="I787" s="4">
        <v>0</v>
      </c>
    </row>
    <row r="788" spans="1:9" x14ac:dyDescent="0.2">
      <c r="A788" s="2">
        <v>15</v>
      </c>
      <c r="B788" s="1" t="s">
        <v>174</v>
      </c>
      <c r="C788" s="4">
        <v>7</v>
      </c>
      <c r="D788" s="8">
        <v>1.73</v>
      </c>
      <c r="E788" s="4">
        <v>1</v>
      </c>
      <c r="F788" s="8">
        <v>0.45</v>
      </c>
      <c r="G788" s="4">
        <v>6</v>
      </c>
      <c r="H788" s="8">
        <v>3.39</v>
      </c>
      <c r="I788" s="4">
        <v>0</v>
      </c>
    </row>
    <row r="789" spans="1:9" x14ac:dyDescent="0.2">
      <c r="A789" s="2">
        <v>15</v>
      </c>
      <c r="B789" s="1" t="s">
        <v>143</v>
      </c>
      <c r="C789" s="4">
        <v>7</v>
      </c>
      <c r="D789" s="8">
        <v>1.73</v>
      </c>
      <c r="E789" s="4">
        <v>7</v>
      </c>
      <c r="F789" s="8">
        <v>3.14</v>
      </c>
      <c r="G789" s="4">
        <v>0</v>
      </c>
      <c r="H789" s="8">
        <v>0</v>
      </c>
      <c r="I789" s="4">
        <v>0</v>
      </c>
    </row>
    <row r="790" spans="1:9" x14ac:dyDescent="0.2">
      <c r="A790" s="2">
        <v>19</v>
      </c>
      <c r="B790" s="1" t="s">
        <v>122</v>
      </c>
      <c r="C790" s="4">
        <v>6</v>
      </c>
      <c r="D790" s="8">
        <v>1.49</v>
      </c>
      <c r="E790" s="4">
        <v>0</v>
      </c>
      <c r="F790" s="8">
        <v>0</v>
      </c>
      <c r="G790" s="4">
        <v>6</v>
      </c>
      <c r="H790" s="8">
        <v>3.39</v>
      </c>
      <c r="I790" s="4">
        <v>0</v>
      </c>
    </row>
    <row r="791" spans="1:9" x14ac:dyDescent="0.2">
      <c r="A791" s="2">
        <v>20</v>
      </c>
      <c r="B791" s="1" t="s">
        <v>123</v>
      </c>
      <c r="C791" s="4">
        <v>5</v>
      </c>
      <c r="D791" s="8">
        <v>1.24</v>
      </c>
      <c r="E791" s="4">
        <v>1</v>
      </c>
      <c r="F791" s="8">
        <v>0.45</v>
      </c>
      <c r="G791" s="4">
        <v>4</v>
      </c>
      <c r="H791" s="8">
        <v>2.2599999999999998</v>
      </c>
      <c r="I791" s="4">
        <v>0</v>
      </c>
    </row>
    <row r="792" spans="1:9" x14ac:dyDescent="0.2">
      <c r="A792" s="2">
        <v>20</v>
      </c>
      <c r="B792" s="1" t="s">
        <v>200</v>
      </c>
      <c r="C792" s="4">
        <v>5</v>
      </c>
      <c r="D792" s="8">
        <v>1.24</v>
      </c>
      <c r="E792" s="4">
        <v>1</v>
      </c>
      <c r="F792" s="8">
        <v>0.45</v>
      </c>
      <c r="G792" s="4">
        <v>4</v>
      </c>
      <c r="H792" s="8">
        <v>2.2599999999999998</v>
      </c>
      <c r="I792" s="4">
        <v>0</v>
      </c>
    </row>
    <row r="793" spans="1:9" x14ac:dyDescent="0.2">
      <c r="A793" s="2">
        <v>20</v>
      </c>
      <c r="B793" s="1" t="s">
        <v>201</v>
      </c>
      <c r="C793" s="4">
        <v>5</v>
      </c>
      <c r="D793" s="8">
        <v>1.24</v>
      </c>
      <c r="E793" s="4">
        <v>5</v>
      </c>
      <c r="F793" s="8">
        <v>2.2400000000000002</v>
      </c>
      <c r="G793" s="4">
        <v>0</v>
      </c>
      <c r="H793" s="8">
        <v>0</v>
      </c>
      <c r="I793" s="4">
        <v>0</v>
      </c>
    </row>
    <row r="794" spans="1:9" x14ac:dyDescent="0.2">
      <c r="A794" s="1"/>
      <c r="C794" s="4"/>
      <c r="D794" s="8"/>
      <c r="E794" s="4"/>
      <c r="F794" s="8"/>
      <c r="G794" s="4"/>
      <c r="H794" s="8"/>
      <c r="I794" s="4"/>
    </row>
    <row r="795" spans="1:9" x14ac:dyDescent="0.2">
      <c r="A795" s="1" t="s">
        <v>34</v>
      </c>
      <c r="C795" s="4"/>
      <c r="D795" s="8"/>
      <c r="E795" s="4"/>
      <c r="F795" s="8"/>
      <c r="G795" s="4"/>
      <c r="H795" s="8"/>
      <c r="I795" s="4"/>
    </row>
    <row r="796" spans="1:9" x14ac:dyDescent="0.2">
      <c r="A796" s="2">
        <v>1</v>
      </c>
      <c r="B796" s="1" t="s">
        <v>136</v>
      </c>
      <c r="C796" s="4">
        <v>7</v>
      </c>
      <c r="D796" s="8">
        <v>5.74</v>
      </c>
      <c r="E796" s="4">
        <v>7</v>
      </c>
      <c r="F796" s="8">
        <v>9.86</v>
      </c>
      <c r="G796" s="4">
        <v>0</v>
      </c>
      <c r="H796" s="8">
        <v>0</v>
      </c>
      <c r="I796" s="4">
        <v>0</v>
      </c>
    </row>
    <row r="797" spans="1:9" x14ac:dyDescent="0.2">
      <c r="A797" s="2">
        <v>1</v>
      </c>
      <c r="B797" s="1" t="s">
        <v>138</v>
      </c>
      <c r="C797" s="4">
        <v>7</v>
      </c>
      <c r="D797" s="8">
        <v>5.74</v>
      </c>
      <c r="E797" s="4">
        <v>7</v>
      </c>
      <c r="F797" s="8">
        <v>9.86</v>
      </c>
      <c r="G797" s="4">
        <v>0</v>
      </c>
      <c r="H797" s="8">
        <v>0</v>
      </c>
      <c r="I797" s="4">
        <v>0</v>
      </c>
    </row>
    <row r="798" spans="1:9" x14ac:dyDescent="0.2">
      <c r="A798" s="2">
        <v>3</v>
      </c>
      <c r="B798" s="1" t="s">
        <v>123</v>
      </c>
      <c r="C798" s="4">
        <v>5</v>
      </c>
      <c r="D798" s="8">
        <v>4.0999999999999996</v>
      </c>
      <c r="E798" s="4">
        <v>1</v>
      </c>
      <c r="F798" s="8">
        <v>1.41</v>
      </c>
      <c r="G798" s="4">
        <v>4</v>
      </c>
      <c r="H798" s="8">
        <v>8.16</v>
      </c>
      <c r="I798" s="4">
        <v>0</v>
      </c>
    </row>
    <row r="799" spans="1:9" x14ac:dyDescent="0.2">
      <c r="A799" s="2">
        <v>3</v>
      </c>
      <c r="B799" s="1" t="s">
        <v>128</v>
      </c>
      <c r="C799" s="4">
        <v>5</v>
      </c>
      <c r="D799" s="8">
        <v>4.0999999999999996</v>
      </c>
      <c r="E799" s="4">
        <v>5</v>
      </c>
      <c r="F799" s="8">
        <v>7.04</v>
      </c>
      <c r="G799" s="4">
        <v>0</v>
      </c>
      <c r="H799" s="8">
        <v>0</v>
      </c>
      <c r="I799" s="4">
        <v>0</v>
      </c>
    </row>
    <row r="800" spans="1:9" x14ac:dyDescent="0.2">
      <c r="A800" s="2">
        <v>5</v>
      </c>
      <c r="B800" s="1" t="s">
        <v>125</v>
      </c>
      <c r="C800" s="4">
        <v>4</v>
      </c>
      <c r="D800" s="8">
        <v>3.28</v>
      </c>
      <c r="E800" s="4">
        <v>0</v>
      </c>
      <c r="F800" s="8">
        <v>0</v>
      </c>
      <c r="G800" s="4">
        <v>4</v>
      </c>
      <c r="H800" s="8">
        <v>8.16</v>
      </c>
      <c r="I800" s="4">
        <v>0</v>
      </c>
    </row>
    <row r="801" spans="1:9" x14ac:dyDescent="0.2">
      <c r="A801" s="2">
        <v>5</v>
      </c>
      <c r="B801" s="1" t="s">
        <v>153</v>
      </c>
      <c r="C801" s="4">
        <v>4</v>
      </c>
      <c r="D801" s="8">
        <v>3.28</v>
      </c>
      <c r="E801" s="4">
        <v>3</v>
      </c>
      <c r="F801" s="8">
        <v>4.2300000000000004</v>
      </c>
      <c r="G801" s="4">
        <v>1</v>
      </c>
      <c r="H801" s="8">
        <v>2.04</v>
      </c>
      <c r="I801" s="4">
        <v>0</v>
      </c>
    </row>
    <row r="802" spans="1:9" x14ac:dyDescent="0.2">
      <c r="A802" s="2">
        <v>5</v>
      </c>
      <c r="B802" s="1" t="s">
        <v>139</v>
      </c>
      <c r="C802" s="4">
        <v>4</v>
      </c>
      <c r="D802" s="8">
        <v>3.28</v>
      </c>
      <c r="E802" s="4">
        <v>4</v>
      </c>
      <c r="F802" s="8">
        <v>5.63</v>
      </c>
      <c r="G802" s="4">
        <v>0</v>
      </c>
      <c r="H802" s="8">
        <v>0</v>
      </c>
      <c r="I802" s="4">
        <v>0</v>
      </c>
    </row>
    <row r="803" spans="1:9" x14ac:dyDescent="0.2">
      <c r="A803" s="2">
        <v>8</v>
      </c>
      <c r="B803" s="1" t="s">
        <v>165</v>
      </c>
      <c r="C803" s="4">
        <v>3</v>
      </c>
      <c r="D803" s="8">
        <v>2.46</v>
      </c>
      <c r="E803" s="4">
        <v>3</v>
      </c>
      <c r="F803" s="8">
        <v>4.2300000000000004</v>
      </c>
      <c r="G803" s="4">
        <v>0</v>
      </c>
      <c r="H803" s="8">
        <v>0</v>
      </c>
      <c r="I803" s="4">
        <v>0</v>
      </c>
    </row>
    <row r="804" spans="1:9" x14ac:dyDescent="0.2">
      <c r="A804" s="2">
        <v>8</v>
      </c>
      <c r="B804" s="1" t="s">
        <v>169</v>
      </c>
      <c r="C804" s="4">
        <v>3</v>
      </c>
      <c r="D804" s="8">
        <v>2.46</v>
      </c>
      <c r="E804" s="4">
        <v>1</v>
      </c>
      <c r="F804" s="8">
        <v>1.41</v>
      </c>
      <c r="G804" s="4">
        <v>2</v>
      </c>
      <c r="H804" s="8">
        <v>4.08</v>
      </c>
      <c r="I804" s="4">
        <v>0</v>
      </c>
    </row>
    <row r="805" spans="1:9" x14ac:dyDescent="0.2">
      <c r="A805" s="2">
        <v>8</v>
      </c>
      <c r="B805" s="1" t="s">
        <v>163</v>
      </c>
      <c r="C805" s="4">
        <v>3</v>
      </c>
      <c r="D805" s="8">
        <v>2.46</v>
      </c>
      <c r="E805" s="4">
        <v>2</v>
      </c>
      <c r="F805" s="8">
        <v>2.82</v>
      </c>
      <c r="G805" s="4">
        <v>1</v>
      </c>
      <c r="H805" s="8">
        <v>2.04</v>
      </c>
      <c r="I805" s="4">
        <v>0</v>
      </c>
    </row>
    <row r="806" spans="1:9" x14ac:dyDescent="0.2">
      <c r="A806" s="2">
        <v>8</v>
      </c>
      <c r="B806" s="1" t="s">
        <v>130</v>
      </c>
      <c r="C806" s="4">
        <v>3</v>
      </c>
      <c r="D806" s="8">
        <v>2.46</v>
      </c>
      <c r="E806" s="4">
        <v>1</v>
      </c>
      <c r="F806" s="8">
        <v>1.41</v>
      </c>
      <c r="G806" s="4">
        <v>2</v>
      </c>
      <c r="H806" s="8">
        <v>4.08</v>
      </c>
      <c r="I806" s="4">
        <v>0</v>
      </c>
    </row>
    <row r="807" spans="1:9" x14ac:dyDescent="0.2">
      <c r="A807" s="2">
        <v>8</v>
      </c>
      <c r="B807" s="1" t="s">
        <v>131</v>
      </c>
      <c r="C807" s="4">
        <v>3</v>
      </c>
      <c r="D807" s="8">
        <v>2.46</v>
      </c>
      <c r="E807" s="4">
        <v>1</v>
      </c>
      <c r="F807" s="8">
        <v>1.41</v>
      </c>
      <c r="G807" s="4">
        <v>2</v>
      </c>
      <c r="H807" s="8">
        <v>4.08</v>
      </c>
      <c r="I807" s="4">
        <v>0</v>
      </c>
    </row>
    <row r="808" spans="1:9" x14ac:dyDescent="0.2">
      <c r="A808" s="2">
        <v>8</v>
      </c>
      <c r="B808" s="1" t="s">
        <v>134</v>
      </c>
      <c r="C808" s="4">
        <v>3</v>
      </c>
      <c r="D808" s="8">
        <v>2.46</v>
      </c>
      <c r="E808" s="4">
        <v>3</v>
      </c>
      <c r="F808" s="8">
        <v>4.2300000000000004</v>
      </c>
      <c r="G808" s="4">
        <v>0</v>
      </c>
      <c r="H808" s="8">
        <v>0</v>
      </c>
      <c r="I808" s="4">
        <v>0</v>
      </c>
    </row>
    <row r="809" spans="1:9" x14ac:dyDescent="0.2">
      <c r="A809" s="2">
        <v>8</v>
      </c>
      <c r="B809" s="1" t="s">
        <v>137</v>
      </c>
      <c r="C809" s="4">
        <v>3</v>
      </c>
      <c r="D809" s="8">
        <v>2.46</v>
      </c>
      <c r="E809" s="4">
        <v>3</v>
      </c>
      <c r="F809" s="8">
        <v>4.2300000000000004</v>
      </c>
      <c r="G809" s="4">
        <v>0</v>
      </c>
      <c r="H809" s="8">
        <v>0</v>
      </c>
      <c r="I809" s="4">
        <v>0</v>
      </c>
    </row>
    <row r="810" spans="1:9" x14ac:dyDescent="0.2">
      <c r="A810" s="2">
        <v>15</v>
      </c>
      <c r="B810" s="1" t="s">
        <v>147</v>
      </c>
      <c r="C810" s="4">
        <v>2</v>
      </c>
      <c r="D810" s="8">
        <v>1.64</v>
      </c>
      <c r="E810" s="4">
        <v>1</v>
      </c>
      <c r="F810" s="8">
        <v>1.41</v>
      </c>
      <c r="G810" s="4">
        <v>1</v>
      </c>
      <c r="H810" s="8">
        <v>2.04</v>
      </c>
      <c r="I810" s="4">
        <v>0</v>
      </c>
    </row>
    <row r="811" spans="1:9" x14ac:dyDescent="0.2">
      <c r="A811" s="2">
        <v>15</v>
      </c>
      <c r="B811" s="1" t="s">
        <v>158</v>
      </c>
      <c r="C811" s="4">
        <v>2</v>
      </c>
      <c r="D811" s="8">
        <v>1.64</v>
      </c>
      <c r="E811" s="4">
        <v>1</v>
      </c>
      <c r="F811" s="8">
        <v>1.41</v>
      </c>
      <c r="G811" s="4">
        <v>1</v>
      </c>
      <c r="H811" s="8">
        <v>2.04</v>
      </c>
      <c r="I811" s="4">
        <v>0</v>
      </c>
    </row>
    <row r="812" spans="1:9" x14ac:dyDescent="0.2">
      <c r="A812" s="2">
        <v>15</v>
      </c>
      <c r="B812" s="1" t="s">
        <v>202</v>
      </c>
      <c r="C812" s="4">
        <v>2</v>
      </c>
      <c r="D812" s="8">
        <v>1.64</v>
      </c>
      <c r="E812" s="4">
        <v>0</v>
      </c>
      <c r="F812" s="8">
        <v>0</v>
      </c>
      <c r="G812" s="4">
        <v>2</v>
      </c>
      <c r="H812" s="8">
        <v>4.08</v>
      </c>
      <c r="I812" s="4">
        <v>0</v>
      </c>
    </row>
    <row r="813" spans="1:9" x14ac:dyDescent="0.2">
      <c r="A813" s="2">
        <v>15</v>
      </c>
      <c r="B813" s="1" t="s">
        <v>203</v>
      </c>
      <c r="C813" s="4">
        <v>2</v>
      </c>
      <c r="D813" s="8">
        <v>1.64</v>
      </c>
      <c r="E813" s="4">
        <v>1</v>
      </c>
      <c r="F813" s="8">
        <v>1.41</v>
      </c>
      <c r="G813" s="4">
        <v>1</v>
      </c>
      <c r="H813" s="8">
        <v>2.04</v>
      </c>
      <c r="I813" s="4">
        <v>0</v>
      </c>
    </row>
    <row r="814" spans="1:9" x14ac:dyDescent="0.2">
      <c r="A814" s="2">
        <v>15</v>
      </c>
      <c r="B814" s="1" t="s">
        <v>204</v>
      </c>
      <c r="C814" s="4">
        <v>2</v>
      </c>
      <c r="D814" s="8">
        <v>1.64</v>
      </c>
      <c r="E814" s="4">
        <v>0</v>
      </c>
      <c r="F814" s="8">
        <v>0</v>
      </c>
      <c r="G814" s="4">
        <v>2</v>
      </c>
      <c r="H814" s="8">
        <v>4.08</v>
      </c>
      <c r="I814" s="4">
        <v>0</v>
      </c>
    </row>
    <row r="815" spans="1:9" x14ac:dyDescent="0.2">
      <c r="A815" s="2">
        <v>15</v>
      </c>
      <c r="B815" s="1" t="s">
        <v>205</v>
      </c>
      <c r="C815" s="4">
        <v>2</v>
      </c>
      <c r="D815" s="8">
        <v>1.64</v>
      </c>
      <c r="E815" s="4">
        <v>0</v>
      </c>
      <c r="F815" s="8">
        <v>0</v>
      </c>
      <c r="G815" s="4">
        <v>2</v>
      </c>
      <c r="H815" s="8">
        <v>4.08</v>
      </c>
      <c r="I815" s="4">
        <v>0</v>
      </c>
    </row>
    <row r="816" spans="1:9" x14ac:dyDescent="0.2">
      <c r="A816" s="2">
        <v>15</v>
      </c>
      <c r="B816" s="1" t="s">
        <v>132</v>
      </c>
      <c r="C816" s="4">
        <v>2</v>
      </c>
      <c r="D816" s="8">
        <v>1.64</v>
      </c>
      <c r="E816" s="4">
        <v>0</v>
      </c>
      <c r="F816" s="8">
        <v>0</v>
      </c>
      <c r="G816" s="4">
        <v>2</v>
      </c>
      <c r="H816" s="8">
        <v>4.08</v>
      </c>
      <c r="I816" s="4">
        <v>0</v>
      </c>
    </row>
    <row r="817" spans="1:9" x14ac:dyDescent="0.2">
      <c r="A817" s="2">
        <v>15</v>
      </c>
      <c r="B817" s="1" t="s">
        <v>195</v>
      </c>
      <c r="C817" s="4">
        <v>2</v>
      </c>
      <c r="D817" s="8">
        <v>1.64</v>
      </c>
      <c r="E817" s="4">
        <v>1</v>
      </c>
      <c r="F817" s="8">
        <v>1.41</v>
      </c>
      <c r="G817" s="4">
        <v>0</v>
      </c>
      <c r="H817" s="8">
        <v>0</v>
      </c>
      <c r="I817" s="4">
        <v>0</v>
      </c>
    </row>
    <row r="818" spans="1:9" x14ac:dyDescent="0.2">
      <c r="A818" s="2">
        <v>15</v>
      </c>
      <c r="B818" s="1" t="s">
        <v>144</v>
      </c>
      <c r="C818" s="4">
        <v>2</v>
      </c>
      <c r="D818" s="8">
        <v>1.64</v>
      </c>
      <c r="E818" s="4">
        <v>1</v>
      </c>
      <c r="F818" s="8">
        <v>1.41</v>
      </c>
      <c r="G818" s="4">
        <v>1</v>
      </c>
      <c r="H818" s="8">
        <v>2.04</v>
      </c>
      <c r="I818" s="4">
        <v>0</v>
      </c>
    </row>
    <row r="819" spans="1:9" x14ac:dyDescent="0.2">
      <c r="A819" s="2">
        <v>15</v>
      </c>
      <c r="B819" s="1" t="s">
        <v>145</v>
      </c>
      <c r="C819" s="4">
        <v>2</v>
      </c>
      <c r="D819" s="8">
        <v>1.64</v>
      </c>
      <c r="E819" s="4">
        <v>2</v>
      </c>
      <c r="F819" s="8">
        <v>2.82</v>
      </c>
      <c r="G819" s="4">
        <v>0</v>
      </c>
      <c r="H819" s="8">
        <v>0</v>
      </c>
      <c r="I819" s="4">
        <v>0</v>
      </c>
    </row>
    <row r="820" spans="1:9" x14ac:dyDescent="0.2">
      <c r="A820" s="2">
        <v>15</v>
      </c>
      <c r="B820" s="1" t="s">
        <v>141</v>
      </c>
      <c r="C820" s="4">
        <v>2</v>
      </c>
      <c r="D820" s="8">
        <v>1.64</v>
      </c>
      <c r="E820" s="4">
        <v>2</v>
      </c>
      <c r="F820" s="8">
        <v>2.82</v>
      </c>
      <c r="G820" s="4">
        <v>0</v>
      </c>
      <c r="H820" s="8">
        <v>0</v>
      </c>
      <c r="I820" s="4">
        <v>0</v>
      </c>
    </row>
    <row r="821" spans="1:9" x14ac:dyDescent="0.2">
      <c r="A821" s="1"/>
      <c r="C821" s="4"/>
      <c r="D821" s="8"/>
      <c r="E821" s="4"/>
      <c r="F821" s="8"/>
      <c r="G821" s="4"/>
      <c r="H821" s="8"/>
      <c r="I821" s="4"/>
    </row>
    <row r="822" spans="1:9" x14ac:dyDescent="0.2">
      <c r="A822" s="1" t="s">
        <v>35</v>
      </c>
      <c r="C822" s="4"/>
      <c r="D822" s="8"/>
      <c r="E822" s="4"/>
      <c r="F822" s="8"/>
      <c r="G822" s="4"/>
      <c r="H822" s="8"/>
      <c r="I822" s="4"/>
    </row>
    <row r="823" spans="1:9" x14ac:dyDescent="0.2">
      <c r="A823" s="2">
        <v>1</v>
      </c>
      <c r="B823" s="1" t="s">
        <v>138</v>
      </c>
      <c r="C823" s="4">
        <v>11</v>
      </c>
      <c r="D823" s="8">
        <v>7.01</v>
      </c>
      <c r="E823" s="4">
        <v>11</v>
      </c>
      <c r="F823" s="8">
        <v>11</v>
      </c>
      <c r="G823" s="4">
        <v>0</v>
      </c>
      <c r="H823" s="8">
        <v>0</v>
      </c>
      <c r="I823" s="4">
        <v>0</v>
      </c>
    </row>
    <row r="824" spans="1:9" x14ac:dyDescent="0.2">
      <c r="A824" s="2">
        <v>2</v>
      </c>
      <c r="B824" s="1" t="s">
        <v>136</v>
      </c>
      <c r="C824" s="4">
        <v>8</v>
      </c>
      <c r="D824" s="8">
        <v>5.0999999999999996</v>
      </c>
      <c r="E824" s="4">
        <v>8</v>
      </c>
      <c r="F824" s="8">
        <v>8</v>
      </c>
      <c r="G824" s="4">
        <v>0</v>
      </c>
      <c r="H824" s="8">
        <v>0</v>
      </c>
      <c r="I824" s="4">
        <v>0</v>
      </c>
    </row>
    <row r="825" spans="1:9" x14ac:dyDescent="0.2">
      <c r="A825" s="2">
        <v>3</v>
      </c>
      <c r="B825" s="1" t="s">
        <v>123</v>
      </c>
      <c r="C825" s="4">
        <v>6</v>
      </c>
      <c r="D825" s="8">
        <v>3.82</v>
      </c>
      <c r="E825" s="4">
        <v>1</v>
      </c>
      <c r="F825" s="8">
        <v>1</v>
      </c>
      <c r="G825" s="4">
        <v>5</v>
      </c>
      <c r="H825" s="8">
        <v>9.09</v>
      </c>
      <c r="I825" s="4">
        <v>0</v>
      </c>
    </row>
    <row r="826" spans="1:9" x14ac:dyDescent="0.2">
      <c r="A826" s="2">
        <v>4</v>
      </c>
      <c r="B826" s="1" t="s">
        <v>152</v>
      </c>
      <c r="C826" s="4">
        <v>5</v>
      </c>
      <c r="D826" s="8">
        <v>3.18</v>
      </c>
      <c r="E826" s="4">
        <v>5</v>
      </c>
      <c r="F826" s="8">
        <v>5</v>
      </c>
      <c r="G826" s="4">
        <v>0</v>
      </c>
      <c r="H826" s="8">
        <v>0</v>
      </c>
      <c r="I826" s="4">
        <v>0</v>
      </c>
    </row>
    <row r="827" spans="1:9" x14ac:dyDescent="0.2">
      <c r="A827" s="2">
        <v>4</v>
      </c>
      <c r="B827" s="1" t="s">
        <v>153</v>
      </c>
      <c r="C827" s="4">
        <v>5</v>
      </c>
      <c r="D827" s="8">
        <v>3.18</v>
      </c>
      <c r="E827" s="4">
        <v>3</v>
      </c>
      <c r="F827" s="8">
        <v>3</v>
      </c>
      <c r="G827" s="4">
        <v>2</v>
      </c>
      <c r="H827" s="8">
        <v>3.64</v>
      </c>
      <c r="I827" s="4">
        <v>0</v>
      </c>
    </row>
    <row r="828" spans="1:9" x14ac:dyDescent="0.2">
      <c r="A828" s="2">
        <v>4</v>
      </c>
      <c r="B828" s="1" t="s">
        <v>155</v>
      </c>
      <c r="C828" s="4">
        <v>5</v>
      </c>
      <c r="D828" s="8">
        <v>3.18</v>
      </c>
      <c r="E828" s="4">
        <v>2</v>
      </c>
      <c r="F828" s="8">
        <v>2</v>
      </c>
      <c r="G828" s="4">
        <v>3</v>
      </c>
      <c r="H828" s="8">
        <v>5.45</v>
      </c>
      <c r="I828" s="4">
        <v>0</v>
      </c>
    </row>
    <row r="829" spans="1:9" x14ac:dyDescent="0.2">
      <c r="A829" s="2">
        <v>4</v>
      </c>
      <c r="B829" s="1" t="s">
        <v>128</v>
      </c>
      <c r="C829" s="4">
        <v>5</v>
      </c>
      <c r="D829" s="8">
        <v>3.18</v>
      </c>
      <c r="E829" s="4">
        <v>4</v>
      </c>
      <c r="F829" s="8">
        <v>4</v>
      </c>
      <c r="G829" s="4">
        <v>1</v>
      </c>
      <c r="H829" s="8">
        <v>1.82</v>
      </c>
      <c r="I829" s="4">
        <v>0</v>
      </c>
    </row>
    <row r="830" spans="1:9" x14ac:dyDescent="0.2">
      <c r="A830" s="2">
        <v>8</v>
      </c>
      <c r="B830" s="1" t="s">
        <v>124</v>
      </c>
      <c r="C830" s="4">
        <v>4</v>
      </c>
      <c r="D830" s="8">
        <v>2.5499999999999998</v>
      </c>
      <c r="E830" s="4">
        <v>2</v>
      </c>
      <c r="F830" s="8">
        <v>2</v>
      </c>
      <c r="G830" s="4">
        <v>2</v>
      </c>
      <c r="H830" s="8">
        <v>3.64</v>
      </c>
      <c r="I830" s="4">
        <v>0</v>
      </c>
    </row>
    <row r="831" spans="1:9" x14ac:dyDescent="0.2">
      <c r="A831" s="2">
        <v>8</v>
      </c>
      <c r="B831" s="1" t="s">
        <v>154</v>
      </c>
      <c r="C831" s="4">
        <v>4</v>
      </c>
      <c r="D831" s="8">
        <v>2.5499999999999998</v>
      </c>
      <c r="E831" s="4">
        <v>3</v>
      </c>
      <c r="F831" s="8">
        <v>3</v>
      </c>
      <c r="G831" s="4">
        <v>1</v>
      </c>
      <c r="H831" s="8">
        <v>1.82</v>
      </c>
      <c r="I831" s="4">
        <v>0</v>
      </c>
    </row>
    <row r="832" spans="1:9" x14ac:dyDescent="0.2">
      <c r="A832" s="2">
        <v>8</v>
      </c>
      <c r="B832" s="1" t="s">
        <v>169</v>
      </c>
      <c r="C832" s="4">
        <v>4</v>
      </c>
      <c r="D832" s="8">
        <v>2.5499999999999998</v>
      </c>
      <c r="E832" s="4">
        <v>4</v>
      </c>
      <c r="F832" s="8">
        <v>4</v>
      </c>
      <c r="G832" s="4">
        <v>0</v>
      </c>
      <c r="H832" s="8">
        <v>0</v>
      </c>
      <c r="I832" s="4">
        <v>0</v>
      </c>
    </row>
    <row r="833" spans="1:9" x14ac:dyDescent="0.2">
      <c r="A833" s="2">
        <v>8</v>
      </c>
      <c r="B833" s="1" t="s">
        <v>144</v>
      </c>
      <c r="C833" s="4">
        <v>4</v>
      </c>
      <c r="D833" s="8">
        <v>2.5499999999999998</v>
      </c>
      <c r="E833" s="4">
        <v>3</v>
      </c>
      <c r="F833" s="8">
        <v>3</v>
      </c>
      <c r="G833" s="4">
        <v>1</v>
      </c>
      <c r="H833" s="8">
        <v>1.82</v>
      </c>
      <c r="I833" s="4">
        <v>0</v>
      </c>
    </row>
    <row r="834" spans="1:9" x14ac:dyDescent="0.2">
      <c r="A834" s="2">
        <v>8</v>
      </c>
      <c r="B834" s="1" t="s">
        <v>139</v>
      </c>
      <c r="C834" s="4">
        <v>4</v>
      </c>
      <c r="D834" s="8">
        <v>2.5499999999999998</v>
      </c>
      <c r="E834" s="4">
        <v>3</v>
      </c>
      <c r="F834" s="8">
        <v>3</v>
      </c>
      <c r="G834" s="4">
        <v>1</v>
      </c>
      <c r="H834" s="8">
        <v>1.82</v>
      </c>
      <c r="I834" s="4">
        <v>0</v>
      </c>
    </row>
    <row r="835" spans="1:9" x14ac:dyDescent="0.2">
      <c r="A835" s="2">
        <v>13</v>
      </c>
      <c r="B835" s="1" t="s">
        <v>122</v>
      </c>
      <c r="C835" s="4">
        <v>3</v>
      </c>
      <c r="D835" s="8">
        <v>1.91</v>
      </c>
      <c r="E835" s="4">
        <v>2</v>
      </c>
      <c r="F835" s="8">
        <v>2</v>
      </c>
      <c r="G835" s="4">
        <v>1</v>
      </c>
      <c r="H835" s="8">
        <v>1.82</v>
      </c>
      <c r="I835" s="4">
        <v>0</v>
      </c>
    </row>
    <row r="836" spans="1:9" x14ac:dyDescent="0.2">
      <c r="A836" s="2">
        <v>13</v>
      </c>
      <c r="B836" s="1" t="s">
        <v>177</v>
      </c>
      <c r="C836" s="4">
        <v>3</v>
      </c>
      <c r="D836" s="8">
        <v>1.91</v>
      </c>
      <c r="E836" s="4">
        <v>2</v>
      </c>
      <c r="F836" s="8">
        <v>2</v>
      </c>
      <c r="G836" s="4">
        <v>1</v>
      </c>
      <c r="H836" s="8">
        <v>1.82</v>
      </c>
      <c r="I836" s="4">
        <v>0</v>
      </c>
    </row>
    <row r="837" spans="1:9" x14ac:dyDescent="0.2">
      <c r="A837" s="2">
        <v>13</v>
      </c>
      <c r="B837" s="1" t="s">
        <v>156</v>
      </c>
      <c r="C837" s="4">
        <v>3</v>
      </c>
      <c r="D837" s="8">
        <v>1.91</v>
      </c>
      <c r="E837" s="4">
        <v>2</v>
      </c>
      <c r="F837" s="8">
        <v>2</v>
      </c>
      <c r="G837" s="4">
        <v>1</v>
      </c>
      <c r="H837" s="8">
        <v>1.82</v>
      </c>
      <c r="I837" s="4">
        <v>0</v>
      </c>
    </row>
    <row r="838" spans="1:9" x14ac:dyDescent="0.2">
      <c r="A838" s="2">
        <v>13</v>
      </c>
      <c r="B838" s="1" t="s">
        <v>186</v>
      </c>
      <c r="C838" s="4">
        <v>3</v>
      </c>
      <c r="D838" s="8">
        <v>1.91</v>
      </c>
      <c r="E838" s="4">
        <v>1</v>
      </c>
      <c r="F838" s="8">
        <v>1</v>
      </c>
      <c r="G838" s="4">
        <v>2</v>
      </c>
      <c r="H838" s="8">
        <v>3.64</v>
      </c>
      <c r="I838" s="4">
        <v>0</v>
      </c>
    </row>
    <row r="839" spans="1:9" x14ac:dyDescent="0.2">
      <c r="A839" s="2">
        <v>13</v>
      </c>
      <c r="B839" s="1" t="s">
        <v>163</v>
      </c>
      <c r="C839" s="4">
        <v>3</v>
      </c>
      <c r="D839" s="8">
        <v>1.91</v>
      </c>
      <c r="E839" s="4">
        <v>1</v>
      </c>
      <c r="F839" s="8">
        <v>1</v>
      </c>
      <c r="G839" s="4">
        <v>2</v>
      </c>
      <c r="H839" s="8">
        <v>3.64</v>
      </c>
      <c r="I839" s="4">
        <v>0</v>
      </c>
    </row>
    <row r="840" spans="1:9" x14ac:dyDescent="0.2">
      <c r="A840" s="2">
        <v>13</v>
      </c>
      <c r="B840" s="1" t="s">
        <v>137</v>
      </c>
      <c r="C840" s="4">
        <v>3</v>
      </c>
      <c r="D840" s="8">
        <v>1.91</v>
      </c>
      <c r="E840" s="4">
        <v>3</v>
      </c>
      <c r="F840" s="8">
        <v>3</v>
      </c>
      <c r="G840" s="4">
        <v>0</v>
      </c>
      <c r="H840" s="8">
        <v>0</v>
      </c>
      <c r="I840" s="4">
        <v>0</v>
      </c>
    </row>
    <row r="841" spans="1:9" x14ac:dyDescent="0.2">
      <c r="A841" s="2">
        <v>13</v>
      </c>
      <c r="B841" s="1" t="s">
        <v>140</v>
      </c>
      <c r="C841" s="4">
        <v>3</v>
      </c>
      <c r="D841" s="8">
        <v>1.91</v>
      </c>
      <c r="E841" s="4">
        <v>3</v>
      </c>
      <c r="F841" s="8">
        <v>3</v>
      </c>
      <c r="G841" s="4">
        <v>0</v>
      </c>
      <c r="H841" s="8">
        <v>0</v>
      </c>
      <c r="I841" s="4">
        <v>0</v>
      </c>
    </row>
    <row r="842" spans="1:9" x14ac:dyDescent="0.2">
      <c r="A842" s="2">
        <v>20</v>
      </c>
      <c r="B842" s="1" t="s">
        <v>125</v>
      </c>
      <c r="C842" s="4">
        <v>2</v>
      </c>
      <c r="D842" s="8">
        <v>1.27</v>
      </c>
      <c r="E842" s="4">
        <v>1</v>
      </c>
      <c r="F842" s="8">
        <v>1</v>
      </c>
      <c r="G842" s="4">
        <v>1</v>
      </c>
      <c r="H842" s="8">
        <v>1.82</v>
      </c>
      <c r="I842" s="4">
        <v>0</v>
      </c>
    </row>
    <row r="843" spans="1:9" x14ac:dyDescent="0.2">
      <c r="A843" s="2">
        <v>20</v>
      </c>
      <c r="B843" s="1" t="s">
        <v>158</v>
      </c>
      <c r="C843" s="4">
        <v>2</v>
      </c>
      <c r="D843" s="8">
        <v>1.27</v>
      </c>
      <c r="E843" s="4">
        <v>1</v>
      </c>
      <c r="F843" s="8">
        <v>1</v>
      </c>
      <c r="G843" s="4">
        <v>1</v>
      </c>
      <c r="H843" s="8">
        <v>1.82</v>
      </c>
      <c r="I843" s="4">
        <v>0</v>
      </c>
    </row>
    <row r="844" spans="1:9" x14ac:dyDescent="0.2">
      <c r="A844" s="2">
        <v>20</v>
      </c>
      <c r="B844" s="1" t="s">
        <v>206</v>
      </c>
      <c r="C844" s="4">
        <v>2</v>
      </c>
      <c r="D844" s="8">
        <v>1.27</v>
      </c>
      <c r="E844" s="4">
        <v>2</v>
      </c>
      <c r="F844" s="8">
        <v>2</v>
      </c>
      <c r="G844" s="4">
        <v>0</v>
      </c>
      <c r="H844" s="8">
        <v>0</v>
      </c>
      <c r="I844" s="4">
        <v>0</v>
      </c>
    </row>
    <row r="845" spans="1:9" x14ac:dyDescent="0.2">
      <c r="A845" s="2">
        <v>20</v>
      </c>
      <c r="B845" s="1" t="s">
        <v>160</v>
      </c>
      <c r="C845" s="4">
        <v>2</v>
      </c>
      <c r="D845" s="8">
        <v>1.27</v>
      </c>
      <c r="E845" s="4">
        <v>1</v>
      </c>
      <c r="F845" s="8">
        <v>1</v>
      </c>
      <c r="G845" s="4">
        <v>1</v>
      </c>
      <c r="H845" s="8">
        <v>1.82</v>
      </c>
      <c r="I845" s="4">
        <v>0</v>
      </c>
    </row>
    <row r="846" spans="1:9" x14ac:dyDescent="0.2">
      <c r="A846" s="2">
        <v>20</v>
      </c>
      <c r="B846" s="1" t="s">
        <v>193</v>
      </c>
      <c r="C846" s="4">
        <v>2</v>
      </c>
      <c r="D846" s="8">
        <v>1.27</v>
      </c>
      <c r="E846" s="4">
        <v>0</v>
      </c>
      <c r="F846" s="8">
        <v>0</v>
      </c>
      <c r="G846" s="4">
        <v>2</v>
      </c>
      <c r="H846" s="8">
        <v>3.64</v>
      </c>
      <c r="I846" s="4">
        <v>0</v>
      </c>
    </row>
    <row r="847" spans="1:9" x14ac:dyDescent="0.2">
      <c r="A847" s="2">
        <v>20</v>
      </c>
      <c r="B847" s="1" t="s">
        <v>207</v>
      </c>
      <c r="C847" s="4">
        <v>2</v>
      </c>
      <c r="D847" s="8">
        <v>1.27</v>
      </c>
      <c r="E847" s="4">
        <v>0</v>
      </c>
      <c r="F847" s="8">
        <v>0</v>
      </c>
      <c r="G847" s="4">
        <v>2</v>
      </c>
      <c r="H847" s="8">
        <v>3.64</v>
      </c>
      <c r="I847" s="4">
        <v>0</v>
      </c>
    </row>
    <row r="848" spans="1:9" x14ac:dyDescent="0.2">
      <c r="A848" s="2">
        <v>20</v>
      </c>
      <c r="B848" s="1" t="s">
        <v>197</v>
      </c>
      <c r="C848" s="4">
        <v>2</v>
      </c>
      <c r="D848" s="8">
        <v>1.27</v>
      </c>
      <c r="E848" s="4">
        <v>0</v>
      </c>
      <c r="F848" s="8">
        <v>0</v>
      </c>
      <c r="G848" s="4">
        <v>1</v>
      </c>
      <c r="H848" s="8">
        <v>1.82</v>
      </c>
      <c r="I848" s="4">
        <v>1</v>
      </c>
    </row>
    <row r="849" spans="1:9" x14ac:dyDescent="0.2">
      <c r="A849" s="2">
        <v>20</v>
      </c>
      <c r="B849" s="1" t="s">
        <v>148</v>
      </c>
      <c r="C849" s="4">
        <v>2</v>
      </c>
      <c r="D849" s="8">
        <v>1.27</v>
      </c>
      <c r="E849" s="4">
        <v>1</v>
      </c>
      <c r="F849" s="8">
        <v>1</v>
      </c>
      <c r="G849" s="4">
        <v>1</v>
      </c>
      <c r="H849" s="8">
        <v>1.82</v>
      </c>
      <c r="I849" s="4">
        <v>0</v>
      </c>
    </row>
    <row r="850" spans="1:9" x14ac:dyDescent="0.2">
      <c r="A850" s="2">
        <v>20</v>
      </c>
      <c r="B850" s="1" t="s">
        <v>208</v>
      </c>
      <c r="C850" s="4">
        <v>2</v>
      </c>
      <c r="D850" s="8">
        <v>1.27</v>
      </c>
      <c r="E850" s="4">
        <v>2</v>
      </c>
      <c r="F850" s="8">
        <v>2</v>
      </c>
      <c r="G850" s="4">
        <v>0</v>
      </c>
      <c r="H850" s="8">
        <v>0</v>
      </c>
      <c r="I850" s="4">
        <v>0</v>
      </c>
    </row>
    <row r="851" spans="1:9" x14ac:dyDescent="0.2">
      <c r="A851" s="2">
        <v>20</v>
      </c>
      <c r="B851" s="1" t="s">
        <v>209</v>
      </c>
      <c r="C851" s="4">
        <v>2</v>
      </c>
      <c r="D851" s="8">
        <v>1.27</v>
      </c>
      <c r="E851" s="4">
        <v>2</v>
      </c>
      <c r="F851" s="8">
        <v>2</v>
      </c>
      <c r="G851" s="4">
        <v>0</v>
      </c>
      <c r="H851" s="8">
        <v>0</v>
      </c>
      <c r="I851" s="4">
        <v>0</v>
      </c>
    </row>
    <row r="852" spans="1:9" x14ac:dyDescent="0.2">
      <c r="A852" s="2">
        <v>20</v>
      </c>
      <c r="B852" s="1" t="s">
        <v>210</v>
      </c>
      <c r="C852" s="4">
        <v>2</v>
      </c>
      <c r="D852" s="8">
        <v>1.27</v>
      </c>
      <c r="E852" s="4">
        <v>2</v>
      </c>
      <c r="F852" s="8">
        <v>2</v>
      </c>
      <c r="G852" s="4">
        <v>0</v>
      </c>
      <c r="H852" s="8">
        <v>0</v>
      </c>
      <c r="I852" s="4">
        <v>0</v>
      </c>
    </row>
    <row r="853" spans="1:9" x14ac:dyDescent="0.2">
      <c r="A853" s="2">
        <v>20</v>
      </c>
      <c r="B853" s="1" t="s">
        <v>145</v>
      </c>
      <c r="C853" s="4">
        <v>2</v>
      </c>
      <c r="D853" s="8">
        <v>1.27</v>
      </c>
      <c r="E853" s="4">
        <v>1</v>
      </c>
      <c r="F853" s="8">
        <v>1</v>
      </c>
      <c r="G853" s="4">
        <v>1</v>
      </c>
      <c r="H853" s="8">
        <v>1.82</v>
      </c>
      <c r="I853" s="4">
        <v>0</v>
      </c>
    </row>
    <row r="854" spans="1:9" x14ac:dyDescent="0.2">
      <c r="A854" s="2">
        <v>20</v>
      </c>
      <c r="B854" s="1" t="s">
        <v>188</v>
      </c>
      <c r="C854" s="4">
        <v>2</v>
      </c>
      <c r="D854" s="8">
        <v>1.27</v>
      </c>
      <c r="E854" s="4">
        <v>1</v>
      </c>
      <c r="F854" s="8">
        <v>1</v>
      </c>
      <c r="G854" s="4">
        <v>1</v>
      </c>
      <c r="H854" s="8">
        <v>1.82</v>
      </c>
      <c r="I854" s="4">
        <v>0</v>
      </c>
    </row>
    <row r="855" spans="1:9" x14ac:dyDescent="0.2">
      <c r="A855" s="1"/>
      <c r="C855" s="4"/>
      <c r="D855" s="8"/>
      <c r="E855" s="4"/>
      <c r="F855" s="8"/>
      <c r="G855" s="4"/>
      <c r="H855" s="8"/>
      <c r="I855" s="4"/>
    </row>
    <row r="856" spans="1:9" x14ac:dyDescent="0.2">
      <c r="A856" s="1" t="s">
        <v>36</v>
      </c>
      <c r="C856" s="4"/>
      <c r="D856" s="8"/>
      <c r="E856" s="4"/>
      <c r="F856" s="8"/>
      <c r="G856" s="4"/>
      <c r="H856" s="8"/>
      <c r="I856" s="4"/>
    </row>
    <row r="857" spans="1:9" x14ac:dyDescent="0.2">
      <c r="A857" s="2">
        <v>1</v>
      </c>
      <c r="B857" s="1" t="s">
        <v>138</v>
      </c>
      <c r="C857" s="4">
        <v>13</v>
      </c>
      <c r="D857" s="8">
        <v>4.9400000000000004</v>
      </c>
      <c r="E857" s="4">
        <v>13</v>
      </c>
      <c r="F857" s="8">
        <v>7.93</v>
      </c>
      <c r="G857" s="4">
        <v>0</v>
      </c>
      <c r="H857" s="8">
        <v>0</v>
      </c>
      <c r="I857" s="4">
        <v>0</v>
      </c>
    </row>
    <row r="858" spans="1:9" x14ac:dyDescent="0.2">
      <c r="A858" s="2">
        <v>2</v>
      </c>
      <c r="B858" s="1" t="s">
        <v>136</v>
      </c>
      <c r="C858" s="4">
        <v>11</v>
      </c>
      <c r="D858" s="8">
        <v>4.18</v>
      </c>
      <c r="E858" s="4">
        <v>10</v>
      </c>
      <c r="F858" s="8">
        <v>6.1</v>
      </c>
      <c r="G858" s="4">
        <v>1</v>
      </c>
      <c r="H858" s="8">
        <v>1.05</v>
      </c>
      <c r="I858" s="4">
        <v>0</v>
      </c>
    </row>
    <row r="859" spans="1:9" x14ac:dyDescent="0.2">
      <c r="A859" s="2">
        <v>2</v>
      </c>
      <c r="B859" s="1" t="s">
        <v>139</v>
      </c>
      <c r="C859" s="4">
        <v>11</v>
      </c>
      <c r="D859" s="8">
        <v>4.18</v>
      </c>
      <c r="E859" s="4">
        <v>10</v>
      </c>
      <c r="F859" s="8">
        <v>6.1</v>
      </c>
      <c r="G859" s="4">
        <v>1</v>
      </c>
      <c r="H859" s="8">
        <v>1.05</v>
      </c>
      <c r="I859" s="4">
        <v>0</v>
      </c>
    </row>
    <row r="860" spans="1:9" x14ac:dyDescent="0.2">
      <c r="A860" s="2">
        <v>4</v>
      </c>
      <c r="B860" s="1" t="s">
        <v>181</v>
      </c>
      <c r="C860" s="4">
        <v>8</v>
      </c>
      <c r="D860" s="8">
        <v>3.04</v>
      </c>
      <c r="E860" s="4">
        <v>6</v>
      </c>
      <c r="F860" s="8">
        <v>3.66</v>
      </c>
      <c r="G860" s="4">
        <v>2</v>
      </c>
      <c r="H860" s="8">
        <v>2.11</v>
      </c>
      <c r="I860" s="4">
        <v>0</v>
      </c>
    </row>
    <row r="861" spans="1:9" x14ac:dyDescent="0.2">
      <c r="A861" s="2">
        <v>4</v>
      </c>
      <c r="B861" s="1" t="s">
        <v>137</v>
      </c>
      <c r="C861" s="4">
        <v>8</v>
      </c>
      <c r="D861" s="8">
        <v>3.04</v>
      </c>
      <c r="E861" s="4">
        <v>8</v>
      </c>
      <c r="F861" s="8">
        <v>4.88</v>
      </c>
      <c r="G861" s="4">
        <v>0</v>
      </c>
      <c r="H861" s="8">
        <v>0</v>
      </c>
      <c r="I861" s="4">
        <v>0</v>
      </c>
    </row>
    <row r="862" spans="1:9" x14ac:dyDescent="0.2">
      <c r="A862" s="2">
        <v>6</v>
      </c>
      <c r="B862" s="1" t="s">
        <v>122</v>
      </c>
      <c r="C862" s="4">
        <v>7</v>
      </c>
      <c r="D862" s="8">
        <v>2.66</v>
      </c>
      <c r="E862" s="4">
        <v>1</v>
      </c>
      <c r="F862" s="8">
        <v>0.61</v>
      </c>
      <c r="G862" s="4">
        <v>6</v>
      </c>
      <c r="H862" s="8">
        <v>6.32</v>
      </c>
      <c r="I862" s="4">
        <v>0</v>
      </c>
    </row>
    <row r="863" spans="1:9" x14ac:dyDescent="0.2">
      <c r="A863" s="2">
        <v>6</v>
      </c>
      <c r="B863" s="1" t="s">
        <v>134</v>
      </c>
      <c r="C863" s="4">
        <v>7</v>
      </c>
      <c r="D863" s="8">
        <v>2.66</v>
      </c>
      <c r="E863" s="4">
        <v>6</v>
      </c>
      <c r="F863" s="8">
        <v>3.66</v>
      </c>
      <c r="G863" s="4">
        <v>1</v>
      </c>
      <c r="H863" s="8">
        <v>1.05</v>
      </c>
      <c r="I863" s="4">
        <v>0</v>
      </c>
    </row>
    <row r="864" spans="1:9" x14ac:dyDescent="0.2">
      <c r="A864" s="2">
        <v>8</v>
      </c>
      <c r="B864" s="1" t="s">
        <v>165</v>
      </c>
      <c r="C864" s="4">
        <v>6</v>
      </c>
      <c r="D864" s="8">
        <v>2.2799999999999998</v>
      </c>
      <c r="E864" s="4">
        <v>3</v>
      </c>
      <c r="F864" s="8">
        <v>1.83</v>
      </c>
      <c r="G864" s="4">
        <v>3</v>
      </c>
      <c r="H864" s="8">
        <v>3.16</v>
      </c>
      <c r="I864" s="4">
        <v>0</v>
      </c>
    </row>
    <row r="865" spans="1:9" x14ac:dyDescent="0.2">
      <c r="A865" s="2">
        <v>8</v>
      </c>
      <c r="B865" s="1" t="s">
        <v>128</v>
      </c>
      <c r="C865" s="4">
        <v>6</v>
      </c>
      <c r="D865" s="8">
        <v>2.2799999999999998</v>
      </c>
      <c r="E865" s="4">
        <v>3</v>
      </c>
      <c r="F865" s="8">
        <v>1.83</v>
      </c>
      <c r="G865" s="4">
        <v>3</v>
      </c>
      <c r="H865" s="8">
        <v>3.16</v>
      </c>
      <c r="I865" s="4">
        <v>0</v>
      </c>
    </row>
    <row r="866" spans="1:9" x14ac:dyDescent="0.2">
      <c r="A866" s="2">
        <v>8</v>
      </c>
      <c r="B866" s="1" t="s">
        <v>140</v>
      </c>
      <c r="C866" s="4">
        <v>6</v>
      </c>
      <c r="D866" s="8">
        <v>2.2799999999999998</v>
      </c>
      <c r="E866" s="4">
        <v>6</v>
      </c>
      <c r="F866" s="8">
        <v>3.66</v>
      </c>
      <c r="G866" s="4">
        <v>0</v>
      </c>
      <c r="H866" s="8">
        <v>0</v>
      </c>
      <c r="I866" s="4">
        <v>0</v>
      </c>
    </row>
    <row r="867" spans="1:9" x14ac:dyDescent="0.2">
      <c r="A867" s="2">
        <v>11</v>
      </c>
      <c r="B867" s="1" t="s">
        <v>153</v>
      </c>
      <c r="C867" s="4">
        <v>5</v>
      </c>
      <c r="D867" s="8">
        <v>1.9</v>
      </c>
      <c r="E867" s="4">
        <v>0</v>
      </c>
      <c r="F867" s="8">
        <v>0</v>
      </c>
      <c r="G867" s="4">
        <v>5</v>
      </c>
      <c r="H867" s="8">
        <v>5.26</v>
      </c>
      <c r="I867" s="4">
        <v>0</v>
      </c>
    </row>
    <row r="868" spans="1:9" x14ac:dyDescent="0.2">
      <c r="A868" s="2">
        <v>11</v>
      </c>
      <c r="B868" s="1" t="s">
        <v>185</v>
      </c>
      <c r="C868" s="4">
        <v>5</v>
      </c>
      <c r="D868" s="8">
        <v>1.9</v>
      </c>
      <c r="E868" s="4">
        <v>5</v>
      </c>
      <c r="F868" s="8">
        <v>3.05</v>
      </c>
      <c r="G868" s="4">
        <v>0</v>
      </c>
      <c r="H868" s="8">
        <v>0</v>
      </c>
      <c r="I868" s="4">
        <v>0</v>
      </c>
    </row>
    <row r="869" spans="1:9" x14ac:dyDescent="0.2">
      <c r="A869" s="2">
        <v>11</v>
      </c>
      <c r="B869" s="1" t="s">
        <v>129</v>
      </c>
      <c r="C869" s="4">
        <v>5</v>
      </c>
      <c r="D869" s="8">
        <v>1.9</v>
      </c>
      <c r="E869" s="4">
        <v>1</v>
      </c>
      <c r="F869" s="8">
        <v>0.61</v>
      </c>
      <c r="G869" s="4">
        <v>4</v>
      </c>
      <c r="H869" s="8">
        <v>4.21</v>
      </c>
      <c r="I869" s="4">
        <v>0</v>
      </c>
    </row>
    <row r="870" spans="1:9" x14ac:dyDescent="0.2">
      <c r="A870" s="2">
        <v>11</v>
      </c>
      <c r="B870" s="1" t="s">
        <v>132</v>
      </c>
      <c r="C870" s="4">
        <v>5</v>
      </c>
      <c r="D870" s="8">
        <v>1.9</v>
      </c>
      <c r="E870" s="4">
        <v>3</v>
      </c>
      <c r="F870" s="8">
        <v>1.83</v>
      </c>
      <c r="G870" s="4">
        <v>2</v>
      </c>
      <c r="H870" s="8">
        <v>2.11</v>
      </c>
      <c r="I870" s="4">
        <v>0</v>
      </c>
    </row>
    <row r="871" spans="1:9" x14ac:dyDescent="0.2">
      <c r="A871" s="2">
        <v>11</v>
      </c>
      <c r="B871" s="1" t="s">
        <v>208</v>
      </c>
      <c r="C871" s="4">
        <v>5</v>
      </c>
      <c r="D871" s="8">
        <v>1.9</v>
      </c>
      <c r="E871" s="4">
        <v>5</v>
      </c>
      <c r="F871" s="8">
        <v>3.05</v>
      </c>
      <c r="G871" s="4">
        <v>0</v>
      </c>
      <c r="H871" s="8">
        <v>0</v>
      </c>
      <c r="I871" s="4">
        <v>0</v>
      </c>
    </row>
    <row r="872" spans="1:9" x14ac:dyDescent="0.2">
      <c r="A872" s="2">
        <v>11</v>
      </c>
      <c r="B872" s="1" t="s">
        <v>211</v>
      </c>
      <c r="C872" s="4">
        <v>5</v>
      </c>
      <c r="D872" s="8">
        <v>1.9</v>
      </c>
      <c r="E872" s="4">
        <v>4</v>
      </c>
      <c r="F872" s="8">
        <v>2.44</v>
      </c>
      <c r="G872" s="4">
        <v>1</v>
      </c>
      <c r="H872" s="8">
        <v>1.05</v>
      </c>
      <c r="I872" s="4">
        <v>0</v>
      </c>
    </row>
    <row r="873" spans="1:9" x14ac:dyDescent="0.2">
      <c r="A873" s="2">
        <v>11</v>
      </c>
      <c r="B873" s="1" t="s">
        <v>141</v>
      </c>
      <c r="C873" s="4">
        <v>5</v>
      </c>
      <c r="D873" s="8">
        <v>1.9</v>
      </c>
      <c r="E873" s="4">
        <v>4</v>
      </c>
      <c r="F873" s="8">
        <v>2.44</v>
      </c>
      <c r="G873" s="4">
        <v>1</v>
      </c>
      <c r="H873" s="8">
        <v>1.05</v>
      </c>
      <c r="I873" s="4">
        <v>0</v>
      </c>
    </row>
    <row r="874" spans="1:9" x14ac:dyDescent="0.2">
      <c r="A874" s="2">
        <v>18</v>
      </c>
      <c r="B874" s="1" t="s">
        <v>176</v>
      </c>
      <c r="C874" s="4">
        <v>4</v>
      </c>
      <c r="D874" s="8">
        <v>1.52</v>
      </c>
      <c r="E874" s="4">
        <v>4</v>
      </c>
      <c r="F874" s="8">
        <v>2.44</v>
      </c>
      <c r="G874" s="4">
        <v>0</v>
      </c>
      <c r="H874" s="8">
        <v>0</v>
      </c>
      <c r="I874" s="4">
        <v>0</v>
      </c>
    </row>
    <row r="875" spans="1:9" x14ac:dyDescent="0.2">
      <c r="A875" s="2">
        <v>18</v>
      </c>
      <c r="B875" s="1" t="s">
        <v>125</v>
      </c>
      <c r="C875" s="4">
        <v>4</v>
      </c>
      <c r="D875" s="8">
        <v>1.52</v>
      </c>
      <c r="E875" s="4">
        <v>2</v>
      </c>
      <c r="F875" s="8">
        <v>1.22</v>
      </c>
      <c r="G875" s="4">
        <v>2</v>
      </c>
      <c r="H875" s="8">
        <v>2.11</v>
      </c>
      <c r="I875" s="4">
        <v>0</v>
      </c>
    </row>
    <row r="876" spans="1:9" x14ac:dyDescent="0.2">
      <c r="A876" s="2">
        <v>18</v>
      </c>
      <c r="B876" s="1" t="s">
        <v>157</v>
      </c>
      <c r="C876" s="4">
        <v>4</v>
      </c>
      <c r="D876" s="8">
        <v>1.52</v>
      </c>
      <c r="E876" s="4">
        <v>4</v>
      </c>
      <c r="F876" s="8">
        <v>2.44</v>
      </c>
      <c r="G876" s="4">
        <v>0</v>
      </c>
      <c r="H876" s="8">
        <v>0</v>
      </c>
      <c r="I876" s="4">
        <v>0</v>
      </c>
    </row>
    <row r="877" spans="1:9" x14ac:dyDescent="0.2">
      <c r="A877" s="2">
        <v>18</v>
      </c>
      <c r="B877" s="1" t="s">
        <v>148</v>
      </c>
      <c r="C877" s="4">
        <v>4</v>
      </c>
      <c r="D877" s="8">
        <v>1.52</v>
      </c>
      <c r="E877" s="4">
        <v>4</v>
      </c>
      <c r="F877" s="8">
        <v>2.44</v>
      </c>
      <c r="G877" s="4">
        <v>0</v>
      </c>
      <c r="H877" s="8">
        <v>0</v>
      </c>
      <c r="I877" s="4">
        <v>0</v>
      </c>
    </row>
    <row r="878" spans="1:9" x14ac:dyDescent="0.2">
      <c r="A878" s="1"/>
      <c r="C878" s="4"/>
      <c r="D878" s="8"/>
      <c r="E878" s="4"/>
      <c r="F878" s="8"/>
      <c r="G878" s="4"/>
      <c r="H878" s="8"/>
      <c r="I878" s="4"/>
    </row>
    <row r="879" spans="1:9" x14ac:dyDescent="0.2">
      <c r="A879" s="1" t="s">
        <v>37</v>
      </c>
      <c r="C879" s="4"/>
      <c r="D879" s="8"/>
      <c r="E879" s="4"/>
      <c r="F879" s="8"/>
      <c r="G879" s="4"/>
      <c r="H879" s="8"/>
      <c r="I879" s="4"/>
    </row>
    <row r="880" spans="1:9" x14ac:dyDescent="0.2">
      <c r="A880" s="2">
        <v>1</v>
      </c>
      <c r="B880" s="1" t="s">
        <v>138</v>
      </c>
      <c r="C880" s="4">
        <v>7</v>
      </c>
      <c r="D880" s="8">
        <v>5.38</v>
      </c>
      <c r="E880" s="4">
        <v>7</v>
      </c>
      <c r="F880" s="8">
        <v>7.87</v>
      </c>
      <c r="G880" s="4">
        <v>0</v>
      </c>
      <c r="H880" s="8">
        <v>0</v>
      </c>
      <c r="I880" s="4">
        <v>0</v>
      </c>
    </row>
    <row r="881" spans="1:9" x14ac:dyDescent="0.2">
      <c r="A881" s="2">
        <v>2</v>
      </c>
      <c r="B881" s="1" t="s">
        <v>124</v>
      </c>
      <c r="C881" s="4">
        <v>6</v>
      </c>
      <c r="D881" s="8">
        <v>4.62</v>
      </c>
      <c r="E881" s="4">
        <v>4</v>
      </c>
      <c r="F881" s="8">
        <v>4.49</v>
      </c>
      <c r="G881" s="4">
        <v>2</v>
      </c>
      <c r="H881" s="8">
        <v>5.26</v>
      </c>
      <c r="I881" s="4">
        <v>0</v>
      </c>
    </row>
    <row r="882" spans="1:9" x14ac:dyDescent="0.2">
      <c r="A882" s="2">
        <v>3</v>
      </c>
      <c r="B882" s="1" t="s">
        <v>122</v>
      </c>
      <c r="C882" s="4">
        <v>5</v>
      </c>
      <c r="D882" s="8">
        <v>3.85</v>
      </c>
      <c r="E882" s="4">
        <v>1</v>
      </c>
      <c r="F882" s="8">
        <v>1.1200000000000001</v>
      </c>
      <c r="G882" s="4">
        <v>4</v>
      </c>
      <c r="H882" s="8">
        <v>10.53</v>
      </c>
      <c r="I882" s="4">
        <v>0</v>
      </c>
    </row>
    <row r="883" spans="1:9" x14ac:dyDescent="0.2">
      <c r="A883" s="2">
        <v>3</v>
      </c>
      <c r="B883" s="1" t="s">
        <v>127</v>
      </c>
      <c r="C883" s="4">
        <v>5</v>
      </c>
      <c r="D883" s="8">
        <v>3.85</v>
      </c>
      <c r="E883" s="4">
        <v>4</v>
      </c>
      <c r="F883" s="8">
        <v>4.49</v>
      </c>
      <c r="G883" s="4">
        <v>1</v>
      </c>
      <c r="H883" s="8">
        <v>2.63</v>
      </c>
      <c r="I883" s="4">
        <v>0</v>
      </c>
    </row>
    <row r="884" spans="1:9" x14ac:dyDescent="0.2">
      <c r="A884" s="2">
        <v>3</v>
      </c>
      <c r="B884" s="1" t="s">
        <v>128</v>
      </c>
      <c r="C884" s="4">
        <v>5</v>
      </c>
      <c r="D884" s="8">
        <v>3.85</v>
      </c>
      <c r="E884" s="4">
        <v>4</v>
      </c>
      <c r="F884" s="8">
        <v>4.49</v>
      </c>
      <c r="G884" s="4">
        <v>1</v>
      </c>
      <c r="H884" s="8">
        <v>2.63</v>
      </c>
      <c r="I884" s="4">
        <v>0</v>
      </c>
    </row>
    <row r="885" spans="1:9" x14ac:dyDescent="0.2">
      <c r="A885" s="2">
        <v>6</v>
      </c>
      <c r="B885" s="1" t="s">
        <v>147</v>
      </c>
      <c r="C885" s="4">
        <v>4</v>
      </c>
      <c r="D885" s="8">
        <v>3.08</v>
      </c>
      <c r="E885" s="4">
        <v>2</v>
      </c>
      <c r="F885" s="8">
        <v>2.25</v>
      </c>
      <c r="G885" s="4">
        <v>2</v>
      </c>
      <c r="H885" s="8">
        <v>5.26</v>
      </c>
      <c r="I885" s="4">
        <v>0</v>
      </c>
    </row>
    <row r="886" spans="1:9" x14ac:dyDescent="0.2">
      <c r="A886" s="2">
        <v>6</v>
      </c>
      <c r="B886" s="1" t="s">
        <v>180</v>
      </c>
      <c r="C886" s="4">
        <v>4</v>
      </c>
      <c r="D886" s="8">
        <v>3.08</v>
      </c>
      <c r="E886" s="4">
        <v>3</v>
      </c>
      <c r="F886" s="8">
        <v>3.37</v>
      </c>
      <c r="G886" s="4">
        <v>1</v>
      </c>
      <c r="H886" s="8">
        <v>2.63</v>
      </c>
      <c r="I886" s="4">
        <v>0</v>
      </c>
    </row>
    <row r="887" spans="1:9" x14ac:dyDescent="0.2">
      <c r="A887" s="2">
        <v>6</v>
      </c>
      <c r="B887" s="1" t="s">
        <v>170</v>
      </c>
      <c r="C887" s="4">
        <v>4</v>
      </c>
      <c r="D887" s="8">
        <v>3.08</v>
      </c>
      <c r="E887" s="4">
        <v>2</v>
      </c>
      <c r="F887" s="8">
        <v>2.25</v>
      </c>
      <c r="G887" s="4">
        <v>2</v>
      </c>
      <c r="H887" s="8">
        <v>5.26</v>
      </c>
      <c r="I887" s="4">
        <v>0</v>
      </c>
    </row>
    <row r="888" spans="1:9" x14ac:dyDescent="0.2">
      <c r="A888" s="2">
        <v>6</v>
      </c>
      <c r="B888" s="1" t="s">
        <v>134</v>
      </c>
      <c r="C888" s="4">
        <v>4</v>
      </c>
      <c r="D888" s="8">
        <v>3.08</v>
      </c>
      <c r="E888" s="4">
        <v>2</v>
      </c>
      <c r="F888" s="8">
        <v>2.25</v>
      </c>
      <c r="G888" s="4">
        <v>2</v>
      </c>
      <c r="H888" s="8">
        <v>5.26</v>
      </c>
      <c r="I888" s="4">
        <v>0</v>
      </c>
    </row>
    <row r="889" spans="1:9" x14ac:dyDescent="0.2">
      <c r="A889" s="2">
        <v>6</v>
      </c>
      <c r="B889" s="1" t="s">
        <v>136</v>
      </c>
      <c r="C889" s="4">
        <v>4</v>
      </c>
      <c r="D889" s="8">
        <v>3.08</v>
      </c>
      <c r="E889" s="4">
        <v>4</v>
      </c>
      <c r="F889" s="8">
        <v>4.49</v>
      </c>
      <c r="G889" s="4">
        <v>0</v>
      </c>
      <c r="H889" s="8">
        <v>0</v>
      </c>
      <c r="I889" s="4">
        <v>0</v>
      </c>
    </row>
    <row r="890" spans="1:9" x14ac:dyDescent="0.2">
      <c r="A890" s="2">
        <v>11</v>
      </c>
      <c r="B890" s="1" t="s">
        <v>123</v>
      </c>
      <c r="C890" s="4">
        <v>3</v>
      </c>
      <c r="D890" s="8">
        <v>2.31</v>
      </c>
      <c r="E890" s="4">
        <v>1</v>
      </c>
      <c r="F890" s="8">
        <v>1.1200000000000001</v>
      </c>
      <c r="G890" s="4">
        <v>2</v>
      </c>
      <c r="H890" s="8">
        <v>5.26</v>
      </c>
      <c r="I890" s="4">
        <v>0</v>
      </c>
    </row>
    <row r="891" spans="1:9" x14ac:dyDescent="0.2">
      <c r="A891" s="2">
        <v>11</v>
      </c>
      <c r="B891" s="1" t="s">
        <v>212</v>
      </c>
      <c r="C891" s="4">
        <v>3</v>
      </c>
      <c r="D891" s="8">
        <v>2.31</v>
      </c>
      <c r="E891" s="4">
        <v>2</v>
      </c>
      <c r="F891" s="8">
        <v>2.25</v>
      </c>
      <c r="G891" s="4">
        <v>1</v>
      </c>
      <c r="H891" s="8">
        <v>2.63</v>
      </c>
      <c r="I891" s="4">
        <v>0</v>
      </c>
    </row>
    <row r="892" spans="1:9" x14ac:dyDescent="0.2">
      <c r="A892" s="2">
        <v>11</v>
      </c>
      <c r="B892" s="1" t="s">
        <v>192</v>
      </c>
      <c r="C892" s="4">
        <v>3</v>
      </c>
      <c r="D892" s="8">
        <v>2.31</v>
      </c>
      <c r="E892" s="4">
        <v>3</v>
      </c>
      <c r="F892" s="8">
        <v>3.37</v>
      </c>
      <c r="G892" s="4">
        <v>0</v>
      </c>
      <c r="H892" s="8">
        <v>0</v>
      </c>
      <c r="I892" s="4">
        <v>0</v>
      </c>
    </row>
    <row r="893" spans="1:9" x14ac:dyDescent="0.2">
      <c r="A893" s="2">
        <v>11</v>
      </c>
      <c r="B893" s="1" t="s">
        <v>125</v>
      </c>
      <c r="C893" s="4">
        <v>3</v>
      </c>
      <c r="D893" s="8">
        <v>2.31</v>
      </c>
      <c r="E893" s="4">
        <v>3</v>
      </c>
      <c r="F893" s="8">
        <v>3.37</v>
      </c>
      <c r="G893" s="4">
        <v>0</v>
      </c>
      <c r="H893" s="8">
        <v>0</v>
      </c>
      <c r="I893" s="4">
        <v>0</v>
      </c>
    </row>
    <row r="894" spans="1:9" x14ac:dyDescent="0.2">
      <c r="A894" s="2">
        <v>11</v>
      </c>
      <c r="B894" s="1" t="s">
        <v>191</v>
      </c>
      <c r="C894" s="4">
        <v>3</v>
      </c>
      <c r="D894" s="8">
        <v>2.31</v>
      </c>
      <c r="E894" s="4">
        <v>3</v>
      </c>
      <c r="F894" s="8">
        <v>3.37</v>
      </c>
      <c r="G894" s="4">
        <v>0</v>
      </c>
      <c r="H894" s="8">
        <v>0</v>
      </c>
      <c r="I894" s="4">
        <v>0</v>
      </c>
    </row>
    <row r="895" spans="1:9" x14ac:dyDescent="0.2">
      <c r="A895" s="2">
        <v>11</v>
      </c>
      <c r="B895" s="1" t="s">
        <v>137</v>
      </c>
      <c r="C895" s="4">
        <v>3</v>
      </c>
      <c r="D895" s="8">
        <v>2.31</v>
      </c>
      <c r="E895" s="4">
        <v>3</v>
      </c>
      <c r="F895" s="8">
        <v>3.37</v>
      </c>
      <c r="G895" s="4">
        <v>0</v>
      </c>
      <c r="H895" s="8">
        <v>0</v>
      </c>
      <c r="I895" s="4">
        <v>0</v>
      </c>
    </row>
    <row r="896" spans="1:9" x14ac:dyDescent="0.2">
      <c r="A896" s="2">
        <v>17</v>
      </c>
      <c r="B896" s="1" t="s">
        <v>213</v>
      </c>
      <c r="C896" s="4">
        <v>2</v>
      </c>
      <c r="D896" s="8">
        <v>1.54</v>
      </c>
      <c r="E896" s="4">
        <v>2</v>
      </c>
      <c r="F896" s="8">
        <v>2.25</v>
      </c>
      <c r="G896" s="4">
        <v>0</v>
      </c>
      <c r="H896" s="8">
        <v>0</v>
      </c>
      <c r="I896" s="4">
        <v>0</v>
      </c>
    </row>
    <row r="897" spans="1:9" x14ac:dyDescent="0.2">
      <c r="A897" s="2">
        <v>17</v>
      </c>
      <c r="B897" s="1" t="s">
        <v>176</v>
      </c>
      <c r="C897" s="4">
        <v>2</v>
      </c>
      <c r="D897" s="8">
        <v>1.54</v>
      </c>
      <c r="E897" s="4">
        <v>2</v>
      </c>
      <c r="F897" s="8">
        <v>2.25</v>
      </c>
      <c r="G897" s="4">
        <v>0</v>
      </c>
      <c r="H897" s="8">
        <v>0</v>
      </c>
      <c r="I897" s="4">
        <v>0</v>
      </c>
    </row>
    <row r="898" spans="1:9" x14ac:dyDescent="0.2">
      <c r="A898" s="2">
        <v>17</v>
      </c>
      <c r="B898" s="1" t="s">
        <v>158</v>
      </c>
      <c r="C898" s="4">
        <v>2</v>
      </c>
      <c r="D898" s="8">
        <v>1.54</v>
      </c>
      <c r="E898" s="4">
        <v>1</v>
      </c>
      <c r="F898" s="8">
        <v>1.1200000000000001</v>
      </c>
      <c r="G898" s="4">
        <v>1</v>
      </c>
      <c r="H898" s="8">
        <v>2.63</v>
      </c>
      <c r="I898" s="4">
        <v>0</v>
      </c>
    </row>
    <row r="899" spans="1:9" x14ac:dyDescent="0.2">
      <c r="A899" s="2">
        <v>17</v>
      </c>
      <c r="B899" s="1" t="s">
        <v>214</v>
      </c>
      <c r="C899" s="4">
        <v>2</v>
      </c>
      <c r="D899" s="8">
        <v>1.54</v>
      </c>
      <c r="E899" s="4">
        <v>0</v>
      </c>
      <c r="F899" s="8">
        <v>0</v>
      </c>
      <c r="G899" s="4">
        <v>2</v>
      </c>
      <c r="H899" s="8">
        <v>5.26</v>
      </c>
      <c r="I899" s="4">
        <v>0</v>
      </c>
    </row>
    <row r="900" spans="1:9" x14ac:dyDescent="0.2">
      <c r="A900" s="2">
        <v>17</v>
      </c>
      <c r="B900" s="1" t="s">
        <v>155</v>
      </c>
      <c r="C900" s="4">
        <v>2</v>
      </c>
      <c r="D900" s="8">
        <v>1.54</v>
      </c>
      <c r="E900" s="4">
        <v>1</v>
      </c>
      <c r="F900" s="8">
        <v>1.1200000000000001</v>
      </c>
      <c r="G900" s="4">
        <v>1</v>
      </c>
      <c r="H900" s="8">
        <v>2.63</v>
      </c>
      <c r="I900" s="4">
        <v>0</v>
      </c>
    </row>
    <row r="901" spans="1:9" x14ac:dyDescent="0.2">
      <c r="A901" s="2">
        <v>17</v>
      </c>
      <c r="B901" s="1" t="s">
        <v>181</v>
      </c>
      <c r="C901" s="4">
        <v>2</v>
      </c>
      <c r="D901" s="8">
        <v>1.54</v>
      </c>
      <c r="E901" s="4">
        <v>2</v>
      </c>
      <c r="F901" s="8">
        <v>2.25</v>
      </c>
      <c r="G901" s="4">
        <v>0</v>
      </c>
      <c r="H901" s="8">
        <v>0</v>
      </c>
      <c r="I901" s="4">
        <v>0</v>
      </c>
    </row>
    <row r="902" spans="1:9" x14ac:dyDescent="0.2">
      <c r="A902" s="2">
        <v>17</v>
      </c>
      <c r="B902" s="1" t="s">
        <v>148</v>
      </c>
      <c r="C902" s="4">
        <v>2</v>
      </c>
      <c r="D902" s="8">
        <v>1.54</v>
      </c>
      <c r="E902" s="4">
        <v>2</v>
      </c>
      <c r="F902" s="8">
        <v>2.25</v>
      </c>
      <c r="G902" s="4">
        <v>0</v>
      </c>
      <c r="H902" s="8">
        <v>0</v>
      </c>
      <c r="I902" s="4">
        <v>0</v>
      </c>
    </row>
    <row r="903" spans="1:9" x14ac:dyDescent="0.2">
      <c r="A903" s="2">
        <v>17</v>
      </c>
      <c r="B903" s="1" t="s">
        <v>129</v>
      </c>
      <c r="C903" s="4">
        <v>2</v>
      </c>
      <c r="D903" s="8">
        <v>1.54</v>
      </c>
      <c r="E903" s="4">
        <v>1</v>
      </c>
      <c r="F903" s="8">
        <v>1.1200000000000001</v>
      </c>
      <c r="G903" s="4">
        <v>1</v>
      </c>
      <c r="H903" s="8">
        <v>2.63</v>
      </c>
      <c r="I903" s="4">
        <v>0</v>
      </c>
    </row>
    <row r="904" spans="1:9" x14ac:dyDescent="0.2">
      <c r="A904" s="2">
        <v>17</v>
      </c>
      <c r="B904" s="1" t="s">
        <v>215</v>
      </c>
      <c r="C904" s="4">
        <v>2</v>
      </c>
      <c r="D904" s="8">
        <v>1.54</v>
      </c>
      <c r="E904" s="4">
        <v>2</v>
      </c>
      <c r="F904" s="8">
        <v>2.25</v>
      </c>
      <c r="G904" s="4">
        <v>0</v>
      </c>
      <c r="H904" s="8">
        <v>0</v>
      </c>
      <c r="I904" s="4">
        <v>0</v>
      </c>
    </row>
    <row r="905" spans="1:9" x14ac:dyDescent="0.2">
      <c r="A905" s="2">
        <v>17</v>
      </c>
      <c r="B905" s="1" t="s">
        <v>205</v>
      </c>
      <c r="C905" s="4">
        <v>2</v>
      </c>
      <c r="D905" s="8">
        <v>1.54</v>
      </c>
      <c r="E905" s="4">
        <v>1</v>
      </c>
      <c r="F905" s="8">
        <v>1.1200000000000001</v>
      </c>
      <c r="G905" s="4">
        <v>1</v>
      </c>
      <c r="H905" s="8">
        <v>2.63</v>
      </c>
      <c r="I905" s="4">
        <v>0</v>
      </c>
    </row>
    <row r="906" spans="1:9" x14ac:dyDescent="0.2">
      <c r="A906" s="2">
        <v>17</v>
      </c>
      <c r="B906" s="1" t="s">
        <v>167</v>
      </c>
      <c r="C906" s="4">
        <v>2</v>
      </c>
      <c r="D906" s="8">
        <v>1.54</v>
      </c>
      <c r="E906" s="4">
        <v>2</v>
      </c>
      <c r="F906" s="8">
        <v>2.25</v>
      </c>
      <c r="G906" s="4">
        <v>0</v>
      </c>
      <c r="H906" s="8">
        <v>0</v>
      </c>
      <c r="I906" s="4">
        <v>0</v>
      </c>
    </row>
    <row r="907" spans="1:9" x14ac:dyDescent="0.2">
      <c r="A907" s="2">
        <v>17</v>
      </c>
      <c r="B907" s="1" t="s">
        <v>140</v>
      </c>
      <c r="C907" s="4">
        <v>2</v>
      </c>
      <c r="D907" s="8">
        <v>1.54</v>
      </c>
      <c r="E907" s="4">
        <v>2</v>
      </c>
      <c r="F907" s="8">
        <v>2.25</v>
      </c>
      <c r="G907" s="4">
        <v>0</v>
      </c>
      <c r="H907" s="8">
        <v>0</v>
      </c>
      <c r="I907" s="4">
        <v>0</v>
      </c>
    </row>
    <row r="908" spans="1:9" x14ac:dyDescent="0.2">
      <c r="A908" s="2">
        <v>17</v>
      </c>
      <c r="B908" s="1" t="s">
        <v>141</v>
      </c>
      <c r="C908" s="4">
        <v>2</v>
      </c>
      <c r="D908" s="8">
        <v>1.54</v>
      </c>
      <c r="E908" s="4">
        <v>2</v>
      </c>
      <c r="F908" s="8">
        <v>2.25</v>
      </c>
      <c r="G908" s="4">
        <v>0</v>
      </c>
      <c r="H908" s="8">
        <v>0</v>
      </c>
      <c r="I908" s="4">
        <v>0</v>
      </c>
    </row>
    <row r="909" spans="1:9" x14ac:dyDescent="0.2">
      <c r="A909" s="1"/>
      <c r="C909" s="4"/>
      <c r="D909" s="8"/>
      <c r="E909" s="4"/>
      <c r="F909" s="8"/>
      <c r="G909" s="4"/>
      <c r="H909" s="8"/>
      <c r="I909" s="4"/>
    </row>
    <row r="910" spans="1:9" x14ac:dyDescent="0.2">
      <c r="A910" s="1" t="s">
        <v>38</v>
      </c>
      <c r="C910" s="4"/>
      <c r="D910" s="8"/>
      <c r="E910" s="4"/>
      <c r="F910" s="8"/>
      <c r="G910" s="4"/>
      <c r="H910" s="8"/>
      <c r="I910" s="4"/>
    </row>
    <row r="911" spans="1:9" x14ac:dyDescent="0.2">
      <c r="A911" s="2">
        <v>1</v>
      </c>
      <c r="B911" s="1" t="s">
        <v>136</v>
      </c>
      <c r="C911" s="4">
        <v>14</v>
      </c>
      <c r="D911" s="8">
        <v>4.62</v>
      </c>
      <c r="E911" s="4">
        <v>13</v>
      </c>
      <c r="F911" s="8">
        <v>6.25</v>
      </c>
      <c r="G911" s="4">
        <v>1</v>
      </c>
      <c r="H911" s="8">
        <v>1.1000000000000001</v>
      </c>
      <c r="I911" s="4">
        <v>0</v>
      </c>
    </row>
    <row r="912" spans="1:9" x14ac:dyDescent="0.2">
      <c r="A912" s="2">
        <v>2</v>
      </c>
      <c r="B912" s="1" t="s">
        <v>216</v>
      </c>
      <c r="C912" s="4">
        <v>13</v>
      </c>
      <c r="D912" s="8">
        <v>4.29</v>
      </c>
      <c r="E912" s="4">
        <v>10</v>
      </c>
      <c r="F912" s="8">
        <v>4.8099999999999996</v>
      </c>
      <c r="G912" s="4">
        <v>3</v>
      </c>
      <c r="H912" s="8">
        <v>3.3</v>
      </c>
      <c r="I912" s="4">
        <v>0</v>
      </c>
    </row>
    <row r="913" spans="1:9" x14ac:dyDescent="0.2">
      <c r="A913" s="2">
        <v>3</v>
      </c>
      <c r="B913" s="1" t="s">
        <v>217</v>
      </c>
      <c r="C913" s="4">
        <v>11</v>
      </c>
      <c r="D913" s="8">
        <v>3.63</v>
      </c>
      <c r="E913" s="4">
        <v>7</v>
      </c>
      <c r="F913" s="8">
        <v>3.37</v>
      </c>
      <c r="G913" s="4">
        <v>4</v>
      </c>
      <c r="H913" s="8">
        <v>4.4000000000000004</v>
      </c>
      <c r="I913" s="4">
        <v>0</v>
      </c>
    </row>
    <row r="914" spans="1:9" x14ac:dyDescent="0.2">
      <c r="A914" s="2">
        <v>4</v>
      </c>
      <c r="B914" s="1" t="s">
        <v>128</v>
      </c>
      <c r="C914" s="4">
        <v>10</v>
      </c>
      <c r="D914" s="8">
        <v>3.3</v>
      </c>
      <c r="E914" s="4">
        <v>5</v>
      </c>
      <c r="F914" s="8">
        <v>2.4</v>
      </c>
      <c r="G914" s="4">
        <v>5</v>
      </c>
      <c r="H914" s="8">
        <v>5.49</v>
      </c>
      <c r="I914" s="4">
        <v>0</v>
      </c>
    </row>
    <row r="915" spans="1:9" x14ac:dyDescent="0.2">
      <c r="A915" s="2">
        <v>4</v>
      </c>
      <c r="B915" s="1" t="s">
        <v>138</v>
      </c>
      <c r="C915" s="4">
        <v>10</v>
      </c>
      <c r="D915" s="8">
        <v>3.3</v>
      </c>
      <c r="E915" s="4">
        <v>10</v>
      </c>
      <c r="F915" s="8">
        <v>4.8099999999999996</v>
      </c>
      <c r="G915" s="4">
        <v>0</v>
      </c>
      <c r="H915" s="8">
        <v>0</v>
      </c>
      <c r="I915" s="4">
        <v>0</v>
      </c>
    </row>
    <row r="916" spans="1:9" x14ac:dyDescent="0.2">
      <c r="A916" s="2">
        <v>6</v>
      </c>
      <c r="B916" s="1" t="s">
        <v>122</v>
      </c>
      <c r="C916" s="4">
        <v>9</v>
      </c>
      <c r="D916" s="8">
        <v>2.97</v>
      </c>
      <c r="E916" s="4">
        <v>2</v>
      </c>
      <c r="F916" s="8">
        <v>0.96</v>
      </c>
      <c r="G916" s="4">
        <v>7</v>
      </c>
      <c r="H916" s="8">
        <v>7.69</v>
      </c>
      <c r="I916" s="4">
        <v>0</v>
      </c>
    </row>
    <row r="917" spans="1:9" x14ac:dyDescent="0.2">
      <c r="A917" s="2">
        <v>6</v>
      </c>
      <c r="B917" s="1" t="s">
        <v>124</v>
      </c>
      <c r="C917" s="4">
        <v>9</v>
      </c>
      <c r="D917" s="8">
        <v>2.97</v>
      </c>
      <c r="E917" s="4">
        <v>9</v>
      </c>
      <c r="F917" s="8">
        <v>4.33</v>
      </c>
      <c r="G917" s="4">
        <v>0</v>
      </c>
      <c r="H917" s="8">
        <v>0</v>
      </c>
      <c r="I917" s="4">
        <v>0</v>
      </c>
    </row>
    <row r="918" spans="1:9" x14ac:dyDescent="0.2">
      <c r="A918" s="2">
        <v>6</v>
      </c>
      <c r="B918" s="1" t="s">
        <v>125</v>
      </c>
      <c r="C918" s="4">
        <v>9</v>
      </c>
      <c r="D918" s="8">
        <v>2.97</v>
      </c>
      <c r="E918" s="4">
        <v>5</v>
      </c>
      <c r="F918" s="8">
        <v>2.4</v>
      </c>
      <c r="G918" s="4">
        <v>4</v>
      </c>
      <c r="H918" s="8">
        <v>4.4000000000000004</v>
      </c>
      <c r="I918" s="4">
        <v>0</v>
      </c>
    </row>
    <row r="919" spans="1:9" x14ac:dyDescent="0.2">
      <c r="A919" s="2">
        <v>6</v>
      </c>
      <c r="B919" s="1" t="s">
        <v>148</v>
      </c>
      <c r="C919" s="4">
        <v>9</v>
      </c>
      <c r="D919" s="8">
        <v>2.97</v>
      </c>
      <c r="E919" s="4">
        <v>7</v>
      </c>
      <c r="F919" s="8">
        <v>3.37</v>
      </c>
      <c r="G919" s="4">
        <v>2</v>
      </c>
      <c r="H919" s="8">
        <v>2.2000000000000002</v>
      </c>
      <c r="I919" s="4">
        <v>0</v>
      </c>
    </row>
    <row r="920" spans="1:9" x14ac:dyDescent="0.2">
      <c r="A920" s="2">
        <v>6</v>
      </c>
      <c r="B920" s="1" t="s">
        <v>127</v>
      </c>
      <c r="C920" s="4">
        <v>9</v>
      </c>
      <c r="D920" s="8">
        <v>2.97</v>
      </c>
      <c r="E920" s="4">
        <v>6</v>
      </c>
      <c r="F920" s="8">
        <v>2.88</v>
      </c>
      <c r="G920" s="4">
        <v>3</v>
      </c>
      <c r="H920" s="8">
        <v>3.3</v>
      </c>
      <c r="I920" s="4">
        <v>0</v>
      </c>
    </row>
    <row r="921" spans="1:9" x14ac:dyDescent="0.2">
      <c r="A921" s="2">
        <v>6</v>
      </c>
      <c r="B921" s="1" t="s">
        <v>170</v>
      </c>
      <c r="C921" s="4">
        <v>9</v>
      </c>
      <c r="D921" s="8">
        <v>2.97</v>
      </c>
      <c r="E921" s="4">
        <v>3</v>
      </c>
      <c r="F921" s="8">
        <v>1.44</v>
      </c>
      <c r="G921" s="4">
        <v>6</v>
      </c>
      <c r="H921" s="8">
        <v>6.59</v>
      </c>
      <c r="I921" s="4">
        <v>0</v>
      </c>
    </row>
    <row r="922" spans="1:9" x14ac:dyDescent="0.2">
      <c r="A922" s="2">
        <v>6</v>
      </c>
      <c r="B922" s="1" t="s">
        <v>137</v>
      </c>
      <c r="C922" s="4">
        <v>9</v>
      </c>
      <c r="D922" s="8">
        <v>2.97</v>
      </c>
      <c r="E922" s="4">
        <v>9</v>
      </c>
      <c r="F922" s="8">
        <v>4.33</v>
      </c>
      <c r="G922" s="4">
        <v>0</v>
      </c>
      <c r="H922" s="8">
        <v>0</v>
      </c>
      <c r="I922" s="4">
        <v>0</v>
      </c>
    </row>
    <row r="923" spans="1:9" x14ac:dyDescent="0.2">
      <c r="A923" s="2">
        <v>13</v>
      </c>
      <c r="B923" s="1" t="s">
        <v>157</v>
      </c>
      <c r="C923" s="4">
        <v>7</v>
      </c>
      <c r="D923" s="8">
        <v>2.31</v>
      </c>
      <c r="E923" s="4">
        <v>7</v>
      </c>
      <c r="F923" s="8">
        <v>3.37</v>
      </c>
      <c r="G923" s="4">
        <v>0</v>
      </c>
      <c r="H923" s="8">
        <v>0</v>
      </c>
      <c r="I923" s="4">
        <v>0</v>
      </c>
    </row>
    <row r="924" spans="1:9" x14ac:dyDescent="0.2">
      <c r="A924" s="2">
        <v>14</v>
      </c>
      <c r="B924" s="1" t="s">
        <v>123</v>
      </c>
      <c r="C924" s="4">
        <v>5</v>
      </c>
      <c r="D924" s="8">
        <v>1.65</v>
      </c>
      <c r="E924" s="4">
        <v>3</v>
      </c>
      <c r="F924" s="8">
        <v>1.44</v>
      </c>
      <c r="G924" s="4">
        <v>2</v>
      </c>
      <c r="H924" s="8">
        <v>2.2000000000000002</v>
      </c>
      <c r="I924" s="4">
        <v>0</v>
      </c>
    </row>
    <row r="925" spans="1:9" x14ac:dyDescent="0.2">
      <c r="A925" s="2">
        <v>14</v>
      </c>
      <c r="B925" s="1" t="s">
        <v>147</v>
      </c>
      <c r="C925" s="4">
        <v>5</v>
      </c>
      <c r="D925" s="8">
        <v>1.65</v>
      </c>
      <c r="E925" s="4">
        <v>5</v>
      </c>
      <c r="F925" s="8">
        <v>2.4</v>
      </c>
      <c r="G925" s="4">
        <v>0</v>
      </c>
      <c r="H925" s="8">
        <v>0</v>
      </c>
      <c r="I925" s="4">
        <v>0</v>
      </c>
    </row>
    <row r="926" spans="1:9" x14ac:dyDescent="0.2">
      <c r="A926" s="2">
        <v>14</v>
      </c>
      <c r="B926" s="1" t="s">
        <v>196</v>
      </c>
      <c r="C926" s="4">
        <v>5</v>
      </c>
      <c r="D926" s="8">
        <v>1.65</v>
      </c>
      <c r="E926" s="4">
        <v>0</v>
      </c>
      <c r="F926" s="8">
        <v>0</v>
      </c>
      <c r="G926" s="4">
        <v>4</v>
      </c>
      <c r="H926" s="8">
        <v>4.4000000000000004</v>
      </c>
      <c r="I926" s="4">
        <v>0</v>
      </c>
    </row>
    <row r="927" spans="1:9" x14ac:dyDescent="0.2">
      <c r="A927" s="2">
        <v>17</v>
      </c>
      <c r="B927" s="1" t="s">
        <v>158</v>
      </c>
      <c r="C927" s="4">
        <v>4</v>
      </c>
      <c r="D927" s="8">
        <v>1.32</v>
      </c>
      <c r="E927" s="4">
        <v>3</v>
      </c>
      <c r="F927" s="8">
        <v>1.44</v>
      </c>
      <c r="G927" s="4">
        <v>1</v>
      </c>
      <c r="H927" s="8">
        <v>1.1000000000000001</v>
      </c>
      <c r="I927" s="4">
        <v>0</v>
      </c>
    </row>
    <row r="928" spans="1:9" x14ac:dyDescent="0.2">
      <c r="A928" s="2">
        <v>17</v>
      </c>
      <c r="B928" s="1" t="s">
        <v>130</v>
      </c>
      <c r="C928" s="4">
        <v>4</v>
      </c>
      <c r="D928" s="8">
        <v>1.32</v>
      </c>
      <c r="E928" s="4">
        <v>3</v>
      </c>
      <c r="F928" s="8">
        <v>1.44</v>
      </c>
      <c r="G928" s="4">
        <v>1</v>
      </c>
      <c r="H928" s="8">
        <v>1.1000000000000001</v>
      </c>
      <c r="I928" s="4">
        <v>0</v>
      </c>
    </row>
    <row r="929" spans="1:9" x14ac:dyDescent="0.2">
      <c r="A929" s="2">
        <v>17</v>
      </c>
      <c r="B929" s="1" t="s">
        <v>131</v>
      </c>
      <c r="C929" s="4">
        <v>4</v>
      </c>
      <c r="D929" s="8">
        <v>1.32</v>
      </c>
      <c r="E929" s="4">
        <v>0</v>
      </c>
      <c r="F929" s="8">
        <v>0</v>
      </c>
      <c r="G929" s="4">
        <v>4</v>
      </c>
      <c r="H929" s="8">
        <v>4.4000000000000004</v>
      </c>
      <c r="I929" s="4">
        <v>0</v>
      </c>
    </row>
    <row r="930" spans="1:9" x14ac:dyDescent="0.2">
      <c r="A930" s="2">
        <v>17</v>
      </c>
      <c r="B930" s="1" t="s">
        <v>139</v>
      </c>
      <c r="C930" s="4">
        <v>4</v>
      </c>
      <c r="D930" s="8">
        <v>1.32</v>
      </c>
      <c r="E930" s="4">
        <v>3</v>
      </c>
      <c r="F930" s="8">
        <v>1.44</v>
      </c>
      <c r="G930" s="4">
        <v>1</v>
      </c>
      <c r="H930" s="8">
        <v>1.1000000000000001</v>
      </c>
      <c r="I930" s="4">
        <v>0</v>
      </c>
    </row>
    <row r="931" spans="1:9" x14ac:dyDescent="0.2">
      <c r="A931" s="2">
        <v>17</v>
      </c>
      <c r="B931" s="1" t="s">
        <v>140</v>
      </c>
      <c r="C931" s="4">
        <v>4</v>
      </c>
      <c r="D931" s="8">
        <v>1.32</v>
      </c>
      <c r="E931" s="4">
        <v>4</v>
      </c>
      <c r="F931" s="8">
        <v>1.92</v>
      </c>
      <c r="G931" s="4">
        <v>0</v>
      </c>
      <c r="H931" s="8">
        <v>0</v>
      </c>
      <c r="I931" s="4">
        <v>0</v>
      </c>
    </row>
    <row r="932" spans="1:9" x14ac:dyDescent="0.2">
      <c r="A932" s="1"/>
      <c r="C932" s="4"/>
      <c r="D932" s="8"/>
      <c r="E932" s="4"/>
      <c r="F932" s="8"/>
      <c r="G932" s="4"/>
      <c r="H932" s="8"/>
      <c r="I932" s="4"/>
    </row>
    <row r="933" spans="1:9" x14ac:dyDescent="0.2">
      <c r="A933" s="1" t="s">
        <v>39</v>
      </c>
      <c r="C933" s="4"/>
      <c r="D933" s="8"/>
      <c r="E933" s="4"/>
      <c r="F933" s="8"/>
      <c r="G933" s="4"/>
      <c r="H933" s="8"/>
      <c r="I933" s="4"/>
    </row>
    <row r="934" spans="1:9" x14ac:dyDescent="0.2">
      <c r="A934" s="2">
        <v>1</v>
      </c>
      <c r="B934" s="1" t="s">
        <v>124</v>
      </c>
      <c r="C934" s="4">
        <v>28</v>
      </c>
      <c r="D934" s="8">
        <v>8.7799999999999994</v>
      </c>
      <c r="E934" s="4">
        <v>11</v>
      </c>
      <c r="F934" s="8">
        <v>5.76</v>
      </c>
      <c r="G934" s="4">
        <v>17</v>
      </c>
      <c r="H934" s="8">
        <v>13.49</v>
      </c>
      <c r="I934" s="4">
        <v>0</v>
      </c>
    </row>
    <row r="935" spans="1:9" x14ac:dyDescent="0.2">
      <c r="A935" s="2">
        <v>2</v>
      </c>
      <c r="B935" s="1" t="s">
        <v>138</v>
      </c>
      <c r="C935" s="4">
        <v>19</v>
      </c>
      <c r="D935" s="8">
        <v>5.96</v>
      </c>
      <c r="E935" s="4">
        <v>19</v>
      </c>
      <c r="F935" s="8">
        <v>9.9499999999999993</v>
      </c>
      <c r="G935" s="4">
        <v>0</v>
      </c>
      <c r="H935" s="8">
        <v>0</v>
      </c>
      <c r="I935" s="4">
        <v>0</v>
      </c>
    </row>
    <row r="936" spans="1:9" x14ac:dyDescent="0.2">
      <c r="A936" s="2">
        <v>3</v>
      </c>
      <c r="B936" s="1" t="s">
        <v>122</v>
      </c>
      <c r="C936" s="4">
        <v>15</v>
      </c>
      <c r="D936" s="8">
        <v>4.7</v>
      </c>
      <c r="E936" s="4">
        <v>3</v>
      </c>
      <c r="F936" s="8">
        <v>1.57</v>
      </c>
      <c r="G936" s="4">
        <v>12</v>
      </c>
      <c r="H936" s="8">
        <v>9.52</v>
      </c>
      <c r="I936" s="4">
        <v>0</v>
      </c>
    </row>
    <row r="937" spans="1:9" x14ac:dyDescent="0.2">
      <c r="A937" s="2">
        <v>4</v>
      </c>
      <c r="B937" s="1" t="s">
        <v>191</v>
      </c>
      <c r="C937" s="4">
        <v>11</v>
      </c>
      <c r="D937" s="8">
        <v>3.45</v>
      </c>
      <c r="E937" s="4">
        <v>10</v>
      </c>
      <c r="F937" s="8">
        <v>5.24</v>
      </c>
      <c r="G937" s="4">
        <v>1</v>
      </c>
      <c r="H937" s="8">
        <v>0.79</v>
      </c>
      <c r="I937" s="4">
        <v>0</v>
      </c>
    </row>
    <row r="938" spans="1:9" x14ac:dyDescent="0.2">
      <c r="A938" s="2">
        <v>5</v>
      </c>
      <c r="B938" s="1" t="s">
        <v>137</v>
      </c>
      <c r="C938" s="4">
        <v>10</v>
      </c>
      <c r="D938" s="8">
        <v>3.13</v>
      </c>
      <c r="E938" s="4">
        <v>10</v>
      </c>
      <c r="F938" s="8">
        <v>5.24</v>
      </c>
      <c r="G938" s="4">
        <v>0</v>
      </c>
      <c r="H938" s="8">
        <v>0</v>
      </c>
      <c r="I938" s="4">
        <v>0</v>
      </c>
    </row>
    <row r="939" spans="1:9" x14ac:dyDescent="0.2">
      <c r="A939" s="2">
        <v>6</v>
      </c>
      <c r="B939" s="1" t="s">
        <v>125</v>
      </c>
      <c r="C939" s="4">
        <v>9</v>
      </c>
      <c r="D939" s="8">
        <v>2.82</v>
      </c>
      <c r="E939" s="4">
        <v>3</v>
      </c>
      <c r="F939" s="8">
        <v>1.57</v>
      </c>
      <c r="G939" s="4">
        <v>6</v>
      </c>
      <c r="H939" s="8">
        <v>4.76</v>
      </c>
      <c r="I939" s="4">
        <v>0</v>
      </c>
    </row>
    <row r="940" spans="1:9" x14ac:dyDescent="0.2">
      <c r="A940" s="2">
        <v>6</v>
      </c>
      <c r="B940" s="1" t="s">
        <v>127</v>
      </c>
      <c r="C940" s="4">
        <v>9</v>
      </c>
      <c r="D940" s="8">
        <v>2.82</v>
      </c>
      <c r="E940" s="4">
        <v>6</v>
      </c>
      <c r="F940" s="8">
        <v>3.14</v>
      </c>
      <c r="G940" s="4">
        <v>3</v>
      </c>
      <c r="H940" s="8">
        <v>2.38</v>
      </c>
      <c r="I940" s="4">
        <v>0</v>
      </c>
    </row>
    <row r="941" spans="1:9" x14ac:dyDescent="0.2">
      <c r="A941" s="2">
        <v>8</v>
      </c>
      <c r="B941" s="1" t="s">
        <v>147</v>
      </c>
      <c r="C941" s="4">
        <v>8</v>
      </c>
      <c r="D941" s="8">
        <v>2.5099999999999998</v>
      </c>
      <c r="E941" s="4">
        <v>6</v>
      </c>
      <c r="F941" s="8">
        <v>3.14</v>
      </c>
      <c r="G941" s="4">
        <v>2</v>
      </c>
      <c r="H941" s="8">
        <v>1.59</v>
      </c>
      <c r="I941" s="4">
        <v>0</v>
      </c>
    </row>
    <row r="942" spans="1:9" x14ac:dyDescent="0.2">
      <c r="A942" s="2">
        <v>8</v>
      </c>
      <c r="B942" s="1" t="s">
        <v>158</v>
      </c>
      <c r="C942" s="4">
        <v>8</v>
      </c>
      <c r="D942" s="8">
        <v>2.5099999999999998</v>
      </c>
      <c r="E942" s="4">
        <v>5</v>
      </c>
      <c r="F942" s="8">
        <v>2.62</v>
      </c>
      <c r="G942" s="4">
        <v>3</v>
      </c>
      <c r="H942" s="8">
        <v>2.38</v>
      </c>
      <c r="I942" s="4">
        <v>0</v>
      </c>
    </row>
    <row r="943" spans="1:9" x14ac:dyDescent="0.2">
      <c r="A943" s="2">
        <v>10</v>
      </c>
      <c r="B943" s="1" t="s">
        <v>123</v>
      </c>
      <c r="C943" s="4">
        <v>7</v>
      </c>
      <c r="D943" s="8">
        <v>2.19</v>
      </c>
      <c r="E943" s="4">
        <v>2</v>
      </c>
      <c r="F943" s="8">
        <v>1.05</v>
      </c>
      <c r="G943" s="4">
        <v>5</v>
      </c>
      <c r="H943" s="8">
        <v>3.97</v>
      </c>
      <c r="I943" s="4">
        <v>0</v>
      </c>
    </row>
    <row r="944" spans="1:9" x14ac:dyDescent="0.2">
      <c r="A944" s="2">
        <v>10</v>
      </c>
      <c r="B944" s="1" t="s">
        <v>128</v>
      </c>
      <c r="C944" s="4">
        <v>7</v>
      </c>
      <c r="D944" s="8">
        <v>2.19</v>
      </c>
      <c r="E944" s="4">
        <v>1</v>
      </c>
      <c r="F944" s="8">
        <v>0.52</v>
      </c>
      <c r="G944" s="4">
        <v>6</v>
      </c>
      <c r="H944" s="8">
        <v>4.76</v>
      </c>
      <c r="I944" s="4">
        <v>0</v>
      </c>
    </row>
    <row r="945" spans="1:9" x14ac:dyDescent="0.2">
      <c r="A945" s="2">
        <v>10</v>
      </c>
      <c r="B945" s="1" t="s">
        <v>136</v>
      </c>
      <c r="C945" s="4">
        <v>7</v>
      </c>
      <c r="D945" s="8">
        <v>2.19</v>
      </c>
      <c r="E945" s="4">
        <v>7</v>
      </c>
      <c r="F945" s="8">
        <v>3.66</v>
      </c>
      <c r="G945" s="4">
        <v>0</v>
      </c>
      <c r="H945" s="8">
        <v>0</v>
      </c>
      <c r="I945" s="4">
        <v>0</v>
      </c>
    </row>
    <row r="946" spans="1:9" x14ac:dyDescent="0.2">
      <c r="A946" s="2">
        <v>13</v>
      </c>
      <c r="B946" s="1" t="s">
        <v>192</v>
      </c>
      <c r="C946" s="4">
        <v>6</v>
      </c>
      <c r="D946" s="8">
        <v>1.88</v>
      </c>
      <c r="E946" s="4">
        <v>5</v>
      </c>
      <c r="F946" s="8">
        <v>2.62</v>
      </c>
      <c r="G946" s="4">
        <v>1</v>
      </c>
      <c r="H946" s="8">
        <v>0.79</v>
      </c>
      <c r="I946" s="4">
        <v>0</v>
      </c>
    </row>
    <row r="947" spans="1:9" x14ac:dyDescent="0.2">
      <c r="A947" s="2">
        <v>13</v>
      </c>
      <c r="B947" s="1" t="s">
        <v>183</v>
      </c>
      <c r="C947" s="4">
        <v>6</v>
      </c>
      <c r="D947" s="8">
        <v>1.88</v>
      </c>
      <c r="E947" s="4">
        <v>5</v>
      </c>
      <c r="F947" s="8">
        <v>2.62</v>
      </c>
      <c r="G947" s="4">
        <v>1</v>
      </c>
      <c r="H947" s="8">
        <v>0.79</v>
      </c>
      <c r="I947" s="4">
        <v>0</v>
      </c>
    </row>
    <row r="948" spans="1:9" x14ac:dyDescent="0.2">
      <c r="A948" s="2">
        <v>15</v>
      </c>
      <c r="B948" s="1" t="s">
        <v>218</v>
      </c>
      <c r="C948" s="4">
        <v>5</v>
      </c>
      <c r="D948" s="8">
        <v>1.57</v>
      </c>
      <c r="E948" s="4">
        <v>0</v>
      </c>
      <c r="F948" s="8">
        <v>0</v>
      </c>
      <c r="G948" s="4">
        <v>5</v>
      </c>
      <c r="H948" s="8">
        <v>3.97</v>
      </c>
      <c r="I948" s="4">
        <v>0</v>
      </c>
    </row>
    <row r="949" spans="1:9" x14ac:dyDescent="0.2">
      <c r="A949" s="2">
        <v>15</v>
      </c>
      <c r="B949" s="1" t="s">
        <v>181</v>
      </c>
      <c r="C949" s="4">
        <v>5</v>
      </c>
      <c r="D949" s="8">
        <v>1.57</v>
      </c>
      <c r="E949" s="4">
        <v>5</v>
      </c>
      <c r="F949" s="8">
        <v>2.62</v>
      </c>
      <c r="G949" s="4">
        <v>0</v>
      </c>
      <c r="H949" s="8">
        <v>0</v>
      </c>
      <c r="I949" s="4">
        <v>0</v>
      </c>
    </row>
    <row r="950" spans="1:9" x14ac:dyDescent="0.2">
      <c r="A950" s="2">
        <v>15</v>
      </c>
      <c r="B950" s="1" t="s">
        <v>134</v>
      </c>
      <c r="C950" s="4">
        <v>5</v>
      </c>
      <c r="D950" s="8">
        <v>1.57</v>
      </c>
      <c r="E950" s="4">
        <v>4</v>
      </c>
      <c r="F950" s="8">
        <v>2.09</v>
      </c>
      <c r="G950" s="4">
        <v>1</v>
      </c>
      <c r="H950" s="8">
        <v>0.79</v>
      </c>
      <c r="I950" s="4">
        <v>0</v>
      </c>
    </row>
    <row r="951" spans="1:9" x14ac:dyDescent="0.2">
      <c r="A951" s="2">
        <v>15</v>
      </c>
      <c r="B951" s="1" t="s">
        <v>220</v>
      </c>
      <c r="C951" s="4">
        <v>5</v>
      </c>
      <c r="D951" s="8">
        <v>1.57</v>
      </c>
      <c r="E951" s="4">
        <v>5</v>
      </c>
      <c r="F951" s="8">
        <v>2.62</v>
      </c>
      <c r="G951" s="4">
        <v>0</v>
      </c>
      <c r="H951" s="8">
        <v>0</v>
      </c>
      <c r="I951" s="4">
        <v>0</v>
      </c>
    </row>
    <row r="952" spans="1:9" x14ac:dyDescent="0.2">
      <c r="A952" s="2">
        <v>19</v>
      </c>
      <c r="B952" s="1" t="s">
        <v>190</v>
      </c>
      <c r="C952" s="4">
        <v>4</v>
      </c>
      <c r="D952" s="8">
        <v>1.25</v>
      </c>
      <c r="E952" s="4">
        <v>1</v>
      </c>
      <c r="F952" s="8">
        <v>0.52</v>
      </c>
      <c r="G952" s="4">
        <v>3</v>
      </c>
      <c r="H952" s="8">
        <v>2.38</v>
      </c>
      <c r="I952" s="4">
        <v>0</v>
      </c>
    </row>
    <row r="953" spans="1:9" x14ac:dyDescent="0.2">
      <c r="A953" s="2">
        <v>19</v>
      </c>
      <c r="B953" s="1" t="s">
        <v>189</v>
      </c>
      <c r="C953" s="4">
        <v>4</v>
      </c>
      <c r="D953" s="8">
        <v>1.25</v>
      </c>
      <c r="E953" s="4">
        <v>2</v>
      </c>
      <c r="F953" s="8">
        <v>1.05</v>
      </c>
      <c r="G953" s="4">
        <v>2</v>
      </c>
      <c r="H953" s="8">
        <v>1.59</v>
      </c>
      <c r="I953" s="4">
        <v>0</v>
      </c>
    </row>
    <row r="954" spans="1:9" x14ac:dyDescent="0.2">
      <c r="A954" s="2">
        <v>19</v>
      </c>
      <c r="B954" s="1" t="s">
        <v>165</v>
      </c>
      <c r="C954" s="4">
        <v>4</v>
      </c>
      <c r="D954" s="8">
        <v>1.25</v>
      </c>
      <c r="E954" s="4">
        <v>2</v>
      </c>
      <c r="F954" s="8">
        <v>1.05</v>
      </c>
      <c r="G954" s="4">
        <v>2</v>
      </c>
      <c r="H954" s="8">
        <v>1.59</v>
      </c>
      <c r="I954" s="4">
        <v>0</v>
      </c>
    </row>
    <row r="955" spans="1:9" x14ac:dyDescent="0.2">
      <c r="A955" s="2">
        <v>19</v>
      </c>
      <c r="B955" s="1" t="s">
        <v>219</v>
      </c>
      <c r="C955" s="4">
        <v>4</v>
      </c>
      <c r="D955" s="8">
        <v>1.25</v>
      </c>
      <c r="E955" s="4">
        <v>1</v>
      </c>
      <c r="F955" s="8">
        <v>0.52</v>
      </c>
      <c r="G955" s="4">
        <v>3</v>
      </c>
      <c r="H955" s="8">
        <v>2.38</v>
      </c>
      <c r="I955" s="4">
        <v>0</v>
      </c>
    </row>
    <row r="956" spans="1:9" x14ac:dyDescent="0.2">
      <c r="A956" s="2">
        <v>19</v>
      </c>
      <c r="B956" s="1" t="s">
        <v>206</v>
      </c>
      <c r="C956" s="4">
        <v>4</v>
      </c>
      <c r="D956" s="8">
        <v>1.25</v>
      </c>
      <c r="E956" s="4">
        <v>2</v>
      </c>
      <c r="F956" s="8">
        <v>1.05</v>
      </c>
      <c r="G956" s="4">
        <v>2</v>
      </c>
      <c r="H956" s="8">
        <v>1.59</v>
      </c>
      <c r="I956" s="4">
        <v>0</v>
      </c>
    </row>
    <row r="957" spans="1:9" x14ac:dyDescent="0.2">
      <c r="A957" s="2">
        <v>19</v>
      </c>
      <c r="B957" s="1" t="s">
        <v>202</v>
      </c>
      <c r="C957" s="4">
        <v>4</v>
      </c>
      <c r="D957" s="8">
        <v>1.25</v>
      </c>
      <c r="E957" s="4">
        <v>2</v>
      </c>
      <c r="F957" s="8">
        <v>1.05</v>
      </c>
      <c r="G957" s="4">
        <v>2</v>
      </c>
      <c r="H957" s="8">
        <v>1.59</v>
      </c>
      <c r="I957" s="4">
        <v>0</v>
      </c>
    </row>
    <row r="958" spans="1:9" x14ac:dyDescent="0.2">
      <c r="A958" s="2">
        <v>19</v>
      </c>
      <c r="B958" s="1" t="s">
        <v>130</v>
      </c>
      <c r="C958" s="4">
        <v>4</v>
      </c>
      <c r="D958" s="8">
        <v>1.25</v>
      </c>
      <c r="E958" s="4">
        <v>4</v>
      </c>
      <c r="F958" s="8">
        <v>2.09</v>
      </c>
      <c r="G958" s="4">
        <v>0</v>
      </c>
      <c r="H958" s="8">
        <v>0</v>
      </c>
      <c r="I958" s="4">
        <v>0</v>
      </c>
    </row>
    <row r="959" spans="1:9" x14ac:dyDescent="0.2">
      <c r="A959" s="2">
        <v>19</v>
      </c>
      <c r="B959" s="1" t="s">
        <v>139</v>
      </c>
      <c r="C959" s="4">
        <v>4</v>
      </c>
      <c r="D959" s="8">
        <v>1.25</v>
      </c>
      <c r="E959" s="4">
        <v>3</v>
      </c>
      <c r="F959" s="8">
        <v>1.57</v>
      </c>
      <c r="G959" s="4">
        <v>1</v>
      </c>
      <c r="H959" s="8">
        <v>0.79</v>
      </c>
      <c r="I959" s="4">
        <v>0</v>
      </c>
    </row>
    <row r="960" spans="1:9" x14ac:dyDescent="0.2">
      <c r="A960" s="2">
        <v>19</v>
      </c>
      <c r="B960" s="1" t="s">
        <v>140</v>
      </c>
      <c r="C960" s="4">
        <v>4</v>
      </c>
      <c r="D960" s="8">
        <v>1.25</v>
      </c>
      <c r="E960" s="4">
        <v>4</v>
      </c>
      <c r="F960" s="8">
        <v>2.09</v>
      </c>
      <c r="G960" s="4">
        <v>0</v>
      </c>
      <c r="H960" s="8">
        <v>0</v>
      </c>
      <c r="I960" s="4">
        <v>0</v>
      </c>
    </row>
    <row r="961" spans="1:9" x14ac:dyDescent="0.2">
      <c r="A961" s="1"/>
      <c r="C961" s="4"/>
      <c r="D961" s="8"/>
      <c r="E961" s="4"/>
      <c r="F961" s="8"/>
      <c r="G961" s="4"/>
      <c r="H961" s="8"/>
      <c r="I961" s="4"/>
    </row>
    <row r="962" spans="1:9" x14ac:dyDescent="0.2">
      <c r="A962" s="1" t="s">
        <v>40</v>
      </c>
      <c r="C962" s="4"/>
      <c r="D962" s="8"/>
      <c r="E962" s="4"/>
      <c r="F962" s="8"/>
      <c r="G962" s="4"/>
      <c r="H962" s="8"/>
      <c r="I962" s="4"/>
    </row>
    <row r="963" spans="1:9" x14ac:dyDescent="0.2">
      <c r="A963" s="2">
        <v>1</v>
      </c>
      <c r="B963" s="1" t="s">
        <v>124</v>
      </c>
      <c r="C963" s="4">
        <v>13</v>
      </c>
      <c r="D963" s="8">
        <v>11.3</v>
      </c>
      <c r="E963" s="4">
        <v>7</v>
      </c>
      <c r="F963" s="8">
        <v>9.33</v>
      </c>
      <c r="G963" s="4">
        <v>6</v>
      </c>
      <c r="H963" s="8">
        <v>15.79</v>
      </c>
      <c r="I963" s="4">
        <v>0</v>
      </c>
    </row>
    <row r="964" spans="1:9" x14ac:dyDescent="0.2">
      <c r="A964" s="2">
        <v>2</v>
      </c>
      <c r="B964" s="1" t="s">
        <v>138</v>
      </c>
      <c r="C964" s="4">
        <v>7</v>
      </c>
      <c r="D964" s="8">
        <v>6.09</v>
      </c>
      <c r="E964" s="4">
        <v>7</v>
      </c>
      <c r="F964" s="8">
        <v>9.33</v>
      </c>
      <c r="G964" s="4">
        <v>0</v>
      </c>
      <c r="H964" s="8">
        <v>0</v>
      </c>
      <c r="I964" s="4">
        <v>0</v>
      </c>
    </row>
    <row r="965" spans="1:9" x14ac:dyDescent="0.2">
      <c r="A965" s="2">
        <v>3</v>
      </c>
      <c r="B965" s="1" t="s">
        <v>179</v>
      </c>
      <c r="C965" s="4">
        <v>6</v>
      </c>
      <c r="D965" s="8">
        <v>5.22</v>
      </c>
      <c r="E965" s="4">
        <v>2</v>
      </c>
      <c r="F965" s="8">
        <v>2.67</v>
      </c>
      <c r="G965" s="4">
        <v>4</v>
      </c>
      <c r="H965" s="8">
        <v>10.53</v>
      </c>
      <c r="I965" s="4">
        <v>0</v>
      </c>
    </row>
    <row r="966" spans="1:9" x14ac:dyDescent="0.2">
      <c r="A966" s="2">
        <v>4</v>
      </c>
      <c r="B966" s="1" t="s">
        <v>123</v>
      </c>
      <c r="C966" s="4">
        <v>5</v>
      </c>
      <c r="D966" s="8">
        <v>4.3499999999999996</v>
      </c>
      <c r="E966" s="4">
        <v>3</v>
      </c>
      <c r="F966" s="8">
        <v>4</v>
      </c>
      <c r="G966" s="4">
        <v>2</v>
      </c>
      <c r="H966" s="8">
        <v>5.26</v>
      </c>
      <c r="I966" s="4">
        <v>0</v>
      </c>
    </row>
    <row r="967" spans="1:9" x14ac:dyDescent="0.2">
      <c r="A967" s="2">
        <v>4</v>
      </c>
      <c r="B967" s="1" t="s">
        <v>127</v>
      </c>
      <c r="C967" s="4">
        <v>5</v>
      </c>
      <c r="D967" s="8">
        <v>4.3499999999999996</v>
      </c>
      <c r="E967" s="4">
        <v>4</v>
      </c>
      <c r="F967" s="8">
        <v>5.33</v>
      </c>
      <c r="G967" s="4">
        <v>1</v>
      </c>
      <c r="H967" s="8">
        <v>2.63</v>
      </c>
      <c r="I967" s="4">
        <v>0</v>
      </c>
    </row>
    <row r="968" spans="1:9" x14ac:dyDescent="0.2">
      <c r="A968" s="2">
        <v>6</v>
      </c>
      <c r="B968" s="1" t="s">
        <v>147</v>
      </c>
      <c r="C968" s="4">
        <v>4</v>
      </c>
      <c r="D968" s="8">
        <v>3.48</v>
      </c>
      <c r="E968" s="4">
        <v>4</v>
      </c>
      <c r="F968" s="8">
        <v>5.33</v>
      </c>
      <c r="G968" s="4">
        <v>0</v>
      </c>
      <c r="H968" s="8">
        <v>0</v>
      </c>
      <c r="I968" s="4">
        <v>0</v>
      </c>
    </row>
    <row r="969" spans="1:9" x14ac:dyDescent="0.2">
      <c r="A969" s="2">
        <v>6</v>
      </c>
      <c r="B969" s="1" t="s">
        <v>218</v>
      </c>
      <c r="C969" s="4">
        <v>4</v>
      </c>
      <c r="D969" s="8">
        <v>3.48</v>
      </c>
      <c r="E969" s="4">
        <v>3</v>
      </c>
      <c r="F969" s="8">
        <v>4</v>
      </c>
      <c r="G969" s="4">
        <v>1</v>
      </c>
      <c r="H969" s="8">
        <v>2.63</v>
      </c>
      <c r="I969" s="4">
        <v>0</v>
      </c>
    </row>
    <row r="970" spans="1:9" x14ac:dyDescent="0.2">
      <c r="A970" s="2">
        <v>8</v>
      </c>
      <c r="B970" s="1" t="s">
        <v>122</v>
      </c>
      <c r="C970" s="4">
        <v>2</v>
      </c>
      <c r="D970" s="8">
        <v>1.74</v>
      </c>
      <c r="E970" s="4">
        <v>1</v>
      </c>
      <c r="F970" s="8">
        <v>1.33</v>
      </c>
      <c r="G970" s="4">
        <v>1</v>
      </c>
      <c r="H970" s="8">
        <v>2.63</v>
      </c>
      <c r="I970" s="4">
        <v>0</v>
      </c>
    </row>
    <row r="971" spans="1:9" x14ac:dyDescent="0.2">
      <c r="A971" s="2">
        <v>8</v>
      </c>
      <c r="B971" s="1" t="s">
        <v>189</v>
      </c>
      <c r="C971" s="4">
        <v>2</v>
      </c>
      <c r="D971" s="8">
        <v>1.74</v>
      </c>
      <c r="E971" s="4">
        <v>2</v>
      </c>
      <c r="F971" s="8">
        <v>2.67</v>
      </c>
      <c r="G971" s="4">
        <v>0</v>
      </c>
      <c r="H971" s="8">
        <v>0</v>
      </c>
      <c r="I971" s="4">
        <v>0</v>
      </c>
    </row>
    <row r="972" spans="1:9" x14ac:dyDescent="0.2">
      <c r="A972" s="2">
        <v>8</v>
      </c>
      <c r="B972" s="1" t="s">
        <v>192</v>
      </c>
      <c r="C972" s="4">
        <v>2</v>
      </c>
      <c r="D972" s="8">
        <v>1.74</v>
      </c>
      <c r="E972" s="4">
        <v>2</v>
      </c>
      <c r="F972" s="8">
        <v>2.67</v>
      </c>
      <c r="G972" s="4">
        <v>0</v>
      </c>
      <c r="H972" s="8">
        <v>0</v>
      </c>
      <c r="I972" s="4">
        <v>0</v>
      </c>
    </row>
    <row r="973" spans="1:9" x14ac:dyDescent="0.2">
      <c r="A973" s="2">
        <v>8</v>
      </c>
      <c r="B973" s="1" t="s">
        <v>183</v>
      </c>
      <c r="C973" s="4">
        <v>2</v>
      </c>
      <c r="D973" s="8">
        <v>1.74</v>
      </c>
      <c r="E973" s="4">
        <v>1</v>
      </c>
      <c r="F973" s="8">
        <v>1.33</v>
      </c>
      <c r="G973" s="4">
        <v>1</v>
      </c>
      <c r="H973" s="8">
        <v>2.63</v>
      </c>
      <c r="I973" s="4">
        <v>0</v>
      </c>
    </row>
    <row r="974" spans="1:9" x14ac:dyDescent="0.2">
      <c r="A974" s="2">
        <v>8</v>
      </c>
      <c r="B974" s="1" t="s">
        <v>158</v>
      </c>
      <c r="C974" s="4">
        <v>2</v>
      </c>
      <c r="D974" s="8">
        <v>1.74</v>
      </c>
      <c r="E974" s="4">
        <v>1</v>
      </c>
      <c r="F974" s="8">
        <v>1.33</v>
      </c>
      <c r="G974" s="4">
        <v>1</v>
      </c>
      <c r="H974" s="8">
        <v>2.63</v>
      </c>
      <c r="I974" s="4">
        <v>0</v>
      </c>
    </row>
    <row r="975" spans="1:9" x14ac:dyDescent="0.2">
      <c r="A975" s="2">
        <v>8</v>
      </c>
      <c r="B975" s="1" t="s">
        <v>221</v>
      </c>
      <c r="C975" s="4">
        <v>2</v>
      </c>
      <c r="D975" s="8">
        <v>1.74</v>
      </c>
      <c r="E975" s="4">
        <v>2</v>
      </c>
      <c r="F975" s="8">
        <v>2.67</v>
      </c>
      <c r="G975" s="4">
        <v>0</v>
      </c>
      <c r="H975" s="8">
        <v>0</v>
      </c>
      <c r="I975" s="4">
        <v>0</v>
      </c>
    </row>
    <row r="976" spans="1:9" x14ac:dyDescent="0.2">
      <c r="A976" s="2">
        <v>8</v>
      </c>
      <c r="B976" s="1" t="s">
        <v>222</v>
      </c>
      <c r="C976" s="4">
        <v>2</v>
      </c>
      <c r="D976" s="8">
        <v>1.74</v>
      </c>
      <c r="E976" s="4">
        <v>1</v>
      </c>
      <c r="F976" s="8">
        <v>1.33</v>
      </c>
      <c r="G976" s="4">
        <v>1</v>
      </c>
      <c r="H976" s="8">
        <v>2.63</v>
      </c>
      <c r="I976" s="4">
        <v>0</v>
      </c>
    </row>
    <row r="977" spans="1:9" x14ac:dyDescent="0.2">
      <c r="A977" s="2">
        <v>8</v>
      </c>
      <c r="B977" s="1" t="s">
        <v>191</v>
      </c>
      <c r="C977" s="4">
        <v>2</v>
      </c>
      <c r="D977" s="8">
        <v>1.74</v>
      </c>
      <c r="E977" s="4">
        <v>2</v>
      </c>
      <c r="F977" s="8">
        <v>2.67</v>
      </c>
      <c r="G977" s="4">
        <v>0</v>
      </c>
      <c r="H977" s="8">
        <v>0</v>
      </c>
      <c r="I977" s="4">
        <v>0</v>
      </c>
    </row>
    <row r="978" spans="1:9" x14ac:dyDescent="0.2">
      <c r="A978" s="2">
        <v>8</v>
      </c>
      <c r="B978" s="1" t="s">
        <v>207</v>
      </c>
      <c r="C978" s="4">
        <v>2</v>
      </c>
      <c r="D978" s="8">
        <v>1.74</v>
      </c>
      <c r="E978" s="4">
        <v>2</v>
      </c>
      <c r="F978" s="8">
        <v>2.67</v>
      </c>
      <c r="G978" s="4">
        <v>0</v>
      </c>
      <c r="H978" s="8">
        <v>0</v>
      </c>
      <c r="I978" s="4">
        <v>0</v>
      </c>
    </row>
    <row r="979" spans="1:9" x14ac:dyDescent="0.2">
      <c r="A979" s="2">
        <v>8</v>
      </c>
      <c r="B979" s="1" t="s">
        <v>223</v>
      </c>
      <c r="C979" s="4">
        <v>2</v>
      </c>
      <c r="D979" s="8">
        <v>1.74</v>
      </c>
      <c r="E979" s="4">
        <v>0</v>
      </c>
      <c r="F979" s="8">
        <v>0</v>
      </c>
      <c r="G979" s="4">
        <v>2</v>
      </c>
      <c r="H979" s="8">
        <v>5.26</v>
      </c>
      <c r="I979" s="4">
        <v>0</v>
      </c>
    </row>
    <row r="980" spans="1:9" x14ac:dyDescent="0.2">
      <c r="A980" s="2">
        <v>8</v>
      </c>
      <c r="B980" s="1" t="s">
        <v>150</v>
      </c>
      <c r="C980" s="4">
        <v>2</v>
      </c>
      <c r="D980" s="8">
        <v>1.74</v>
      </c>
      <c r="E980" s="4">
        <v>0</v>
      </c>
      <c r="F980" s="8">
        <v>0</v>
      </c>
      <c r="G980" s="4">
        <v>2</v>
      </c>
      <c r="H980" s="8">
        <v>5.26</v>
      </c>
      <c r="I980" s="4">
        <v>0</v>
      </c>
    </row>
    <row r="981" spans="1:9" x14ac:dyDescent="0.2">
      <c r="A981" s="2">
        <v>8</v>
      </c>
      <c r="B981" s="1" t="s">
        <v>224</v>
      </c>
      <c r="C981" s="4">
        <v>2</v>
      </c>
      <c r="D981" s="8">
        <v>1.74</v>
      </c>
      <c r="E981" s="4">
        <v>2</v>
      </c>
      <c r="F981" s="8">
        <v>2.67</v>
      </c>
      <c r="G981" s="4">
        <v>0</v>
      </c>
      <c r="H981" s="8">
        <v>0</v>
      </c>
      <c r="I981" s="4">
        <v>0</v>
      </c>
    </row>
    <row r="982" spans="1:9" x14ac:dyDescent="0.2">
      <c r="A982" s="2">
        <v>8</v>
      </c>
      <c r="B982" s="1" t="s">
        <v>181</v>
      </c>
      <c r="C982" s="4">
        <v>2</v>
      </c>
      <c r="D982" s="8">
        <v>1.74</v>
      </c>
      <c r="E982" s="4">
        <v>2</v>
      </c>
      <c r="F982" s="8">
        <v>2.67</v>
      </c>
      <c r="G982" s="4">
        <v>0</v>
      </c>
      <c r="H982" s="8">
        <v>0</v>
      </c>
      <c r="I982" s="4">
        <v>0</v>
      </c>
    </row>
    <row r="983" spans="1:9" x14ac:dyDescent="0.2">
      <c r="A983" s="2">
        <v>8</v>
      </c>
      <c r="B983" s="1" t="s">
        <v>149</v>
      </c>
      <c r="C983" s="4">
        <v>2</v>
      </c>
      <c r="D983" s="8">
        <v>1.74</v>
      </c>
      <c r="E983" s="4">
        <v>2</v>
      </c>
      <c r="F983" s="8">
        <v>2.67</v>
      </c>
      <c r="G983" s="4">
        <v>0</v>
      </c>
      <c r="H983" s="8">
        <v>0</v>
      </c>
      <c r="I983" s="4">
        <v>0</v>
      </c>
    </row>
    <row r="984" spans="1:9" x14ac:dyDescent="0.2">
      <c r="A984" s="2">
        <v>8</v>
      </c>
      <c r="B984" s="1" t="s">
        <v>135</v>
      </c>
      <c r="C984" s="4">
        <v>2</v>
      </c>
      <c r="D984" s="8">
        <v>1.74</v>
      </c>
      <c r="E984" s="4">
        <v>2</v>
      </c>
      <c r="F984" s="8">
        <v>2.67</v>
      </c>
      <c r="G984" s="4">
        <v>0</v>
      </c>
      <c r="H984" s="8">
        <v>0</v>
      </c>
      <c r="I984" s="4">
        <v>0</v>
      </c>
    </row>
    <row r="985" spans="1:9" x14ac:dyDescent="0.2">
      <c r="A985" s="2">
        <v>8</v>
      </c>
      <c r="B985" s="1" t="s">
        <v>195</v>
      </c>
      <c r="C985" s="4">
        <v>2</v>
      </c>
      <c r="D985" s="8">
        <v>1.74</v>
      </c>
      <c r="E985" s="4">
        <v>0</v>
      </c>
      <c r="F985" s="8">
        <v>0</v>
      </c>
      <c r="G985" s="4">
        <v>2</v>
      </c>
      <c r="H985" s="8">
        <v>5.26</v>
      </c>
      <c r="I985" s="4">
        <v>0</v>
      </c>
    </row>
    <row r="986" spans="1:9" x14ac:dyDescent="0.2">
      <c r="A986" s="2">
        <v>8</v>
      </c>
      <c r="B986" s="1" t="s">
        <v>137</v>
      </c>
      <c r="C986" s="4">
        <v>2</v>
      </c>
      <c r="D986" s="8">
        <v>1.74</v>
      </c>
      <c r="E986" s="4">
        <v>2</v>
      </c>
      <c r="F986" s="8">
        <v>2.67</v>
      </c>
      <c r="G986" s="4">
        <v>0</v>
      </c>
      <c r="H986" s="8">
        <v>0</v>
      </c>
      <c r="I986" s="4">
        <v>0</v>
      </c>
    </row>
    <row r="987" spans="1:9" x14ac:dyDescent="0.2">
      <c r="A987" s="1"/>
      <c r="C987" s="4"/>
      <c r="D987" s="8"/>
      <c r="E987" s="4"/>
      <c r="F987" s="8"/>
      <c r="G987" s="4"/>
      <c r="H987" s="8"/>
      <c r="I987" s="4"/>
    </row>
    <row r="988" spans="1:9" x14ac:dyDescent="0.2">
      <c r="A988" s="1" t="s">
        <v>41</v>
      </c>
      <c r="C988" s="4"/>
      <c r="D988" s="8"/>
      <c r="E988" s="4"/>
      <c r="F988" s="8"/>
      <c r="G988" s="4"/>
      <c r="H988" s="8"/>
      <c r="I988" s="4"/>
    </row>
    <row r="989" spans="1:9" x14ac:dyDescent="0.2">
      <c r="A989" s="2">
        <v>1</v>
      </c>
      <c r="B989" s="1" t="s">
        <v>138</v>
      </c>
      <c r="C989" s="4">
        <v>24</v>
      </c>
      <c r="D989" s="8">
        <v>6.14</v>
      </c>
      <c r="E989" s="4">
        <v>24</v>
      </c>
      <c r="F989" s="8">
        <v>10.86</v>
      </c>
      <c r="G989" s="4">
        <v>0</v>
      </c>
      <c r="H989" s="8">
        <v>0</v>
      </c>
      <c r="I989" s="4">
        <v>0</v>
      </c>
    </row>
    <row r="990" spans="1:9" x14ac:dyDescent="0.2">
      <c r="A990" s="2">
        <v>2</v>
      </c>
      <c r="B990" s="1" t="s">
        <v>122</v>
      </c>
      <c r="C990" s="4">
        <v>17</v>
      </c>
      <c r="D990" s="8">
        <v>4.3499999999999996</v>
      </c>
      <c r="E990" s="4">
        <v>3</v>
      </c>
      <c r="F990" s="8">
        <v>1.36</v>
      </c>
      <c r="G990" s="4">
        <v>14</v>
      </c>
      <c r="H990" s="8">
        <v>8.81</v>
      </c>
      <c r="I990" s="4">
        <v>0</v>
      </c>
    </row>
    <row r="991" spans="1:9" x14ac:dyDescent="0.2">
      <c r="A991" s="2">
        <v>2</v>
      </c>
      <c r="B991" s="1" t="s">
        <v>137</v>
      </c>
      <c r="C991" s="4">
        <v>17</v>
      </c>
      <c r="D991" s="8">
        <v>4.3499999999999996</v>
      </c>
      <c r="E991" s="4">
        <v>16</v>
      </c>
      <c r="F991" s="8">
        <v>7.24</v>
      </c>
      <c r="G991" s="4">
        <v>1</v>
      </c>
      <c r="H991" s="8">
        <v>0.63</v>
      </c>
      <c r="I991" s="4">
        <v>0</v>
      </c>
    </row>
    <row r="992" spans="1:9" x14ac:dyDescent="0.2">
      <c r="A992" s="2">
        <v>4</v>
      </c>
      <c r="B992" s="1" t="s">
        <v>136</v>
      </c>
      <c r="C992" s="4">
        <v>14</v>
      </c>
      <c r="D992" s="8">
        <v>3.58</v>
      </c>
      <c r="E992" s="4">
        <v>11</v>
      </c>
      <c r="F992" s="8">
        <v>4.9800000000000004</v>
      </c>
      <c r="G992" s="4">
        <v>3</v>
      </c>
      <c r="H992" s="8">
        <v>1.89</v>
      </c>
      <c r="I992" s="4">
        <v>0</v>
      </c>
    </row>
    <row r="993" spans="1:9" x14ac:dyDescent="0.2">
      <c r="A993" s="2">
        <v>5</v>
      </c>
      <c r="B993" s="1" t="s">
        <v>124</v>
      </c>
      <c r="C993" s="4">
        <v>11</v>
      </c>
      <c r="D993" s="8">
        <v>2.81</v>
      </c>
      <c r="E993" s="4">
        <v>7</v>
      </c>
      <c r="F993" s="8">
        <v>3.17</v>
      </c>
      <c r="G993" s="4">
        <v>4</v>
      </c>
      <c r="H993" s="8">
        <v>2.52</v>
      </c>
      <c r="I993" s="4">
        <v>0</v>
      </c>
    </row>
    <row r="994" spans="1:9" x14ac:dyDescent="0.2">
      <c r="A994" s="2">
        <v>5</v>
      </c>
      <c r="B994" s="1" t="s">
        <v>139</v>
      </c>
      <c r="C994" s="4">
        <v>11</v>
      </c>
      <c r="D994" s="8">
        <v>2.81</v>
      </c>
      <c r="E994" s="4">
        <v>9</v>
      </c>
      <c r="F994" s="8">
        <v>4.07</v>
      </c>
      <c r="G994" s="4">
        <v>2</v>
      </c>
      <c r="H994" s="8">
        <v>1.26</v>
      </c>
      <c r="I994" s="4">
        <v>0</v>
      </c>
    </row>
    <row r="995" spans="1:9" x14ac:dyDescent="0.2">
      <c r="A995" s="2">
        <v>5</v>
      </c>
      <c r="B995" s="1" t="s">
        <v>140</v>
      </c>
      <c r="C995" s="4">
        <v>11</v>
      </c>
      <c r="D995" s="8">
        <v>2.81</v>
      </c>
      <c r="E995" s="4">
        <v>9</v>
      </c>
      <c r="F995" s="8">
        <v>4.07</v>
      </c>
      <c r="G995" s="4">
        <v>2</v>
      </c>
      <c r="H995" s="8">
        <v>1.26</v>
      </c>
      <c r="I995" s="4">
        <v>0</v>
      </c>
    </row>
    <row r="996" spans="1:9" x14ac:dyDescent="0.2">
      <c r="A996" s="2">
        <v>5</v>
      </c>
      <c r="B996" s="1" t="s">
        <v>141</v>
      </c>
      <c r="C996" s="4">
        <v>11</v>
      </c>
      <c r="D996" s="8">
        <v>2.81</v>
      </c>
      <c r="E996" s="4">
        <v>9</v>
      </c>
      <c r="F996" s="8">
        <v>4.07</v>
      </c>
      <c r="G996" s="4">
        <v>2</v>
      </c>
      <c r="H996" s="8">
        <v>1.26</v>
      </c>
      <c r="I996" s="4">
        <v>0</v>
      </c>
    </row>
    <row r="997" spans="1:9" x14ac:dyDescent="0.2">
      <c r="A997" s="2">
        <v>9</v>
      </c>
      <c r="B997" s="1" t="s">
        <v>128</v>
      </c>
      <c r="C997" s="4">
        <v>9</v>
      </c>
      <c r="D997" s="8">
        <v>2.2999999999999998</v>
      </c>
      <c r="E997" s="4">
        <v>4</v>
      </c>
      <c r="F997" s="8">
        <v>1.81</v>
      </c>
      <c r="G997" s="4">
        <v>5</v>
      </c>
      <c r="H997" s="8">
        <v>3.14</v>
      </c>
      <c r="I997" s="4">
        <v>0</v>
      </c>
    </row>
    <row r="998" spans="1:9" x14ac:dyDescent="0.2">
      <c r="A998" s="2">
        <v>10</v>
      </c>
      <c r="B998" s="1" t="s">
        <v>157</v>
      </c>
      <c r="C998" s="4">
        <v>8</v>
      </c>
      <c r="D998" s="8">
        <v>2.0499999999999998</v>
      </c>
      <c r="E998" s="4">
        <v>3</v>
      </c>
      <c r="F998" s="8">
        <v>1.36</v>
      </c>
      <c r="G998" s="4">
        <v>5</v>
      </c>
      <c r="H998" s="8">
        <v>3.14</v>
      </c>
      <c r="I998" s="4">
        <v>0</v>
      </c>
    </row>
    <row r="999" spans="1:9" x14ac:dyDescent="0.2">
      <c r="A999" s="2">
        <v>10</v>
      </c>
      <c r="B999" s="1" t="s">
        <v>130</v>
      </c>
      <c r="C999" s="4">
        <v>8</v>
      </c>
      <c r="D999" s="8">
        <v>2.0499999999999998</v>
      </c>
      <c r="E999" s="4">
        <v>5</v>
      </c>
      <c r="F999" s="8">
        <v>2.2599999999999998</v>
      </c>
      <c r="G999" s="4">
        <v>3</v>
      </c>
      <c r="H999" s="8">
        <v>1.89</v>
      </c>
      <c r="I999" s="4">
        <v>0</v>
      </c>
    </row>
    <row r="1000" spans="1:9" x14ac:dyDescent="0.2">
      <c r="A1000" s="2">
        <v>12</v>
      </c>
      <c r="B1000" s="1" t="s">
        <v>127</v>
      </c>
      <c r="C1000" s="4">
        <v>7</v>
      </c>
      <c r="D1000" s="8">
        <v>1.79</v>
      </c>
      <c r="E1000" s="4">
        <v>2</v>
      </c>
      <c r="F1000" s="8">
        <v>0.9</v>
      </c>
      <c r="G1000" s="4">
        <v>5</v>
      </c>
      <c r="H1000" s="8">
        <v>3.14</v>
      </c>
      <c r="I1000" s="4">
        <v>0</v>
      </c>
    </row>
    <row r="1001" spans="1:9" x14ac:dyDescent="0.2">
      <c r="A1001" s="2">
        <v>12</v>
      </c>
      <c r="B1001" s="1" t="s">
        <v>135</v>
      </c>
      <c r="C1001" s="4">
        <v>7</v>
      </c>
      <c r="D1001" s="8">
        <v>1.79</v>
      </c>
      <c r="E1001" s="4">
        <v>7</v>
      </c>
      <c r="F1001" s="8">
        <v>3.17</v>
      </c>
      <c r="G1001" s="4">
        <v>0</v>
      </c>
      <c r="H1001" s="8">
        <v>0</v>
      </c>
      <c r="I1001" s="4">
        <v>0</v>
      </c>
    </row>
    <row r="1002" spans="1:9" x14ac:dyDescent="0.2">
      <c r="A1002" s="2">
        <v>14</v>
      </c>
      <c r="B1002" s="1" t="s">
        <v>129</v>
      </c>
      <c r="C1002" s="4">
        <v>6</v>
      </c>
      <c r="D1002" s="8">
        <v>1.53</v>
      </c>
      <c r="E1002" s="4">
        <v>4</v>
      </c>
      <c r="F1002" s="8">
        <v>1.81</v>
      </c>
      <c r="G1002" s="4">
        <v>2</v>
      </c>
      <c r="H1002" s="8">
        <v>1.26</v>
      </c>
      <c r="I1002" s="4">
        <v>0</v>
      </c>
    </row>
    <row r="1003" spans="1:9" x14ac:dyDescent="0.2">
      <c r="A1003" s="2">
        <v>14</v>
      </c>
      <c r="B1003" s="1" t="s">
        <v>167</v>
      </c>
      <c r="C1003" s="4">
        <v>6</v>
      </c>
      <c r="D1003" s="8">
        <v>1.53</v>
      </c>
      <c r="E1003" s="4">
        <v>3</v>
      </c>
      <c r="F1003" s="8">
        <v>1.36</v>
      </c>
      <c r="G1003" s="4">
        <v>3</v>
      </c>
      <c r="H1003" s="8">
        <v>1.89</v>
      </c>
      <c r="I1003" s="4">
        <v>0</v>
      </c>
    </row>
    <row r="1004" spans="1:9" x14ac:dyDescent="0.2">
      <c r="A1004" s="2">
        <v>14</v>
      </c>
      <c r="B1004" s="1" t="s">
        <v>134</v>
      </c>
      <c r="C1004" s="4">
        <v>6</v>
      </c>
      <c r="D1004" s="8">
        <v>1.53</v>
      </c>
      <c r="E1004" s="4">
        <v>4</v>
      </c>
      <c r="F1004" s="8">
        <v>1.81</v>
      </c>
      <c r="G1004" s="4">
        <v>2</v>
      </c>
      <c r="H1004" s="8">
        <v>1.26</v>
      </c>
      <c r="I1004" s="4">
        <v>0</v>
      </c>
    </row>
    <row r="1005" spans="1:9" x14ac:dyDescent="0.2">
      <c r="A1005" s="2">
        <v>14</v>
      </c>
      <c r="B1005" s="1" t="s">
        <v>144</v>
      </c>
      <c r="C1005" s="4">
        <v>6</v>
      </c>
      <c r="D1005" s="8">
        <v>1.53</v>
      </c>
      <c r="E1005" s="4">
        <v>4</v>
      </c>
      <c r="F1005" s="8">
        <v>1.81</v>
      </c>
      <c r="G1005" s="4">
        <v>2</v>
      </c>
      <c r="H1005" s="8">
        <v>1.26</v>
      </c>
      <c r="I1005" s="4">
        <v>0</v>
      </c>
    </row>
    <row r="1006" spans="1:9" x14ac:dyDescent="0.2">
      <c r="A1006" s="2">
        <v>18</v>
      </c>
      <c r="B1006" s="1" t="s">
        <v>123</v>
      </c>
      <c r="C1006" s="4">
        <v>5</v>
      </c>
      <c r="D1006" s="8">
        <v>1.28</v>
      </c>
      <c r="E1006" s="4">
        <v>3</v>
      </c>
      <c r="F1006" s="8">
        <v>1.36</v>
      </c>
      <c r="G1006" s="4">
        <v>2</v>
      </c>
      <c r="H1006" s="8">
        <v>1.26</v>
      </c>
      <c r="I1006" s="4">
        <v>0</v>
      </c>
    </row>
    <row r="1007" spans="1:9" x14ac:dyDescent="0.2">
      <c r="A1007" s="2">
        <v>18</v>
      </c>
      <c r="B1007" s="1" t="s">
        <v>190</v>
      </c>
      <c r="C1007" s="4">
        <v>5</v>
      </c>
      <c r="D1007" s="8">
        <v>1.28</v>
      </c>
      <c r="E1007" s="4">
        <v>1</v>
      </c>
      <c r="F1007" s="8">
        <v>0.45</v>
      </c>
      <c r="G1007" s="4">
        <v>4</v>
      </c>
      <c r="H1007" s="8">
        <v>2.52</v>
      </c>
      <c r="I1007" s="4">
        <v>0</v>
      </c>
    </row>
    <row r="1008" spans="1:9" x14ac:dyDescent="0.2">
      <c r="A1008" s="2">
        <v>18</v>
      </c>
      <c r="B1008" s="1" t="s">
        <v>189</v>
      </c>
      <c r="C1008" s="4">
        <v>5</v>
      </c>
      <c r="D1008" s="8">
        <v>1.28</v>
      </c>
      <c r="E1008" s="4">
        <v>4</v>
      </c>
      <c r="F1008" s="8">
        <v>1.81</v>
      </c>
      <c r="G1008" s="4">
        <v>1</v>
      </c>
      <c r="H1008" s="8">
        <v>0.63</v>
      </c>
      <c r="I1008" s="4">
        <v>0</v>
      </c>
    </row>
    <row r="1009" spans="1:9" x14ac:dyDescent="0.2">
      <c r="A1009" s="2">
        <v>18</v>
      </c>
      <c r="B1009" s="1" t="s">
        <v>158</v>
      </c>
      <c r="C1009" s="4">
        <v>5</v>
      </c>
      <c r="D1009" s="8">
        <v>1.28</v>
      </c>
      <c r="E1009" s="4">
        <v>3</v>
      </c>
      <c r="F1009" s="8">
        <v>1.36</v>
      </c>
      <c r="G1009" s="4">
        <v>2</v>
      </c>
      <c r="H1009" s="8">
        <v>1.26</v>
      </c>
      <c r="I1009" s="4">
        <v>0</v>
      </c>
    </row>
    <row r="1010" spans="1:9" x14ac:dyDescent="0.2">
      <c r="A1010" s="2">
        <v>18</v>
      </c>
      <c r="B1010" s="1" t="s">
        <v>181</v>
      </c>
      <c r="C1010" s="4">
        <v>5</v>
      </c>
      <c r="D1010" s="8">
        <v>1.28</v>
      </c>
      <c r="E1010" s="4">
        <v>2</v>
      </c>
      <c r="F1010" s="8">
        <v>0.9</v>
      </c>
      <c r="G1010" s="4">
        <v>3</v>
      </c>
      <c r="H1010" s="8">
        <v>1.89</v>
      </c>
      <c r="I1010" s="4">
        <v>0</v>
      </c>
    </row>
    <row r="1011" spans="1:9" x14ac:dyDescent="0.2">
      <c r="A1011" s="2">
        <v>18</v>
      </c>
      <c r="B1011" s="1" t="s">
        <v>195</v>
      </c>
      <c r="C1011" s="4">
        <v>5</v>
      </c>
      <c r="D1011" s="8">
        <v>1.28</v>
      </c>
      <c r="E1011" s="4">
        <v>0</v>
      </c>
      <c r="F1011" s="8">
        <v>0</v>
      </c>
      <c r="G1011" s="4">
        <v>4</v>
      </c>
      <c r="H1011" s="8">
        <v>2.52</v>
      </c>
      <c r="I1011" s="4">
        <v>0</v>
      </c>
    </row>
    <row r="1012" spans="1:9" x14ac:dyDescent="0.2">
      <c r="A1012" s="1"/>
      <c r="C1012" s="4"/>
      <c r="D1012" s="8"/>
      <c r="E1012" s="4"/>
      <c r="F1012" s="8"/>
      <c r="G1012" s="4"/>
      <c r="H1012" s="8"/>
      <c r="I1012" s="4"/>
    </row>
    <row r="1013" spans="1:9" x14ac:dyDescent="0.2">
      <c r="A1013" s="1" t="s">
        <v>42</v>
      </c>
      <c r="C1013" s="4"/>
      <c r="D1013" s="8"/>
      <c r="E1013" s="4"/>
      <c r="F1013" s="8"/>
      <c r="G1013" s="4"/>
      <c r="H1013" s="8"/>
      <c r="I1013" s="4"/>
    </row>
    <row r="1014" spans="1:9" x14ac:dyDescent="0.2">
      <c r="A1014" s="2">
        <v>1</v>
      </c>
      <c r="B1014" s="1" t="s">
        <v>225</v>
      </c>
      <c r="C1014" s="4">
        <v>21</v>
      </c>
      <c r="D1014" s="8">
        <v>14.09</v>
      </c>
      <c r="E1014" s="4">
        <v>18</v>
      </c>
      <c r="F1014" s="8">
        <v>17.309999999999999</v>
      </c>
      <c r="G1014" s="4">
        <v>3</v>
      </c>
      <c r="H1014" s="8">
        <v>6.98</v>
      </c>
      <c r="I1014" s="4">
        <v>0</v>
      </c>
    </row>
    <row r="1015" spans="1:9" x14ac:dyDescent="0.2">
      <c r="A1015" s="2">
        <v>2</v>
      </c>
      <c r="B1015" s="1" t="s">
        <v>149</v>
      </c>
      <c r="C1015" s="4">
        <v>15</v>
      </c>
      <c r="D1015" s="8">
        <v>10.07</v>
      </c>
      <c r="E1015" s="4">
        <v>15</v>
      </c>
      <c r="F1015" s="8">
        <v>14.42</v>
      </c>
      <c r="G1015" s="4">
        <v>0</v>
      </c>
      <c r="H1015" s="8">
        <v>0</v>
      </c>
      <c r="I1015" s="4">
        <v>0</v>
      </c>
    </row>
    <row r="1016" spans="1:9" x14ac:dyDescent="0.2">
      <c r="A1016" s="2">
        <v>3</v>
      </c>
      <c r="B1016" s="1" t="s">
        <v>167</v>
      </c>
      <c r="C1016" s="4">
        <v>9</v>
      </c>
      <c r="D1016" s="8">
        <v>6.04</v>
      </c>
      <c r="E1016" s="4">
        <v>8</v>
      </c>
      <c r="F1016" s="8">
        <v>7.69</v>
      </c>
      <c r="G1016" s="4">
        <v>1</v>
      </c>
      <c r="H1016" s="8">
        <v>2.33</v>
      </c>
      <c r="I1016" s="4">
        <v>0</v>
      </c>
    </row>
    <row r="1017" spans="1:9" x14ac:dyDescent="0.2">
      <c r="A1017" s="2">
        <v>3</v>
      </c>
      <c r="B1017" s="1" t="s">
        <v>136</v>
      </c>
      <c r="C1017" s="4">
        <v>9</v>
      </c>
      <c r="D1017" s="8">
        <v>6.04</v>
      </c>
      <c r="E1017" s="4">
        <v>9</v>
      </c>
      <c r="F1017" s="8">
        <v>8.65</v>
      </c>
      <c r="G1017" s="4">
        <v>0</v>
      </c>
      <c r="H1017" s="8">
        <v>0</v>
      </c>
      <c r="I1017" s="4">
        <v>0</v>
      </c>
    </row>
    <row r="1018" spans="1:9" x14ac:dyDescent="0.2">
      <c r="A1018" s="2">
        <v>5</v>
      </c>
      <c r="B1018" s="1" t="s">
        <v>148</v>
      </c>
      <c r="C1018" s="4">
        <v>7</v>
      </c>
      <c r="D1018" s="8">
        <v>4.7</v>
      </c>
      <c r="E1018" s="4">
        <v>5</v>
      </c>
      <c r="F1018" s="8">
        <v>4.8099999999999996</v>
      </c>
      <c r="G1018" s="4">
        <v>2</v>
      </c>
      <c r="H1018" s="8">
        <v>4.6500000000000004</v>
      </c>
      <c r="I1018" s="4">
        <v>0</v>
      </c>
    </row>
    <row r="1019" spans="1:9" x14ac:dyDescent="0.2">
      <c r="A1019" s="2">
        <v>5</v>
      </c>
      <c r="B1019" s="1" t="s">
        <v>127</v>
      </c>
      <c r="C1019" s="4">
        <v>7</v>
      </c>
      <c r="D1019" s="8">
        <v>4.7</v>
      </c>
      <c r="E1019" s="4">
        <v>2</v>
      </c>
      <c r="F1019" s="8">
        <v>1.92</v>
      </c>
      <c r="G1019" s="4">
        <v>5</v>
      </c>
      <c r="H1019" s="8">
        <v>11.63</v>
      </c>
      <c r="I1019" s="4">
        <v>0</v>
      </c>
    </row>
    <row r="1020" spans="1:9" x14ac:dyDescent="0.2">
      <c r="A1020" s="2">
        <v>7</v>
      </c>
      <c r="B1020" s="1" t="s">
        <v>226</v>
      </c>
      <c r="C1020" s="4">
        <v>6</v>
      </c>
      <c r="D1020" s="8">
        <v>4.03</v>
      </c>
      <c r="E1020" s="4">
        <v>6</v>
      </c>
      <c r="F1020" s="8">
        <v>5.77</v>
      </c>
      <c r="G1020" s="4">
        <v>0</v>
      </c>
      <c r="H1020" s="8">
        <v>0</v>
      </c>
      <c r="I1020" s="4">
        <v>0</v>
      </c>
    </row>
    <row r="1021" spans="1:9" x14ac:dyDescent="0.2">
      <c r="A1021" s="2">
        <v>7</v>
      </c>
      <c r="B1021" s="1" t="s">
        <v>184</v>
      </c>
      <c r="C1021" s="4">
        <v>6</v>
      </c>
      <c r="D1021" s="8">
        <v>4.03</v>
      </c>
      <c r="E1021" s="4">
        <v>3</v>
      </c>
      <c r="F1021" s="8">
        <v>2.88</v>
      </c>
      <c r="G1021" s="4">
        <v>3</v>
      </c>
      <c r="H1021" s="8">
        <v>6.98</v>
      </c>
      <c r="I1021" s="4">
        <v>0</v>
      </c>
    </row>
    <row r="1022" spans="1:9" x14ac:dyDescent="0.2">
      <c r="A1022" s="2">
        <v>9</v>
      </c>
      <c r="B1022" s="1" t="s">
        <v>130</v>
      </c>
      <c r="C1022" s="4">
        <v>5</v>
      </c>
      <c r="D1022" s="8">
        <v>3.36</v>
      </c>
      <c r="E1022" s="4">
        <v>4</v>
      </c>
      <c r="F1022" s="8">
        <v>3.85</v>
      </c>
      <c r="G1022" s="4">
        <v>1</v>
      </c>
      <c r="H1022" s="8">
        <v>2.33</v>
      </c>
      <c r="I1022" s="4">
        <v>0</v>
      </c>
    </row>
    <row r="1023" spans="1:9" x14ac:dyDescent="0.2">
      <c r="A1023" s="2">
        <v>10</v>
      </c>
      <c r="B1023" s="1" t="s">
        <v>190</v>
      </c>
      <c r="C1023" s="4">
        <v>4</v>
      </c>
      <c r="D1023" s="8">
        <v>2.68</v>
      </c>
      <c r="E1023" s="4">
        <v>4</v>
      </c>
      <c r="F1023" s="8">
        <v>3.85</v>
      </c>
      <c r="G1023" s="4">
        <v>0</v>
      </c>
      <c r="H1023" s="8">
        <v>0</v>
      </c>
      <c r="I1023" s="4">
        <v>0</v>
      </c>
    </row>
    <row r="1024" spans="1:9" x14ac:dyDescent="0.2">
      <c r="A1024" s="2">
        <v>10</v>
      </c>
      <c r="B1024" s="1" t="s">
        <v>181</v>
      </c>
      <c r="C1024" s="4">
        <v>4</v>
      </c>
      <c r="D1024" s="8">
        <v>2.68</v>
      </c>
      <c r="E1024" s="4">
        <v>2</v>
      </c>
      <c r="F1024" s="8">
        <v>1.92</v>
      </c>
      <c r="G1024" s="4">
        <v>2</v>
      </c>
      <c r="H1024" s="8">
        <v>4.6500000000000004</v>
      </c>
      <c r="I1024" s="4">
        <v>0</v>
      </c>
    </row>
    <row r="1025" spans="1:9" x14ac:dyDescent="0.2">
      <c r="A1025" s="2">
        <v>12</v>
      </c>
      <c r="B1025" s="1" t="s">
        <v>170</v>
      </c>
      <c r="C1025" s="4">
        <v>3</v>
      </c>
      <c r="D1025" s="8">
        <v>2.0099999999999998</v>
      </c>
      <c r="E1025" s="4">
        <v>1</v>
      </c>
      <c r="F1025" s="8">
        <v>0.96</v>
      </c>
      <c r="G1025" s="4">
        <v>2</v>
      </c>
      <c r="H1025" s="8">
        <v>4.6500000000000004</v>
      </c>
      <c r="I1025" s="4">
        <v>0</v>
      </c>
    </row>
    <row r="1026" spans="1:9" x14ac:dyDescent="0.2">
      <c r="A1026" s="2">
        <v>12</v>
      </c>
      <c r="B1026" s="1" t="s">
        <v>228</v>
      </c>
      <c r="C1026" s="4">
        <v>3</v>
      </c>
      <c r="D1026" s="8">
        <v>2.0099999999999998</v>
      </c>
      <c r="E1026" s="4">
        <v>3</v>
      </c>
      <c r="F1026" s="8">
        <v>2.88</v>
      </c>
      <c r="G1026" s="4">
        <v>0</v>
      </c>
      <c r="H1026" s="8">
        <v>0</v>
      </c>
      <c r="I1026" s="4">
        <v>0</v>
      </c>
    </row>
    <row r="1027" spans="1:9" x14ac:dyDescent="0.2">
      <c r="A1027" s="2">
        <v>12</v>
      </c>
      <c r="B1027" s="1" t="s">
        <v>141</v>
      </c>
      <c r="C1027" s="4">
        <v>3</v>
      </c>
      <c r="D1027" s="8">
        <v>2.0099999999999998</v>
      </c>
      <c r="E1027" s="4">
        <v>3</v>
      </c>
      <c r="F1027" s="8">
        <v>2.88</v>
      </c>
      <c r="G1027" s="4">
        <v>0</v>
      </c>
      <c r="H1027" s="8">
        <v>0</v>
      </c>
      <c r="I1027" s="4">
        <v>0</v>
      </c>
    </row>
    <row r="1028" spans="1:9" x14ac:dyDescent="0.2">
      <c r="A1028" s="2">
        <v>15</v>
      </c>
      <c r="B1028" s="1" t="s">
        <v>123</v>
      </c>
      <c r="C1028" s="4">
        <v>2</v>
      </c>
      <c r="D1028" s="8">
        <v>1.34</v>
      </c>
      <c r="E1028" s="4">
        <v>1</v>
      </c>
      <c r="F1028" s="8">
        <v>0.96</v>
      </c>
      <c r="G1028" s="4">
        <v>1</v>
      </c>
      <c r="H1028" s="8">
        <v>2.33</v>
      </c>
      <c r="I1028" s="4">
        <v>0</v>
      </c>
    </row>
    <row r="1029" spans="1:9" x14ac:dyDescent="0.2">
      <c r="A1029" s="2">
        <v>15</v>
      </c>
      <c r="B1029" s="1" t="s">
        <v>216</v>
      </c>
      <c r="C1029" s="4">
        <v>2</v>
      </c>
      <c r="D1029" s="8">
        <v>1.34</v>
      </c>
      <c r="E1029" s="4">
        <v>2</v>
      </c>
      <c r="F1029" s="8">
        <v>1.92</v>
      </c>
      <c r="G1029" s="4">
        <v>0</v>
      </c>
      <c r="H1029" s="8">
        <v>0</v>
      </c>
      <c r="I1029" s="4">
        <v>0</v>
      </c>
    </row>
    <row r="1030" spans="1:9" x14ac:dyDescent="0.2">
      <c r="A1030" s="2">
        <v>15</v>
      </c>
      <c r="B1030" s="1" t="s">
        <v>128</v>
      </c>
      <c r="C1030" s="4">
        <v>2</v>
      </c>
      <c r="D1030" s="8">
        <v>1.34</v>
      </c>
      <c r="E1030" s="4">
        <v>2</v>
      </c>
      <c r="F1030" s="8">
        <v>1.92</v>
      </c>
      <c r="G1030" s="4">
        <v>0</v>
      </c>
      <c r="H1030" s="8">
        <v>0</v>
      </c>
      <c r="I1030" s="4">
        <v>0</v>
      </c>
    </row>
    <row r="1031" spans="1:9" x14ac:dyDescent="0.2">
      <c r="A1031" s="2">
        <v>15</v>
      </c>
      <c r="B1031" s="1" t="s">
        <v>129</v>
      </c>
      <c r="C1031" s="4">
        <v>2</v>
      </c>
      <c r="D1031" s="8">
        <v>1.34</v>
      </c>
      <c r="E1031" s="4">
        <v>0</v>
      </c>
      <c r="F1031" s="8">
        <v>0</v>
      </c>
      <c r="G1031" s="4">
        <v>2</v>
      </c>
      <c r="H1031" s="8">
        <v>4.6500000000000004</v>
      </c>
      <c r="I1031" s="4">
        <v>0</v>
      </c>
    </row>
    <row r="1032" spans="1:9" x14ac:dyDescent="0.2">
      <c r="A1032" s="2">
        <v>15</v>
      </c>
      <c r="B1032" s="1" t="s">
        <v>134</v>
      </c>
      <c r="C1032" s="4">
        <v>2</v>
      </c>
      <c r="D1032" s="8">
        <v>1.34</v>
      </c>
      <c r="E1032" s="4">
        <v>2</v>
      </c>
      <c r="F1032" s="8">
        <v>1.92</v>
      </c>
      <c r="G1032" s="4">
        <v>0</v>
      </c>
      <c r="H1032" s="8">
        <v>0</v>
      </c>
      <c r="I1032" s="4">
        <v>0</v>
      </c>
    </row>
    <row r="1033" spans="1:9" x14ac:dyDescent="0.2">
      <c r="A1033" s="2">
        <v>15</v>
      </c>
      <c r="B1033" s="1" t="s">
        <v>135</v>
      </c>
      <c r="C1033" s="4">
        <v>2</v>
      </c>
      <c r="D1033" s="8">
        <v>1.34</v>
      </c>
      <c r="E1033" s="4">
        <v>2</v>
      </c>
      <c r="F1033" s="8">
        <v>1.92</v>
      </c>
      <c r="G1033" s="4">
        <v>0</v>
      </c>
      <c r="H1033" s="8">
        <v>0</v>
      </c>
      <c r="I1033" s="4">
        <v>0</v>
      </c>
    </row>
    <row r="1034" spans="1:9" x14ac:dyDescent="0.2">
      <c r="A1034" s="2">
        <v>15</v>
      </c>
      <c r="B1034" s="1" t="s">
        <v>227</v>
      </c>
      <c r="C1034" s="4">
        <v>2</v>
      </c>
      <c r="D1034" s="8">
        <v>1.34</v>
      </c>
      <c r="E1034" s="4">
        <v>0</v>
      </c>
      <c r="F1034" s="8">
        <v>0</v>
      </c>
      <c r="G1034" s="4">
        <v>2</v>
      </c>
      <c r="H1034" s="8">
        <v>4.6500000000000004</v>
      </c>
      <c r="I1034" s="4">
        <v>0</v>
      </c>
    </row>
    <row r="1035" spans="1:9" x14ac:dyDescent="0.2">
      <c r="A1035" s="2">
        <v>15</v>
      </c>
      <c r="B1035" s="1" t="s">
        <v>140</v>
      </c>
      <c r="C1035" s="4">
        <v>2</v>
      </c>
      <c r="D1035" s="8">
        <v>1.34</v>
      </c>
      <c r="E1035" s="4">
        <v>2</v>
      </c>
      <c r="F1035" s="8">
        <v>1.92</v>
      </c>
      <c r="G1035" s="4">
        <v>0</v>
      </c>
      <c r="H1035" s="8">
        <v>0</v>
      </c>
      <c r="I1035" s="4">
        <v>0</v>
      </c>
    </row>
    <row r="1036" spans="1:9" x14ac:dyDescent="0.2">
      <c r="A1036" s="2">
        <v>15</v>
      </c>
      <c r="B1036" s="1" t="s">
        <v>196</v>
      </c>
      <c r="C1036" s="4">
        <v>2</v>
      </c>
      <c r="D1036" s="8">
        <v>1.34</v>
      </c>
      <c r="E1036" s="4">
        <v>0</v>
      </c>
      <c r="F1036" s="8">
        <v>0</v>
      </c>
      <c r="G1036" s="4">
        <v>2</v>
      </c>
      <c r="H1036" s="8">
        <v>4.6500000000000004</v>
      </c>
      <c r="I1036" s="4">
        <v>0</v>
      </c>
    </row>
    <row r="1037" spans="1:9" x14ac:dyDescent="0.2">
      <c r="A1037" s="1"/>
      <c r="C1037" s="4"/>
      <c r="D1037" s="8"/>
      <c r="E1037" s="4"/>
      <c r="F1037" s="8"/>
      <c r="G1037" s="4"/>
      <c r="H1037" s="8"/>
      <c r="I1037" s="4"/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r:id="rId2"/>
  <headerFooter>
    <oddHeader>&amp;C自治体別 事業所数 産業小分類トップ２０</oddHeader>
    <oddFooter>&amp;C&amp;P / &amp;N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396A6-7D12-4B6B-A50E-56489B239DFE}">
  <sheetPr>
    <pageSetUpPr fitToPage="1"/>
  </sheetPr>
  <dimension ref="B2:I86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270</v>
      </c>
    </row>
    <row r="4" spans="2:9" ht="33" customHeight="1" x14ac:dyDescent="0.2">
      <c r="B4" t="s">
        <v>231</v>
      </c>
      <c r="C4" s="10" t="s">
        <v>59</v>
      </c>
      <c r="D4" s="10" t="s">
        <v>60</v>
      </c>
      <c r="E4" s="10" t="s">
        <v>61</v>
      </c>
      <c r="F4" s="10" t="s">
        <v>62</v>
      </c>
      <c r="G4" s="10" t="s">
        <v>63</v>
      </c>
      <c r="H4" s="10" t="s">
        <v>64</v>
      </c>
      <c r="I4" s="10" t="s">
        <v>65</v>
      </c>
    </row>
    <row r="5" spans="2:9" ht="15" customHeight="1" x14ac:dyDescent="0.2">
      <c r="B5" t="s">
        <v>43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44</v>
      </c>
      <c r="C6" s="12">
        <v>27</v>
      </c>
      <c r="D6" s="8">
        <v>17.2</v>
      </c>
      <c r="E6" s="12">
        <v>15</v>
      </c>
      <c r="F6" s="8">
        <v>15</v>
      </c>
      <c r="G6" s="12">
        <v>12</v>
      </c>
      <c r="H6" s="8">
        <v>21.82</v>
      </c>
      <c r="I6" s="12">
        <v>0</v>
      </c>
    </row>
    <row r="7" spans="2:9" ht="15" customHeight="1" x14ac:dyDescent="0.2">
      <c r="B7" t="s">
        <v>45</v>
      </c>
      <c r="C7" s="12">
        <v>50</v>
      </c>
      <c r="D7" s="8">
        <v>31.85</v>
      </c>
      <c r="E7" s="12">
        <v>26</v>
      </c>
      <c r="F7" s="8">
        <v>26</v>
      </c>
      <c r="G7" s="12">
        <v>24</v>
      </c>
      <c r="H7" s="8">
        <v>43.64</v>
      </c>
      <c r="I7" s="12">
        <v>0</v>
      </c>
    </row>
    <row r="8" spans="2:9" ht="15" customHeight="1" x14ac:dyDescent="0.2">
      <c r="B8" t="s">
        <v>46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47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48</v>
      </c>
      <c r="C10" s="12">
        <v>0</v>
      </c>
      <c r="D10" s="8">
        <v>0</v>
      </c>
      <c r="E10" s="12">
        <v>0</v>
      </c>
      <c r="F10" s="8">
        <v>0</v>
      </c>
      <c r="G10" s="12">
        <v>0</v>
      </c>
      <c r="H10" s="8">
        <v>0</v>
      </c>
      <c r="I10" s="12">
        <v>0</v>
      </c>
    </row>
    <row r="11" spans="2:9" ht="15" customHeight="1" x14ac:dyDescent="0.2">
      <c r="B11" t="s">
        <v>49</v>
      </c>
      <c r="C11" s="12">
        <v>22</v>
      </c>
      <c r="D11" s="8">
        <v>14.01</v>
      </c>
      <c r="E11" s="12">
        <v>11</v>
      </c>
      <c r="F11" s="8">
        <v>11</v>
      </c>
      <c r="G11" s="12">
        <v>10</v>
      </c>
      <c r="H11" s="8">
        <v>18.18</v>
      </c>
      <c r="I11" s="12">
        <v>1</v>
      </c>
    </row>
    <row r="12" spans="2:9" ht="15" customHeight="1" x14ac:dyDescent="0.2">
      <c r="B12" t="s">
        <v>50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51</v>
      </c>
      <c r="C13" s="12">
        <v>4</v>
      </c>
      <c r="D13" s="8">
        <v>2.5499999999999998</v>
      </c>
      <c r="E13" s="12">
        <v>3</v>
      </c>
      <c r="F13" s="8">
        <v>3</v>
      </c>
      <c r="G13" s="12">
        <v>1</v>
      </c>
      <c r="H13" s="8">
        <v>1.82</v>
      </c>
      <c r="I13" s="12">
        <v>0</v>
      </c>
    </row>
    <row r="14" spans="2:9" ht="15" customHeight="1" x14ac:dyDescent="0.2">
      <c r="B14" t="s">
        <v>52</v>
      </c>
      <c r="C14" s="12">
        <v>7</v>
      </c>
      <c r="D14" s="8">
        <v>4.46</v>
      </c>
      <c r="E14" s="12">
        <v>6</v>
      </c>
      <c r="F14" s="8">
        <v>6</v>
      </c>
      <c r="G14" s="12">
        <v>1</v>
      </c>
      <c r="H14" s="8">
        <v>1.82</v>
      </c>
      <c r="I14" s="12">
        <v>0</v>
      </c>
    </row>
    <row r="15" spans="2:9" ht="15" customHeight="1" x14ac:dyDescent="0.2">
      <c r="B15" t="s">
        <v>53</v>
      </c>
      <c r="C15" s="12">
        <v>12</v>
      </c>
      <c r="D15" s="8">
        <v>7.64</v>
      </c>
      <c r="E15" s="12">
        <v>12</v>
      </c>
      <c r="F15" s="8">
        <v>12</v>
      </c>
      <c r="G15" s="12">
        <v>0</v>
      </c>
      <c r="H15" s="8">
        <v>0</v>
      </c>
      <c r="I15" s="12">
        <v>0</v>
      </c>
    </row>
    <row r="16" spans="2:9" ht="15" customHeight="1" x14ac:dyDescent="0.2">
      <c r="B16" t="s">
        <v>54</v>
      </c>
      <c r="C16" s="12">
        <v>20</v>
      </c>
      <c r="D16" s="8">
        <v>12.74</v>
      </c>
      <c r="E16" s="12">
        <v>18</v>
      </c>
      <c r="F16" s="8">
        <v>18</v>
      </c>
      <c r="G16" s="12">
        <v>2</v>
      </c>
      <c r="H16" s="8">
        <v>3.64</v>
      </c>
      <c r="I16" s="12">
        <v>0</v>
      </c>
    </row>
    <row r="17" spans="2:9" ht="15" customHeight="1" x14ac:dyDescent="0.2">
      <c r="B17" t="s">
        <v>55</v>
      </c>
      <c r="C17" s="12">
        <v>6</v>
      </c>
      <c r="D17" s="8">
        <v>3.82</v>
      </c>
      <c r="E17" s="12">
        <v>4</v>
      </c>
      <c r="F17" s="8">
        <v>4</v>
      </c>
      <c r="G17" s="12">
        <v>2</v>
      </c>
      <c r="H17" s="8">
        <v>3.64</v>
      </c>
      <c r="I17" s="12">
        <v>0</v>
      </c>
    </row>
    <row r="18" spans="2:9" ht="15" customHeight="1" x14ac:dyDescent="0.2">
      <c r="B18" t="s">
        <v>56</v>
      </c>
      <c r="C18" s="12">
        <v>4</v>
      </c>
      <c r="D18" s="8">
        <v>2.5499999999999998</v>
      </c>
      <c r="E18" s="12">
        <v>3</v>
      </c>
      <c r="F18" s="8">
        <v>3</v>
      </c>
      <c r="G18" s="12">
        <v>0</v>
      </c>
      <c r="H18" s="8">
        <v>0</v>
      </c>
      <c r="I18" s="12">
        <v>0</v>
      </c>
    </row>
    <row r="19" spans="2:9" ht="15" customHeight="1" x14ac:dyDescent="0.2">
      <c r="B19" t="s">
        <v>57</v>
      </c>
      <c r="C19" s="12">
        <v>5</v>
      </c>
      <c r="D19" s="8">
        <v>3.18</v>
      </c>
      <c r="E19" s="12">
        <v>2</v>
      </c>
      <c r="F19" s="8">
        <v>2</v>
      </c>
      <c r="G19" s="12">
        <v>3</v>
      </c>
      <c r="H19" s="8">
        <v>5.45</v>
      </c>
      <c r="I19" s="12">
        <v>0</v>
      </c>
    </row>
    <row r="20" spans="2:9" ht="15" customHeight="1" x14ac:dyDescent="0.2">
      <c r="B20" s="9" t="s">
        <v>232</v>
      </c>
      <c r="C20" s="12">
        <f>SUM(LTBL_21502[総数／事業所数])</f>
        <v>157</v>
      </c>
      <c r="E20" s="12">
        <f>SUBTOTAL(109,LTBL_21502[個人／事業所数])</f>
        <v>100</v>
      </c>
      <c r="G20" s="12">
        <f>SUBTOTAL(109,LTBL_21502[法人／事業所数])</f>
        <v>55</v>
      </c>
      <c r="I20" s="12">
        <f>SUBTOTAL(109,LTBL_21502[法人以外の団体／事業所数])</f>
        <v>1</v>
      </c>
    </row>
    <row r="21" spans="2:9" ht="15" customHeight="1" x14ac:dyDescent="0.2">
      <c r="E21" s="11">
        <f>LTBL_21502[[#Totals],[個人／事業所数]]/LTBL_21502[[#Totals],[総数／事業所数]]</f>
        <v>0.63694267515923564</v>
      </c>
      <c r="G21" s="11">
        <f>LTBL_21502[[#Totals],[法人／事業所数]]/LTBL_21502[[#Totals],[総数／事業所数]]</f>
        <v>0.3503184713375796</v>
      </c>
      <c r="I21" s="11">
        <f>LTBL_21502[[#Totals],[法人以外の団体／事業所数]]/LTBL_21502[[#Totals],[総数／事業所数]]</f>
        <v>6.369426751592357E-3</v>
      </c>
    </row>
    <row r="23" spans="2:9" ht="33" customHeight="1" x14ac:dyDescent="0.2">
      <c r="B23" t="s">
        <v>233</v>
      </c>
      <c r="C23" s="10" t="s">
        <v>59</v>
      </c>
      <c r="D23" s="10" t="s">
        <v>60</v>
      </c>
      <c r="E23" s="10" t="s">
        <v>61</v>
      </c>
      <c r="F23" s="10" t="s">
        <v>62</v>
      </c>
      <c r="G23" s="10" t="s">
        <v>63</v>
      </c>
      <c r="H23" s="10" t="s">
        <v>64</v>
      </c>
      <c r="I23" s="10" t="s">
        <v>65</v>
      </c>
    </row>
    <row r="24" spans="2:9" ht="15" customHeight="1" x14ac:dyDescent="0.2">
      <c r="B24" t="s">
        <v>71</v>
      </c>
      <c r="C24" s="12">
        <v>18</v>
      </c>
      <c r="D24" s="8">
        <v>11.46</v>
      </c>
      <c r="E24" s="12">
        <v>11</v>
      </c>
      <c r="F24" s="8">
        <v>11</v>
      </c>
      <c r="G24" s="12">
        <v>7</v>
      </c>
      <c r="H24" s="8">
        <v>12.73</v>
      </c>
      <c r="I24" s="12">
        <v>0</v>
      </c>
    </row>
    <row r="25" spans="2:9" ht="15" customHeight="1" x14ac:dyDescent="0.2">
      <c r="B25" t="s">
        <v>82</v>
      </c>
      <c r="C25" s="12">
        <v>18</v>
      </c>
      <c r="D25" s="8">
        <v>11.46</v>
      </c>
      <c r="E25" s="12">
        <v>17</v>
      </c>
      <c r="F25" s="8">
        <v>17</v>
      </c>
      <c r="G25" s="12">
        <v>1</v>
      </c>
      <c r="H25" s="8">
        <v>1.82</v>
      </c>
      <c r="I25" s="12">
        <v>0</v>
      </c>
    </row>
    <row r="26" spans="2:9" ht="15" customHeight="1" x14ac:dyDescent="0.2">
      <c r="B26" t="s">
        <v>66</v>
      </c>
      <c r="C26" s="12">
        <v>14</v>
      </c>
      <c r="D26" s="8">
        <v>8.92</v>
      </c>
      <c r="E26" s="12">
        <v>6</v>
      </c>
      <c r="F26" s="8">
        <v>6</v>
      </c>
      <c r="G26" s="12">
        <v>8</v>
      </c>
      <c r="H26" s="8">
        <v>14.55</v>
      </c>
      <c r="I26" s="12">
        <v>0</v>
      </c>
    </row>
    <row r="27" spans="2:9" ht="15" customHeight="1" x14ac:dyDescent="0.2">
      <c r="B27" t="s">
        <v>81</v>
      </c>
      <c r="C27" s="12">
        <v>12</v>
      </c>
      <c r="D27" s="8">
        <v>7.64</v>
      </c>
      <c r="E27" s="12">
        <v>12</v>
      </c>
      <c r="F27" s="8">
        <v>12</v>
      </c>
      <c r="G27" s="12">
        <v>0</v>
      </c>
      <c r="H27" s="8">
        <v>0</v>
      </c>
      <c r="I27" s="12">
        <v>0</v>
      </c>
    </row>
    <row r="28" spans="2:9" ht="15" customHeight="1" x14ac:dyDescent="0.2">
      <c r="B28" t="s">
        <v>76</v>
      </c>
      <c r="C28" s="12">
        <v>9</v>
      </c>
      <c r="D28" s="8">
        <v>5.73</v>
      </c>
      <c r="E28" s="12">
        <v>6</v>
      </c>
      <c r="F28" s="8">
        <v>6</v>
      </c>
      <c r="G28" s="12">
        <v>3</v>
      </c>
      <c r="H28" s="8">
        <v>5.45</v>
      </c>
      <c r="I28" s="12">
        <v>0</v>
      </c>
    </row>
    <row r="29" spans="2:9" ht="15" customHeight="1" x14ac:dyDescent="0.2">
      <c r="B29" t="s">
        <v>67</v>
      </c>
      <c r="C29" s="12">
        <v>8</v>
      </c>
      <c r="D29" s="8">
        <v>5.0999999999999996</v>
      </c>
      <c r="E29" s="12">
        <v>6</v>
      </c>
      <c r="F29" s="8">
        <v>6</v>
      </c>
      <c r="G29" s="12">
        <v>2</v>
      </c>
      <c r="H29" s="8">
        <v>3.64</v>
      </c>
      <c r="I29" s="12">
        <v>0</v>
      </c>
    </row>
    <row r="30" spans="2:9" ht="15" customHeight="1" x14ac:dyDescent="0.2">
      <c r="B30" t="s">
        <v>72</v>
      </c>
      <c r="C30" s="12">
        <v>8</v>
      </c>
      <c r="D30" s="8">
        <v>5.0999999999999996</v>
      </c>
      <c r="E30" s="12">
        <v>4</v>
      </c>
      <c r="F30" s="8">
        <v>4</v>
      </c>
      <c r="G30" s="12">
        <v>4</v>
      </c>
      <c r="H30" s="8">
        <v>7.27</v>
      </c>
      <c r="I30" s="12">
        <v>0</v>
      </c>
    </row>
    <row r="31" spans="2:9" ht="15" customHeight="1" x14ac:dyDescent="0.2">
      <c r="B31" t="s">
        <v>79</v>
      </c>
      <c r="C31" s="12">
        <v>6</v>
      </c>
      <c r="D31" s="8">
        <v>3.82</v>
      </c>
      <c r="E31" s="12">
        <v>6</v>
      </c>
      <c r="F31" s="8">
        <v>6</v>
      </c>
      <c r="G31" s="12">
        <v>0</v>
      </c>
      <c r="H31" s="8">
        <v>0</v>
      </c>
      <c r="I31" s="12">
        <v>0</v>
      </c>
    </row>
    <row r="32" spans="2:9" ht="15" customHeight="1" x14ac:dyDescent="0.2">
      <c r="B32" t="s">
        <v>83</v>
      </c>
      <c r="C32" s="12">
        <v>6</v>
      </c>
      <c r="D32" s="8">
        <v>3.82</v>
      </c>
      <c r="E32" s="12">
        <v>4</v>
      </c>
      <c r="F32" s="8">
        <v>4</v>
      </c>
      <c r="G32" s="12">
        <v>2</v>
      </c>
      <c r="H32" s="8">
        <v>3.64</v>
      </c>
      <c r="I32" s="12">
        <v>0</v>
      </c>
    </row>
    <row r="33" spans="2:9" ht="15" customHeight="1" x14ac:dyDescent="0.2">
      <c r="B33" t="s">
        <v>68</v>
      </c>
      <c r="C33" s="12">
        <v>5</v>
      </c>
      <c r="D33" s="8">
        <v>3.18</v>
      </c>
      <c r="E33" s="12">
        <v>3</v>
      </c>
      <c r="F33" s="8">
        <v>3</v>
      </c>
      <c r="G33" s="12">
        <v>2</v>
      </c>
      <c r="H33" s="8">
        <v>3.64</v>
      </c>
      <c r="I33" s="12">
        <v>0</v>
      </c>
    </row>
    <row r="34" spans="2:9" ht="15" customHeight="1" x14ac:dyDescent="0.2">
      <c r="B34" t="s">
        <v>94</v>
      </c>
      <c r="C34" s="12">
        <v>5</v>
      </c>
      <c r="D34" s="8">
        <v>3.18</v>
      </c>
      <c r="E34" s="12">
        <v>1</v>
      </c>
      <c r="F34" s="8">
        <v>1</v>
      </c>
      <c r="G34" s="12">
        <v>4</v>
      </c>
      <c r="H34" s="8">
        <v>7.27</v>
      </c>
      <c r="I34" s="12">
        <v>0</v>
      </c>
    </row>
    <row r="35" spans="2:9" ht="15" customHeight="1" x14ac:dyDescent="0.2">
      <c r="B35" t="s">
        <v>98</v>
      </c>
      <c r="C35" s="12">
        <v>4</v>
      </c>
      <c r="D35" s="8">
        <v>2.5499999999999998</v>
      </c>
      <c r="E35" s="12">
        <v>2</v>
      </c>
      <c r="F35" s="8">
        <v>2</v>
      </c>
      <c r="G35" s="12">
        <v>2</v>
      </c>
      <c r="H35" s="8">
        <v>3.64</v>
      </c>
      <c r="I35" s="12">
        <v>0</v>
      </c>
    </row>
    <row r="36" spans="2:9" ht="15" customHeight="1" x14ac:dyDescent="0.2">
      <c r="B36" t="s">
        <v>101</v>
      </c>
      <c r="C36" s="12">
        <v>4</v>
      </c>
      <c r="D36" s="8">
        <v>2.5499999999999998</v>
      </c>
      <c r="E36" s="12">
        <v>4</v>
      </c>
      <c r="F36" s="8">
        <v>4</v>
      </c>
      <c r="G36" s="12">
        <v>0</v>
      </c>
      <c r="H36" s="8">
        <v>0</v>
      </c>
      <c r="I36" s="12">
        <v>0</v>
      </c>
    </row>
    <row r="37" spans="2:9" ht="15" customHeight="1" x14ac:dyDescent="0.2">
      <c r="B37" t="s">
        <v>75</v>
      </c>
      <c r="C37" s="12">
        <v>4</v>
      </c>
      <c r="D37" s="8">
        <v>2.5499999999999998</v>
      </c>
      <c r="E37" s="12">
        <v>2</v>
      </c>
      <c r="F37" s="8">
        <v>2</v>
      </c>
      <c r="G37" s="12">
        <v>2</v>
      </c>
      <c r="H37" s="8">
        <v>3.64</v>
      </c>
      <c r="I37" s="12">
        <v>0</v>
      </c>
    </row>
    <row r="38" spans="2:9" ht="15" customHeight="1" x14ac:dyDescent="0.2">
      <c r="B38" t="s">
        <v>74</v>
      </c>
      <c r="C38" s="12">
        <v>3</v>
      </c>
      <c r="D38" s="8">
        <v>1.91</v>
      </c>
      <c r="E38" s="12">
        <v>2</v>
      </c>
      <c r="F38" s="8">
        <v>2</v>
      </c>
      <c r="G38" s="12">
        <v>1</v>
      </c>
      <c r="H38" s="8">
        <v>1.82</v>
      </c>
      <c r="I38" s="12">
        <v>0</v>
      </c>
    </row>
    <row r="39" spans="2:9" ht="15" customHeight="1" x14ac:dyDescent="0.2">
      <c r="B39" t="s">
        <v>77</v>
      </c>
      <c r="C39" s="12">
        <v>3</v>
      </c>
      <c r="D39" s="8">
        <v>1.91</v>
      </c>
      <c r="E39" s="12">
        <v>1</v>
      </c>
      <c r="F39" s="8">
        <v>1</v>
      </c>
      <c r="G39" s="12">
        <v>2</v>
      </c>
      <c r="H39" s="8">
        <v>3.64</v>
      </c>
      <c r="I39" s="12">
        <v>0</v>
      </c>
    </row>
    <row r="40" spans="2:9" ht="15" customHeight="1" x14ac:dyDescent="0.2">
      <c r="B40" t="s">
        <v>84</v>
      </c>
      <c r="C40" s="12">
        <v>3</v>
      </c>
      <c r="D40" s="8">
        <v>1.91</v>
      </c>
      <c r="E40" s="12">
        <v>3</v>
      </c>
      <c r="F40" s="8">
        <v>3</v>
      </c>
      <c r="G40" s="12">
        <v>0</v>
      </c>
      <c r="H40" s="8">
        <v>0</v>
      </c>
      <c r="I40" s="12">
        <v>0</v>
      </c>
    </row>
    <row r="41" spans="2:9" ht="15" customHeight="1" x14ac:dyDescent="0.2">
      <c r="B41" t="s">
        <v>88</v>
      </c>
      <c r="C41" s="12">
        <v>3</v>
      </c>
      <c r="D41" s="8">
        <v>1.91</v>
      </c>
      <c r="E41" s="12">
        <v>2</v>
      </c>
      <c r="F41" s="8">
        <v>2</v>
      </c>
      <c r="G41" s="12">
        <v>1</v>
      </c>
      <c r="H41" s="8">
        <v>1.82</v>
      </c>
      <c r="I41" s="12">
        <v>0</v>
      </c>
    </row>
    <row r="42" spans="2:9" ht="15" customHeight="1" x14ac:dyDescent="0.2">
      <c r="B42" t="s">
        <v>91</v>
      </c>
      <c r="C42" s="12">
        <v>2</v>
      </c>
      <c r="D42" s="8">
        <v>1.27</v>
      </c>
      <c r="E42" s="12">
        <v>0</v>
      </c>
      <c r="F42" s="8">
        <v>0</v>
      </c>
      <c r="G42" s="12">
        <v>2</v>
      </c>
      <c r="H42" s="8">
        <v>3.64</v>
      </c>
      <c r="I42" s="12">
        <v>0</v>
      </c>
    </row>
    <row r="43" spans="2:9" ht="15" customHeight="1" x14ac:dyDescent="0.2">
      <c r="B43" t="s">
        <v>69</v>
      </c>
      <c r="C43" s="12">
        <v>2</v>
      </c>
      <c r="D43" s="8">
        <v>1.27</v>
      </c>
      <c r="E43" s="12">
        <v>0</v>
      </c>
      <c r="F43" s="8">
        <v>0</v>
      </c>
      <c r="G43" s="12">
        <v>2</v>
      </c>
      <c r="H43" s="8">
        <v>3.64</v>
      </c>
      <c r="I43" s="12">
        <v>0</v>
      </c>
    </row>
    <row r="44" spans="2:9" ht="15" customHeight="1" x14ac:dyDescent="0.2">
      <c r="B44" t="s">
        <v>93</v>
      </c>
      <c r="C44" s="12">
        <v>2</v>
      </c>
      <c r="D44" s="8">
        <v>1.27</v>
      </c>
      <c r="E44" s="12">
        <v>2</v>
      </c>
      <c r="F44" s="8">
        <v>2</v>
      </c>
      <c r="G44" s="12">
        <v>0</v>
      </c>
      <c r="H44" s="8">
        <v>0</v>
      </c>
      <c r="I44" s="12">
        <v>0</v>
      </c>
    </row>
    <row r="45" spans="2:9" ht="15" customHeight="1" x14ac:dyDescent="0.2">
      <c r="B45" t="s">
        <v>104</v>
      </c>
      <c r="C45" s="12">
        <v>2</v>
      </c>
      <c r="D45" s="8">
        <v>1.27</v>
      </c>
      <c r="E45" s="12">
        <v>1</v>
      </c>
      <c r="F45" s="8">
        <v>1</v>
      </c>
      <c r="G45" s="12">
        <v>1</v>
      </c>
      <c r="H45" s="8">
        <v>1.82</v>
      </c>
      <c r="I45" s="12">
        <v>0</v>
      </c>
    </row>
    <row r="46" spans="2:9" ht="15" customHeight="1" x14ac:dyDescent="0.2">
      <c r="B46" t="s">
        <v>73</v>
      </c>
      <c r="C46" s="12">
        <v>2</v>
      </c>
      <c r="D46" s="8">
        <v>1.27</v>
      </c>
      <c r="E46" s="12">
        <v>0</v>
      </c>
      <c r="F46" s="8">
        <v>0</v>
      </c>
      <c r="G46" s="12">
        <v>1</v>
      </c>
      <c r="H46" s="8">
        <v>1.82</v>
      </c>
      <c r="I46" s="12">
        <v>1</v>
      </c>
    </row>
    <row r="47" spans="2:9" ht="15" customHeight="1" x14ac:dyDescent="0.2">
      <c r="B47" t="s">
        <v>102</v>
      </c>
      <c r="C47" s="12">
        <v>2</v>
      </c>
      <c r="D47" s="8">
        <v>1.27</v>
      </c>
      <c r="E47" s="12">
        <v>1</v>
      </c>
      <c r="F47" s="8">
        <v>1</v>
      </c>
      <c r="G47" s="12">
        <v>1</v>
      </c>
      <c r="H47" s="8">
        <v>1.82</v>
      </c>
      <c r="I47" s="12">
        <v>0</v>
      </c>
    </row>
    <row r="48" spans="2:9" ht="15" customHeight="1" x14ac:dyDescent="0.2">
      <c r="B48" t="s">
        <v>78</v>
      </c>
      <c r="C48" s="12">
        <v>2</v>
      </c>
      <c r="D48" s="8">
        <v>1.27</v>
      </c>
      <c r="E48" s="12">
        <v>2</v>
      </c>
      <c r="F48" s="8">
        <v>2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90</v>
      </c>
      <c r="C49" s="12">
        <v>2</v>
      </c>
      <c r="D49" s="8">
        <v>1.27</v>
      </c>
      <c r="E49" s="12">
        <v>1</v>
      </c>
      <c r="F49" s="8">
        <v>1</v>
      </c>
      <c r="G49" s="12">
        <v>1</v>
      </c>
      <c r="H49" s="8">
        <v>1.82</v>
      </c>
      <c r="I49" s="12">
        <v>0</v>
      </c>
    </row>
    <row r="52" spans="2:9" ht="33" customHeight="1" x14ac:dyDescent="0.2">
      <c r="B52" t="s">
        <v>234</v>
      </c>
      <c r="C52" s="10" t="s">
        <v>59</v>
      </c>
      <c r="D52" s="10" t="s">
        <v>60</v>
      </c>
      <c r="E52" s="10" t="s">
        <v>61</v>
      </c>
      <c r="F52" s="10" t="s">
        <v>62</v>
      </c>
      <c r="G52" s="10" t="s">
        <v>63</v>
      </c>
      <c r="H52" s="10" t="s">
        <v>64</v>
      </c>
      <c r="I52" s="10" t="s">
        <v>65</v>
      </c>
    </row>
    <row r="53" spans="2:9" ht="15" customHeight="1" x14ac:dyDescent="0.2">
      <c r="B53" t="s">
        <v>138</v>
      </c>
      <c r="C53" s="12">
        <v>11</v>
      </c>
      <c r="D53" s="8">
        <v>7.01</v>
      </c>
      <c r="E53" s="12">
        <v>11</v>
      </c>
      <c r="F53" s="8">
        <v>11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136</v>
      </c>
      <c r="C54" s="12">
        <v>8</v>
      </c>
      <c r="D54" s="8">
        <v>5.0999999999999996</v>
      </c>
      <c r="E54" s="12">
        <v>8</v>
      </c>
      <c r="F54" s="8">
        <v>8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123</v>
      </c>
      <c r="C55" s="12">
        <v>6</v>
      </c>
      <c r="D55" s="8">
        <v>3.82</v>
      </c>
      <c r="E55" s="12">
        <v>1</v>
      </c>
      <c r="F55" s="8">
        <v>1</v>
      </c>
      <c r="G55" s="12">
        <v>5</v>
      </c>
      <c r="H55" s="8">
        <v>9.09</v>
      </c>
      <c r="I55" s="12">
        <v>0</v>
      </c>
    </row>
    <row r="56" spans="2:9" ht="15" customHeight="1" x14ac:dyDescent="0.2">
      <c r="B56" t="s">
        <v>152</v>
      </c>
      <c r="C56" s="12">
        <v>5</v>
      </c>
      <c r="D56" s="8">
        <v>3.18</v>
      </c>
      <c r="E56" s="12">
        <v>5</v>
      </c>
      <c r="F56" s="8">
        <v>5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153</v>
      </c>
      <c r="C57" s="12">
        <v>5</v>
      </c>
      <c r="D57" s="8">
        <v>3.18</v>
      </c>
      <c r="E57" s="12">
        <v>3</v>
      </c>
      <c r="F57" s="8">
        <v>3</v>
      </c>
      <c r="G57" s="12">
        <v>2</v>
      </c>
      <c r="H57" s="8">
        <v>3.64</v>
      </c>
      <c r="I57" s="12">
        <v>0</v>
      </c>
    </row>
    <row r="58" spans="2:9" ht="15" customHeight="1" x14ac:dyDescent="0.2">
      <c r="B58" t="s">
        <v>155</v>
      </c>
      <c r="C58" s="12">
        <v>5</v>
      </c>
      <c r="D58" s="8">
        <v>3.18</v>
      </c>
      <c r="E58" s="12">
        <v>2</v>
      </c>
      <c r="F58" s="8">
        <v>2</v>
      </c>
      <c r="G58" s="12">
        <v>3</v>
      </c>
      <c r="H58" s="8">
        <v>5.45</v>
      </c>
      <c r="I58" s="12">
        <v>0</v>
      </c>
    </row>
    <row r="59" spans="2:9" ht="15" customHeight="1" x14ac:dyDescent="0.2">
      <c r="B59" t="s">
        <v>128</v>
      </c>
      <c r="C59" s="12">
        <v>5</v>
      </c>
      <c r="D59" s="8">
        <v>3.18</v>
      </c>
      <c r="E59" s="12">
        <v>4</v>
      </c>
      <c r="F59" s="8">
        <v>4</v>
      </c>
      <c r="G59" s="12">
        <v>1</v>
      </c>
      <c r="H59" s="8">
        <v>1.82</v>
      </c>
      <c r="I59" s="12">
        <v>0</v>
      </c>
    </row>
    <row r="60" spans="2:9" ht="15" customHeight="1" x14ac:dyDescent="0.2">
      <c r="B60" t="s">
        <v>124</v>
      </c>
      <c r="C60" s="12">
        <v>4</v>
      </c>
      <c r="D60" s="8">
        <v>2.5499999999999998</v>
      </c>
      <c r="E60" s="12">
        <v>2</v>
      </c>
      <c r="F60" s="8">
        <v>2</v>
      </c>
      <c r="G60" s="12">
        <v>2</v>
      </c>
      <c r="H60" s="8">
        <v>3.64</v>
      </c>
      <c r="I60" s="12">
        <v>0</v>
      </c>
    </row>
    <row r="61" spans="2:9" ht="15" customHeight="1" x14ac:dyDescent="0.2">
      <c r="B61" t="s">
        <v>154</v>
      </c>
      <c r="C61" s="12">
        <v>4</v>
      </c>
      <c r="D61" s="8">
        <v>2.5499999999999998</v>
      </c>
      <c r="E61" s="12">
        <v>3</v>
      </c>
      <c r="F61" s="8">
        <v>3</v>
      </c>
      <c r="G61" s="12">
        <v>1</v>
      </c>
      <c r="H61" s="8">
        <v>1.82</v>
      </c>
      <c r="I61" s="12">
        <v>0</v>
      </c>
    </row>
    <row r="62" spans="2:9" ht="15" customHeight="1" x14ac:dyDescent="0.2">
      <c r="B62" t="s">
        <v>169</v>
      </c>
      <c r="C62" s="12">
        <v>4</v>
      </c>
      <c r="D62" s="8">
        <v>2.5499999999999998</v>
      </c>
      <c r="E62" s="12">
        <v>4</v>
      </c>
      <c r="F62" s="8">
        <v>4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144</v>
      </c>
      <c r="C63" s="12">
        <v>4</v>
      </c>
      <c r="D63" s="8">
        <v>2.5499999999999998</v>
      </c>
      <c r="E63" s="12">
        <v>3</v>
      </c>
      <c r="F63" s="8">
        <v>3</v>
      </c>
      <c r="G63" s="12">
        <v>1</v>
      </c>
      <c r="H63" s="8">
        <v>1.82</v>
      </c>
      <c r="I63" s="12">
        <v>0</v>
      </c>
    </row>
    <row r="64" spans="2:9" ht="15" customHeight="1" x14ac:dyDescent="0.2">
      <c r="B64" t="s">
        <v>139</v>
      </c>
      <c r="C64" s="12">
        <v>4</v>
      </c>
      <c r="D64" s="8">
        <v>2.5499999999999998</v>
      </c>
      <c r="E64" s="12">
        <v>3</v>
      </c>
      <c r="F64" s="8">
        <v>3</v>
      </c>
      <c r="G64" s="12">
        <v>1</v>
      </c>
      <c r="H64" s="8">
        <v>1.82</v>
      </c>
      <c r="I64" s="12">
        <v>0</v>
      </c>
    </row>
    <row r="65" spans="2:9" ht="15" customHeight="1" x14ac:dyDescent="0.2">
      <c r="B65" t="s">
        <v>122</v>
      </c>
      <c r="C65" s="12">
        <v>3</v>
      </c>
      <c r="D65" s="8">
        <v>1.91</v>
      </c>
      <c r="E65" s="12">
        <v>2</v>
      </c>
      <c r="F65" s="8">
        <v>2</v>
      </c>
      <c r="G65" s="12">
        <v>1</v>
      </c>
      <c r="H65" s="8">
        <v>1.82</v>
      </c>
      <c r="I65" s="12">
        <v>0</v>
      </c>
    </row>
    <row r="66" spans="2:9" ht="15" customHeight="1" x14ac:dyDescent="0.2">
      <c r="B66" t="s">
        <v>177</v>
      </c>
      <c r="C66" s="12">
        <v>3</v>
      </c>
      <c r="D66" s="8">
        <v>1.91</v>
      </c>
      <c r="E66" s="12">
        <v>2</v>
      </c>
      <c r="F66" s="8">
        <v>2</v>
      </c>
      <c r="G66" s="12">
        <v>1</v>
      </c>
      <c r="H66" s="8">
        <v>1.82</v>
      </c>
      <c r="I66" s="12">
        <v>0</v>
      </c>
    </row>
    <row r="67" spans="2:9" ht="15" customHeight="1" x14ac:dyDescent="0.2">
      <c r="B67" t="s">
        <v>156</v>
      </c>
      <c r="C67" s="12">
        <v>3</v>
      </c>
      <c r="D67" s="8">
        <v>1.91</v>
      </c>
      <c r="E67" s="12">
        <v>2</v>
      </c>
      <c r="F67" s="8">
        <v>2</v>
      </c>
      <c r="G67" s="12">
        <v>1</v>
      </c>
      <c r="H67" s="8">
        <v>1.82</v>
      </c>
      <c r="I67" s="12">
        <v>0</v>
      </c>
    </row>
    <row r="68" spans="2:9" ht="15" customHeight="1" x14ac:dyDescent="0.2">
      <c r="B68" t="s">
        <v>186</v>
      </c>
      <c r="C68" s="12">
        <v>3</v>
      </c>
      <c r="D68" s="8">
        <v>1.91</v>
      </c>
      <c r="E68" s="12">
        <v>1</v>
      </c>
      <c r="F68" s="8">
        <v>1</v>
      </c>
      <c r="G68" s="12">
        <v>2</v>
      </c>
      <c r="H68" s="8">
        <v>3.64</v>
      </c>
      <c r="I68" s="12">
        <v>0</v>
      </c>
    </row>
    <row r="69" spans="2:9" ht="15" customHeight="1" x14ac:dyDescent="0.2">
      <c r="B69" t="s">
        <v>163</v>
      </c>
      <c r="C69" s="12">
        <v>3</v>
      </c>
      <c r="D69" s="8">
        <v>1.91</v>
      </c>
      <c r="E69" s="12">
        <v>1</v>
      </c>
      <c r="F69" s="8">
        <v>1</v>
      </c>
      <c r="G69" s="12">
        <v>2</v>
      </c>
      <c r="H69" s="8">
        <v>3.64</v>
      </c>
      <c r="I69" s="12">
        <v>0</v>
      </c>
    </row>
    <row r="70" spans="2:9" ht="15" customHeight="1" x14ac:dyDescent="0.2">
      <c r="B70" t="s">
        <v>137</v>
      </c>
      <c r="C70" s="12">
        <v>3</v>
      </c>
      <c r="D70" s="8">
        <v>1.91</v>
      </c>
      <c r="E70" s="12">
        <v>3</v>
      </c>
      <c r="F70" s="8">
        <v>3</v>
      </c>
      <c r="G70" s="12">
        <v>0</v>
      </c>
      <c r="H70" s="8">
        <v>0</v>
      </c>
      <c r="I70" s="12">
        <v>0</v>
      </c>
    </row>
    <row r="71" spans="2:9" ht="15" customHeight="1" x14ac:dyDescent="0.2">
      <c r="B71" t="s">
        <v>140</v>
      </c>
      <c r="C71" s="12">
        <v>3</v>
      </c>
      <c r="D71" s="8">
        <v>1.91</v>
      </c>
      <c r="E71" s="12">
        <v>3</v>
      </c>
      <c r="F71" s="8">
        <v>3</v>
      </c>
      <c r="G71" s="12">
        <v>0</v>
      </c>
      <c r="H71" s="8">
        <v>0</v>
      </c>
      <c r="I71" s="12">
        <v>0</v>
      </c>
    </row>
    <row r="72" spans="2:9" ht="15" customHeight="1" x14ac:dyDescent="0.2">
      <c r="B72" t="s">
        <v>125</v>
      </c>
      <c r="C72" s="12">
        <v>2</v>
      </c>
      <c r="D72" s="8">
        <v>1.27</v>
      </c>
      <c r="E72" s="12">
        <v>1</v>
      </c>
      <c r="F72" s="8">
        <v>1</v>
      </c>
      <c r="G72" s="12">
        <v>1</v>
      </c>
      <c r="H72" s="8">
        <v>1.82</v>
      </c>
      <c r="I72" s="12">
        <v>0</v>
      </c>
    </row>
    <row r="73" spans="2:9" ht="15" customHeight="1" x14ac:dyDescent="0.2">
      <c r="B73" t="s">
        <v>158</v>
      </c>
      <c r="C73" s="12">
        <v>2</v>
      </c>
      <c r="D73" s="8">
        <v>1.27</v>
      </c>
      <c r="E73" s="12">
        <v>1</v>
      </c>
      <c r="F73" s="8">
        <v>1</v>
      </c>
      <c r="G73" s="12">
        <v>1</v>
      </c>
      <c r="H73" s="8">
        <v>1.82</v>
      </c>
      <c r="I73" s="12">
        <v>0</v>
      </c>
    </row>
    <row r="74" spans="2:9" ht="15" customHeight="1" x14ac:dyDescent="0.2">
      <c r="B74" t="s">
        <v>206</v>
      </c>
      <c r="C74" s="12">
        <v>2</v>
      </c>
      <c r="D74" s="8">
        <v>1.27</v>
      </c>
      <c r="E74" s="12">
        <v>2</v>
      </c>
      <c r="F74" s="8">
        <v>2</v>
      </c>
      <c r="G74" s="12">
        <v>0</v>
      </c>
      <c r="H74" s="8">
        <v>0</v>
      </c>
      <c r="I74" s="12">
        <v>0</v>
      </c>
    </row>
    <row r="75" spans="2:9" ht="15" customHeight="1" x14ac:dyDescent="0.2">
      <c r="B75" t="s">
        <v>160</v>
      </c>
      <c r="C75" s="12">
        <v>2</v>
      </c>
      <c r="D75" s="8">
        <v>1.27</v>
      </c>
      <c r="E75" s="12">
        <v>1</v>
      </c>
      <c r="F75" s="8">
        <v>1</v>
      </c>
      <c r="G75" s="12">
        <v>1</v>
      </c>
      <c r="H75" s="8">
        <v>1.82</v>
      </c>
      <c r="I75" s="12">
        <v>0</v>
      </c>
    </row>
    <row r="76" spans="2:9" ht="15" customHeight="1" x14ac:dyDescent="0.2">
      <c r="B76" t="s">
        <v>193</v>
      </c>
      <c r="C76" s="12">
        <v>2</v>
      </c>
      <c r="D76" s="8">
        <v>1.27</v>
      </c>
      <c r="E76" s="12">
        <v>0</v>
      </c>
      <c r="F76" s="8">
        <v>0</v>
      </c>
      <c r="G76" s="12">
        <v>2</v>
      </c>
      <c r="H76" s="8">
        <v>3.64</v>
      </c>
      <c r="I76" s="12">
        <v>0</v>
      </c>
    </row>
    <row r="77" spans="2:9" ht="15" customHeight="1" x14ac:dyDescent="0.2">
      <c r="B77" t="s">
        <v>207</v>
      </c>
      <c r="C77" s="12">
        <v>2</v>
      </c>
      <c r="D77" s="8">
        <v>1.27</v>
      </c>
      <c r="E77" s="12">
        <v>0</v>
      </c>
      <c r="F77" s="8">
        <v>0</v>
      </c>
      <c r="G77" s="12">
        <v>2</v>
      </c>
      <c r="H77" s="8">
        <v>3.64</v>
      </c>
      <c r="I77" s="12">
        <v>0</v>
      </c>
    </row>
    <row r="78" spans="2:9" ht="15" customHeight="1" x14ac:dyDescent="0.2">
      <c r="B78" t="s">
        <v>197</v>
      </c>
      <c r="C78" s="12">
        <v>2</v>
      </c>
      <c r="D78" s="8">
        <v>1.27</v>
      </c>
      <c r="E78" s="12">
        <v>0</v>
      </c>
      <c r="F78" s="8">
        <v>0</v>
      </c>
      <c r="G78" s="12">
        <v>1</v>
      </c>
      <c r="H78" s="8">
        <v>1.82</v>
      </c>
      <c r="I78" s="12">
        <v>1</v>
      </c>
    </row>
    <row r="79" spans="2:9" ht="15" customHeight="1" x14ac:dyDescent="0.2">
      <c r="B79" t="s">
        <v>148</v>
      </c>
      <c r="C79" s="12">
        <v>2</v>
      </c>
      <c r="D79" s="8">
        <v>1.27</v>
      </c>
      <c r="E79" s="12">
        <v>1</v>
      </c>
      <c r="F79" s="8">
        <v>1</v>
      </c>
      <c r="G79" s="12">
        <v>1</v>
      </c>
      <c r="H79" s="8">
        <v>1.82</v>
      </c>
      <c r="I79" s="12">
        <v>0</v>
      </c>
    </row>
    <row r="80" spans="2:9" ht="15" customHeight="1" x14ac:dyDescent="0.2">
      <c r="B80" t="s">
        <v>208</v>
      </c>
      <c r="C80" s="12">
        <v>2</v>
      </c>
      <c r="D80" s="8">
        <v>1.27</v>
      </c>
      <c r="E80" s="12">
        <v>2</v>
      </c>
      <c r="F80" s="8">
        <v>2</v>
      </c>
      <c r="G80" s="12">
        <v>0</v>
      </c>
      <c r="H80" s="8">
        <v>0</v>
      </c>
      <c r="I80" s="12">
        <v>0</v>
      </c>
    </row>
    <row r="81" spans="2:9" ht="15" customHeight="1" x14ac:dyDescent="0.2">
      <c r="B81" t="s">
        <v>209</v>
      </c>
      <c r="C81" s="12">
        <v>2</v>
      </c>
      <c r="D81" s="8">
        <v>1.27</v>
      </c>
      <c r="E81" s="12">
        <v>2</v>
      </c>
      <c r="F81" s="8">
        <v>2</v>
      </c>
      <c r="G81" s="12">
        <v>0</v>
      </c>
      <c r="H81" s="8">
        <v>0</v>
      </c>
      <c r="I81" s="12">
        <v>0</v>
      </c>
    </row>
    <row r="82" spans="2:9" ht="15" customHeight="1" x14ac:dyDescent="0.2">
      <c r="B82" t="s">
        <v>210</v>
      </c>
      <c r="C82" s="12">
        <v>2</v>
      </c>
      <c r="D82" s="8">
        <v>1.27</v>
      </c>
      <c r="E82" s="12">
        <v>2</v>
      </c>
      <c r="F82" s="8">
        <v>2</v>
      </c>
      <c r="G82" s="12">
        <v>0</v>
      </c>
      <c r="H82" s="8">
        <v>0</v>
      </c>
      <c r="I82" s="12">
        <v>0</v>
      </c>
    </row>
    <row r="83" spans="2:9" ht="15" customHeight="1" x14ac:dyDescent="0.2">
      <c r="B83" t="s">
        <v>145</v>
      </c>
      <c r="C83" s="12">
        <v>2</v>
      </c>
      <c r="D83" s="8">
        <v>1.27</v>
      </c>
      <c r="E83" s="12">
        <v>1</v>
      </c>
      <c r="F83" s="8">
        <v>1</v>
      </c>
      <c r="G83" s="12">
        <v>1</v>
      </c>
      <c r="H83" s="8">
        <v>1.82</v>
      </c>
      <c r="I83" s="12">
        <v>0</v>
      </c>
    </row>
    <row r="84" spans="2:9" ht="15" customHeight="1" x14ac:dyDescent="0.2">
      <c r="B84" t="s">
        <v>188</v>
      </c>
      <c r="C84" s="12">
        <v>2</v>
      </c>
      <c r="D84" s="8">
        <v>1.27</v>
      </c>
      <c r="E84" s="12">
        <v>1</v>
      </c>
      <c r="F84" s="8">
        <v>1</v>
      </c>
      <c r="G84" s="12">
        <v>1</v>
      </c>
      <c r="H84" s="8">
        <v>1.82</v>
      </c>
      <c r="I84" s="12">
        <v>0</v>
      </c>
    </row>
    <row r="86" spans="2:9" ht="15" customHeight="1" x14ac:dyDescent="0.2">
      <c r="B86" t="s">
        <v>235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71CF0-82EE-4CC3-A39B-D255F0E649BA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271</v>
      </c>
    </row>
    <row r="4" spans="2:9" ht="33" customHeight="1" x14ac:dyDescent="0.2">
      <c r="B4" t="s">
        <v>231</v>
      </c>
      <c r="C4" s="10" t="s">
        <v>59</v>
      </c>
      <c r="D4" s="10" t="s">
        <v>60</v>
      </c>
      <c r="E4" s="10" t="s">
        <v>61</v>
      </c>
      <c r="F4" s="10" t="s">
        <v>62</v>
      </c>
      <c r="G4" s="10" t="s">
        <v>63</v>
      </c>
      <c r="H4" s="10" t="s">
        <v>64</v>
      </c>
      <c r="I4" s="10" t="s">
        <v>65</v>
      </c>
    </row>
    <row r="5" spans="2:9" ht="15" customHeight="1" x14ac:dyDescent="0.2">
      <c r="B5" t="s">
        <v>43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44</v>
      </c>
      <c r="C6" s="12">
        <v>44</v>
      </c>
      <c r="D6" s="8">
        <v>16.73</v>
      </c>
      <c r="E6" s="12">
        <v>19</v>
      </c>
      <c r="F6" s="8">
        <v>11.59</v>
      </c>
      <c r="G6" s="12">
        <v>25</v>
      </c>
      <c r="H6" s="8">
        <v>26.32</v>
      </c>
      <c r="I6" s="12">
        <v>0</v>
      </c>
    </row>
    <row r="7" spans="2:9" ht="15" customHeight="1" x14ac:dyDescent="0.2">
      <c r="B7" t="s">
        <v>45</v>
      </c>
      <c r="C7" s="12">
        <v>47</v>
      </c>
      <c r="D7" s="8">
        <v>17.87</v>
      </c>
      <c r="E7" s="12">
        <v>23</v>
      </c>
      <c r="F7" s="8">
        <v>14.02</v>
      </c>
      <c r="G7" s="12">
        <v>24</v>
      </c>
      <c r="H7" s="8">
        <v>25.26</v>
      </c>
      <c r="I7" s="12">
        <v>0</v>
      </c>
    </row>
    <row r="8" spans="2:9" ht="15" customHeight="1" x14ac:dyDescent="0.2">
      <c r="B8" t="s">
        <v>46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47</v>
      </c>
      <c r="C9" s="12">
        <v>2</v>
      </c>
      <c r="D9" s="8">
        <v>0.76</v>
      </c>
      <c r="E9" s="12">
        <v>1</v>
      </c>
      <c r="F9" s="8">
        <v>0.61</v>
      </c>
      <c r="G9" s="12">
        <v>1</v>
      </c>
      <c r="H9" s="8">
        <v>1.05</v>
      </c>
      <c r="I9" s="12">
        <v>0</v>
      </c>
    </row>
    <row r="10" spans="2:9" ht="15" customHeight="1" x14ac:dyDescent="0.2">
      <c r="B10" t="s">
        <v>48</v>
      </c>
      <c r="C10" s="12">
        <v>2</v>
      </c>
      <c r="D10" s="8">
        <v>0.76</v>
      </c>
      <c r="E10" s="12">
        <v>1</v>
      </c>
      <c r="F10" s="8">
        <v>0.61</v>
      </c>
      <c r="G10" s="12">
        <v>1</v>
      </c>
      <c r="H10" s="8">
        <v>1.05</v>
      </c>
      <c r="I10" s="12">
        <v>0</v>
      </c>
    </row>
    <row r="11" spans="2:9" ht="15" customHeight="1" x14ac:dyDescent="0.2">
      <c r="B11" t="s">
        <v>49</v>
      </c>
      <c r="C11" s="12">
        <v>60</v>
      </c>
      <c r="D11" s="8">
        <v>22.81</v>
      </c>
      <c r="E11" s="12">
        <v>36</v>
      </c>
      <c r="F11" s="8">
        <v>21.95</v>
      </c>
      <c r="G11" s="12">
        <v>23</v>
      </c>
      <c r="H11" s="8">
        <v>24.21</v>
      </c>
      <c r="I11" s="12">
        <v>1</v>
      </c>
    </row>
    <row r="12" spans="2:9" ht="15" customHeight="1" x14ac:dyDescent="0.2">
      <c r="B12" t="s">
        <v>50</v>
      </c>
      <c r="C12" s="12">
        <v>2</v>
      </c>
      <c r="D12" s="8">
        <v>0.76</v>
      </c>
      <c r="E12" s="12">
        <v>1</v>
      </c>
      <c r="F12" s="8">
        <v>0.61</v>
      </c>
      <c r="G12" s="12">
        <v>1</v>
      </c>
      <c r="H12" s="8">
        <v>1.05</v>
      </c>
      <c r="I12" s="12">
        <v>0</v>
      </c>
    </row>
    <row r="13" spans="2:9" ht="15" customHeight="1" x14ac:dyDescent="0.2">
      <c r="B13" t="s">
        <v>51</v>
      </c>
      <c r="C13" s="12">
        <v>9</v>
      </c>
      <c r="D13" s="8">
        <v>3.42</v>
      </c>
      <c r="E13" s="12">
        <v>3</v>
      </c>
      <c r="F13" s="8">
        <v>1.83</v>
      </c>
      <c r="G13" s="12">
        <v>6</v>
      </c>
      <c r="H13" s="8">
        <v>6.32</v>
      </c>
      <c r="I13" s="12">
        <v>0</v>
      </c>
    </row>
    <row r="14" spans="2:9" ht="15" customHeight="1" x14ac:dyDescent="0.2">
      <c r="B14" t="s">
        <v>52</v>
      </c>
      <c r="C14" s="12">
        <v>11</v>
      </c>
      <c r="D14" s="8">
        <v>4.18</v>
      </c>
      <c r="E14" s="12">
        <v>9</v>
      </c>
      <c r="F14" s="8">
        <v>5.49</v>
      </c>
      <c r="G14" s="12">
        <v>2</v>
      </c>
      <c r="H14" s="8">
        <v>2.11</v>
      </c>
      <c r="I14" s="12">
        <v>0</v>
      </c>
    </row>
    <row r="15" spans="2:9" ht="15" customHeight="1" x14ac:dyDescent="0.2">
      <c r="B15" t="s">
        <v>53</v>
      </c>
      <c r="C15" s="12">
        <v>25</v>
      </c>
      <c r="D15" s="8">
        <v>9.51</v>
      </c>
      <c r="E15" s="12">
        <v>21</v>
      </c>
      <c r="F15" s="8">
        <v>12.8</v>
      </c>
      <c r="G15" s="12">
        <v>3</v>
      </c>
      <c r="H15" s="8">
        <v>3.16</v>
      </c>
      <c r="I15" s="12">
        <v>0</v>
      </c>
    </row>
    <row r="16" spans="2:9" ht="15" customHeight="1" x14ac:dyDescent="0.2">
      <c r="B16" t="s">
        <v>54</v>
      </c>
      <c r="C16" s="12">
        <v>25</v>
      </c>
      <c r="D16" s="8">
        <v>9.51</v>
      </c>
      <c r="E16" s="12">
        <v>23</v>
      </c>
      <c r="F16" s="8">
        <v>14.02</v>
      </c>
      <c r="G16" s="12">
        <v>2</v>
      </c>
      <c r="H16" s="8">
        <v>2.11</v>
      </c>
      <c r="I16" s="12">
        <v>0</v>
      </c>
    </row>
    <row r="17" spans="2:9" ht="15" customHeight="1" x14ac:dyDescent="0.2">
      <c r="B17" t="s">
        <v>55</v>
      </c>
      <c r="C17" s="12">
        <v>13</v>
      </c>
      <c r="D17" s="8">
        <v>4.9400000000000004</v>
      </c>
      <c r="E17" s="12">
        <v>11</v>
      </c>
      <c r="F17" s="8">
        <v>6.71</v>
      </c>
      <c r="G17" s="12">
        <v>1</v>
      </c>
      <c r="H17" s="8">
        <v>1.05</v>
      </c>
      <c r="I17" s="12">
        <v>0</v>
      </c>
    </row>
    <row r="18" spans="2:9" ht="15" customHeight="1" x14ac:dyDescent="0.2">
      <c r="B18" t="s">
        <v>56</v>
      </c>
      <c r="C18" s="12">
        <v>15</v>
      </c>
      <c r="D18" s="8">
        <v>5.7</v>
      </c>
      <c r="E18" s="12">
        <v>10</v>
      </c>
      <c r="F18" s="8">
        <v>6.1</v>
      </c>
      <c r="G18" s="12">
        <v>5</v>
      </c>
      <c r="H18" s="8">
        <v>5.26</v>
      </c>
      <c r="I18" s="12">
        <v>0</v>
      </c>
    </row>
    <row r="19" spans="2:9" ht="15" customHeight="1" x14ac:dyDescent="0.2">
      <c r="B19" t="s">
        <v>57</v>
      </c>
      <c r="C19" s="12">
        <v>8</v>
      </c>
      <c r="D19" s="8">
        <v>3.04</v>
      </c>
      <c r="E19" s="12">
        <v>6</v>
      </c>
      <c r="F19" s="8">
        <v>3.66</v>
      </c>
      <c r="G19" s="12">
        <v>1</v>
      </c>
      <c r="H19" s="8">
        <v>1.05</v>
      </c>
      <c r="I19" s="12">
        <v>1</v>
      </c>
    </row>
    <row r="20" spans="2:9" ht="15" customHeight="1" x14ac:dyDescent="0.2">
      <c r="B20" s="9" t="s">
        <v>232</v>
      </c>
      <c r="C20" s="12">
        <f>SUM(LTBL_21503[総数／事業所数])</f>
        <v>263</v>
      </c>
      <c r="E20" s="12">
        <f>SUBTOTAL(109,LTBL_21503[個人／事業所数])</f>
        <v>164</v>
      </c>
      <c r="G20" s="12">
        <f>SUBTOTAL(109,LTBL_21503[法人／事業所数])</f>
        <v>95</v>
      </c>
      <c r="I20" s="12">
        <f>SUBTOTAL(109,LTBL_21503[法人以外の団体／事業所数])</f>
        <v>2</v>
      </c>
    </row>
    <row r="21" spans="2:9" ht="15" customHeight="1" x14ac:dyDescent="0.2">
      <c r="E21" s="11">
        <f>LTBL_21503[[#Totals],[個人／事業所数]]/LTBL_21503[[#Totals],[総数／事業所数]]</f>
        <v>0.62357414448669202</v>
      </c>
      <c r="G21" s="11">
        <f>LTBL_21503[[#Totals],[法人／事業所数]]/LTBL_21503[[#Totals],[総数／事業所数]]</f>
        <v>0.36121673003802279</v>
      </c>
      <c r="I21" s="11">
        <f>LTBL_21503[[#Totals],[法人以外の団体／事業所数]]/LTBL_21503[[#Totals],[総数／事業所数]]</f>
        <v>7.6045627376425855E-3</v>
      </c>
    </row>
    <row r="23" spans="2:9" ht="33" customHeight="1" x14ac:dyDescent="0.2">
      <c r="B23" t="s">
        <v>233</v>
      </c>
      <c r="C23" s="10" t="s">
        <v>59</v>
      </c>
      <c r="D23" s="10" t="s">
        <v>60</v>
      </c>
      <c r="E23" s="10" t="s">
        <v>61</v>
      </c>
      <c r="F23" s="10" t="s">
        <v>62</v>
      </c>
      <c r="G23" s="10" t="s">
        <v>63</v>
      </c>
      <c r="H23" s="10" t="s">
        <v>64</v>
      </c>
      <c r="I23" s="10" t="s">
        <v>65</v>
      </c>
    </row>
    <row r="24" spans="2:9" ht="15" customHeight="1" x14ac:dyDescent="0.2">
      <c r="B24" t="s">
        <v>67</v>
      </c>
      <c r="C24" s="12">
        <v>22</v>
      </c>
      <c r="D24" s="8">
        <v>8.3699999999999992</v>
      </c>
      <c r="E24" s="12">
        <v>15</v>
      </c>
      <c r="F24" s="8">
        <v>9.15</v>
      </c>
      <c r="G24" s="12">
        <v>7</v>
      </c>
      <c r="H24" s="8">
        <v>7.37</v>
      </c>
      <c r="I24" s="12">
        <v>0</v>
      </c>
    </row>
    <row r="25" spans="2:9" ht="15" customHeight="1" x14ac:dyDescent="0.2">
      <c r="B25" t="s">
        <v>81</v>
      </c>
      <c r="C25" s="12">
        <v>22</v>
      </c>
      <c r="D25" s="8">
        <v>8.3699999999999992</v>
      </c>
      <c r="E25" s="12">
        <v>19</v>
      </c>
      <c r="F25" s="8">
        <v>11.59</v>
      </c>
      <c r="G25" s="12">
        <v>3</v>
      </c>
      <c r="H25" s="8">
        <v>3.16</v>
      </c>
      <c r="I25" s="12">
        <v>0</v>
      </c>
    </row>
    <row r="26" spans="2:9" ht="15" customHeight="1" x14ac:dyDescent="0.2">
      <c r="B26" t="s">
        <v>82</v>
      </c>
      <c r="C26" s="12">
        <v>22</v>
      </c>
      <c r="D26" s="8">
        <v>8.3699999999999992</v>
      </c>
      <c r="E26" s="12">
        <v>21</v>
      </c>
      <c r="F26" s="8">
        <v>12.8</v>
      </c>
      <c r="G26" s="12">
        <v>1</v>
      </c>
      <c r="H26" s="8">
        <v>1.05</v>
      </c>
      <c r="I26" s="12">
        <v>0</v>
      </c>
    </row>
    <row r="27" spans="2:9" ht="15" customHeight="1" x14ac:dyDescent="0.2">
      <c r="B27" t="s">
        <v>77</v>
      </c>
      <c r="C27" s="12">
        <v>19</v>
      </c>
      <c r="D27" s="8">
        <v>7.22</v>
      </c>
      <c r="E27" s="12">
        <v>12</v>
      </c>
      <c r="F27" s="8">
        <v>7.32</v>
      </c>
      <c r="G27" s="12">
        <v>7</v>
      </c>
      <c r="H27" s="8">
        <v>7.37</v>
      </c>
      <c r="I27" s="12">
        <v>0</v>
      </c>
    </row>
    <row r="28" spans="2:9" ht="15" customHeight="1" x14ac:dyDescent="0.2">
      <c r="B28" t="s">
        <v>75</v>
      </c>
      <c r="C28" s="12">
        <v>17</v>
      </c>
      <c r="D28" s="8">
        <v>6.46</v>
      </c>
      <c r="E28" s="12">
        <v>12</v>
      </c>
      <c r="F28" s="8">
        <v>7.32</v>
      </c>
      <c r="G28" s="12">
        <v>4</v>
      </c>
      <c r="H28" s="8">
        <v>4.21</v>
      </c>
      <c r="I28" s="12">
        <v>1</v>
      </c>
    </row>
    <row r="29" spans="2:9" ht="15" customHeight="1" x14ac:dyDescent="0.2">
      <c r="B29" t="s">
        <v>66</v>
      </c>
      <c r="C29" s="12">
        <v>14</v>
      </c>
      <c r="D29" s="8">
        <v>5.32</v>
      </c>
      <c r="E29" s="12">
        <v>2</v>
      </c>
      <c r="F29" s="8">
        <v>1.22</v>
      </c>
      <c r="G29" s="12">
        <v>12</v>
      </c>
      <c r="H29" s="8">
        <v>12.63</v>
      </c>
      <c r="I29" s="12">
        <v>0</v>
      </c>
    </row>
    <row r="30" spans="2:9" ht="15" customHeight="1" x14ac:dyDescent="0.2">
      <c r="B30" t="s">
        <v>83</v>
      </c>
      <c r="C30" s="12">
        <v>13</v>
      </c>
      <c r="D30" s="8">
        <v>4.9400000000000004</v>
      </c>
      <c r="E30" s="12">
        <v>11</v>
      </c>
      <c r="F30" s="8">
        <v>6.71</v>
      </c>
      <c r="G30" s="12">
        <v>1</v>
      </c>
      <c r="H30" s="8">
        <v>1.05</v>
      </c>
      <c r="I30" s="12">
        <v>0</v>
      </c>
    </row>
    <row r="31" spans="2:9" ht="15" customHeight="1" x14ac:dyDescent="0.2">
      <c r="B31" t="s">
        <v>84</v>
      </c>
      <c r="C31" s="12">
        <v>11</v>
      </c>
      <c r="D31" s="8">
        <v>4.18</v>
      </c>
      <c r="E31" s="12">
        <v>10</v>
      </c>
      <c r="F31" s="8">
        <v>6.1</v>
      </c>
      <c r="G31" s="12">
        <v>1</v>
      </c>
      <c r="H31" s="8">
        <v>1.05</v>
      </c>
      <c r="I31" s="12">
        <v>0</v>
      </c>
    </row>
    <row r="32" spans="2:9" ht="15" customHeight="1" x14ac:dyDescent="0.2">
      <c r="B32" t="s">
        <v>71</v>
      </c>
      <c r="C32" s="12">
        <v>9</v>
      </c>
      <c r="D32" s="8">
        <v>3.42</v>
      </c>
      <c r="E32" s="12">
        <v>1</v>
      </c>
      <c r="F32" s="8">
        <v>0.61</v>
      </c>
      <c r="G32" s="12">
        <v>8</v>
      </c>
      <c r="H32" s="8">
        <v>8.42</v>
      </c>
      <c r="I32" s="12">
        <v>0</v>
      </c>
    </row>
    <row r="33" spans="2:9" ht="15" customHeight="1" x14ac:dyDescent="0.2">
      <c r="B33" t="s">
        <v>79</v>
      </c>
      <c r="C33" s="12">
        <v>9</v>
      </c>
      <c r="D33" s="8">
        <v>3.42</v>
      </c>
      <c r="E33" s="12">
        <v>7</v>
      </c>
      <c r="F33" s="8">
        <v>4.2699999999999996</v>
      </c>
      <c r="G33" s="12">
        <v>2</v>
      </c>
      <c r="H33" s="8">
        <v>2.11</v>
      </c>
      <c r="I33" s="12">
        <v>0</v>
      </c>
    </row>
    <row r="34" spans="2:9" ht="15" customHeight="1" x14ac:dyDescent="0.2">
      <c r="B34" t="s">
        <v>68</v>
      </c>
      <c r="C34" s="12">
        <v>8</v>
      </c>
      <c r="D34" s="8">
        <v>3.04</v>
      </c>
      <c r="E34" s="12">
        <v>2</v>
      </c>
      <c r="F34" s="8">
        <v>1.22</v>
      </c>
      <c r="G34" s="12">
        <v>6</v>
      </c>
      <c r="H34" s="8">
        <v>6.32</v>
      </c>
      <c r="I34" s="12">
        <v>0</v>
      </c>
    </row>
    <row r="35" spans="2:9" ht="15" customHeight="1" x14ac:dyDescent="0.2">
      <c r="B35" t="s">
        <v>76</v>
      </c>
      <c r="C35" s="12">
        <v>7</v>
      </c>
      <c r="D35" s="8">
        <v>2.66</v>
      </c>
      <c r="E35" s="12">
        <v>4</v>
      </c>
      <c r="F35" s="8">
        <v>2.44</v>
      </c>
      <c r="G35" s="12">
        <v>3</v>
      </c>
      <c r="H35" s="8">
        <v>3.16</v>
      </c>
      <c r="I35" s="12">
        <v>0</v>
      </c>
    </row>
    <row r="36" spans="2:9" ht="15" customHeight="1" x14ac:dyDescent="0.2">
      <c r="B36" t="s">
        <v>74</v>
      </c>
      <c r="C36" s="12">
        <v>6</v>
      </c>
      <c r="D36" s="8">
        <v>2.2799999999999998</v>
      </c>
      <c r="E36" s="12">
        <v>5</v>
      </c>
      <c r="F36" s="8">
        <v>3.05</v>
      </c>
      <c r="G36" s="12">
        <v>1</v>
      </c>
      <c r="H36" s="8">
        <v>1.05</v>
      </c>
      <c r="I36" s="12">
        <v>0</v>
      </c>
    </row>
    <row r="37" spans="2:9" ht="15" customHeight="1" x14ac:dyDescent="0.2">
      <c r="B37" t="s">
        <v>78</v>
      </c>
      <c r="C37" s="12">
        <v>6</v>
      </c>
      <c r="D37" s="8">
        <v>2.2799999999999998</v>
      </c>
      <c r="E37" s="12">
        <v>3</v>
      </c>
      <c r="F37" s="8">
        <v>1.83</v>
      </c>
      <c r="G37" s="12">
        <v>3</v>
      </c>
      <c r="H37" s="8">
        <v>3.16</v>
      </c>
      <c r="I37" s="12">
        <v>0</v>
      </c>
    </row>
    <row r="38" spans="2:9" ht="15" customHeight="1" x14ac:dyDescent="0.2">
      <c r="B38" t="s">
        <v>69</v>
      </c>
      <c r="C38" s="12">
        <v>5</v>
      </c>
      <c r="D38" s="8">
        <v>1.9</v>
      </c>
      <c r="E38" s="12">
        <v>4</v>
      </c>
      <c r="F38" s="8">
        <v>2.44</v>
      </c>
      <c r="G38" s="12">
        <v>1</v>
      </c>
      <c r="H38" s="8">
        <v>1.05</v>
      </c>
      <c r="I38" s="12">
        <v>0</v>
      </c>
    </row>
    <row r="39" spans="2:9" ht="15" customHeight="1" x14ac:dyDescent="0.2">
      <c r="B39" t="s">
        <v>93</v>
      </c>
      <c r="C39" s="12">
        <v>5</v>
      </c>
      <c r="D39" s="8">
        <v>1.9</v>
      </c>
      <c r="E39" s="12">
        <v>4</v>
      </c>
      <c r="F39" s="8">
        <v>2.44</v>
      </c>
      <c r="G39" s="12">
        <v>1</v>
      </c>
      <c r="H39" s="8">
        <v>1.05</v>
      </c>
      <c r="I39" s="12">
        <v>0</v>
      </c>
    </row>
    <row r="40" spans="2:9" ht="15" customHeight="1" x14ac:dyDescent="0.2">
      <c r="B40" t="s">
        <v>98</v>
      </c>
      <c r="C40" s="12">
        <v>5</v>
      </c>
      <c r="D40" s="8">
        <v>1.9</v>
      </c>
      <c r="E40" s="12">
        <v>3</v>
      </c>
      <c r="F40" s="8">
        <v>1.83</v>
      </c>
      <c r="G40" s="12">
        <v>2</v>
      </c>
      <c r="H40" s="8">
        <v>2.11</v>
      </c>
      <c r="I40" s="12">
        <v>0</v>
      </c>
    </row>
    <row r="41" spans="2:9" ht="15" customHeight="1" x14ac:dyDescent="0.2">
      <c r="B41" t="s">
        <v>72</v>
      </c>
      <c r="C41" s="12">
        <v>5</v>
      </c>
      <c r="D41" s="8">
        <v>1.9</v>
      </c>
      <c r="E41" s="12">
        <v>2</v>
      </c>
      <c r="F41" s="8">
        <v>1.22</v>
      </c>
      <c r="G41" s="12">
        <v>3</v>
      </c>
      <c r="H41" s="8">
        <v>3.16</v>
      </c>
      <c r="I41" s="12">
        <v>0</v>
      </c>
    </row>
    <row r="42" spans="2:9" ht="15" customHeight="1" x14ac:dyDescent="0.2">
      <c r="B42" t="s">
        <v>85</v>
      </c>
      <c r="C42" s="12">
        <v>5</v>
      </c>
      <c r="D42" s="8">
        <v>1.9</v>
      </c>
      <c r="E42" s="12">
        <v>4</v>
      </c>
      <c r="F42" s="8">
        <v>2.44</v>
      </c>
      <c r="G42" s="12">
        <v>1</v>
      </c>
      <c r="H42" s="8">
        <v>1.05</v>
      </c>
      <c r="I42" s="12">
        <v>0</v>
      </c>
    </row>
    <row r="43" spans="2:9" ht="15" customHeight="1" x14ac:dyDescent="0.2">
      <c r="B43" t="s">
        <v>97</v>
      </c>
      <c r="C43" s="12">
        <v>4</v>
      </c>
      <c r="D43" s="8">
        <v>1.52</v>
      </c>
      <c r="E43" s="12">
        <v>0</v>
      </c>
      <c r="F43" s="8">
        <v>0</v>
      </c>
      <c r="G43" s="12">
        <v>4</v>
      </c>
      <c r="H43" s="8">
        <v>4.21</v>
      </c>
      <c r="I43" s="12">
        <v>0</v>
      </c>
    </row>
    <row r="46" spans="2:9" ht="33" customHeight="1" x14ac:dyDescent="0.2">
      <c r="B46" t="s">
        <v>234</v>
      </c>
      <c r="C46" s="10" t="s">
        <v>59</v>
      </c>
      <c r="D46" s="10" t="s">
        <v>60</v>
      </c>
      <c r="E46" s="10" t="s">
        <v>61</v>
      </c>
      <c r="F46" s="10" t="s">
        <v>62</v>
      </c>
      <c r="G46" s="10" t="s">
        <v>63</v>
      </c>
      <c r="H46" s="10" t="s">
        <v>64</v>
      </c>
      <c r="I46" s="10" t="s">
        <v>65</v>
      </c>
    </row>
    <row r="47" spans="2:9" ht="15" customHeight="1" x14ac:dyDescent="0.2">
      <c r="B47" t="s">
        <v>138</v>
      </c>
      <c r="C47" s="12">
        <v>13</v>
      </c>
      <c r="D47" s="8">
        <v>4.9400000000000004</v>
      </c>
      <c r="E47" s="12">
        <v>13</v>
      </c>
      <c r="F47" s="8">
        <v>7.93</v>
      </c>
      <c r="G47" s="12">
        <v>0</v>
      </c>
      <c r="H47" s="8">
        <v>0</v>
      </c>
      <c r="I47" s="12">
        <v>0</v>
      </c>
    </row>
    <row r="48" spans="2:9" ht="15" customHeight="1" x14ac:dyDescent="0.2">
      <c r="B48" t="s">
        <v>136</v>
      </c>
      <c r="C48" s="12">
        <v>11</v>
      </c>
      <c r="D48" s="8">
        <v>4.18</v>
      </c>
      <c r="E48" s="12">
        <v>10</v>
      </c>
      <c r="F48" s="8">
        <v>6.1</v>
      </c>
      <c r="G48" s="12">
        <v>1</v>
      </c>
      <c r="H48" s="8">
        <v>1.05</v>
      </c>
      <c r="I48" s="12">
        <v>0</v>
      </c>
    </row>
    <row r="49" spans="2:9" ht="15" customHeight="1" x14ac:dyDescent="0.2">
      <c r="B49" t="s">
        <v>139</v>
      </c>
      <c r="C49" s="12">
        <v>11</v>
      </c>
      <c r="D49" s="8">
        <v>4.18</v>
      </c>
      <c r="E49" s="12">
        <v>10</v>
      </c>
      <c r="F49" s="8">
        <v>6.1</v>
      </c>
      <c r="G49" s="12">
        <v>1</v>
      </c>
      <c r="H49" s="8">
        <v>1.05</v>
      </c>
      <c r="I49" s="12">
        <v>0</v>
      </c>
    </row>
    <row r="50" spans="2:9" ht="15" customHeight="1" x14ac:dyDescent="0.2">
      <c r="B50" t="s">
        <v>181</v>
      </c>
      <c r="C50" s="12">
        <v>8</v>
      </c>
      <c r="D50" s="8">
        <v>3.04</v>
      </c>
      <c r="E50" s="12">
        <v>6</v>
      </c>
      <c r="F50" s="8">
        <v>3.66</v>
      </c>
      <c r="G50" s="12">
        <v>2</v>
      </c>
      <c r="H50" s="8">
        <v>2.11</v>
      </c>
      <c r="I50" s="12">
        <v>0</v>
      </c>
    </row>
    <row r="51" spans="2:9" ht="15" customHeight="1" x14ac:dyDescent="0.2">
      <c r="B51" t="s">
        <v>137</v>
      </c>
      <c r="C51" s="12">
        <v>8</v>
      </c>
      <c r="D51" s="8">
        <v>3.04</v>
      </c>
      <c r="E51" s="12">
        <v>8</v>
      </c>
      <c r="F51" s="8">
        <v>4.88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122</v>
      </c>
      <c r="C52" s="12">
        <v>7</v>
      </c>
      <c r="D52" s="8">
        <v>2.66</v>
      </c>
      <c r="E52" s="12">
        <v>1</v>
      </c>
      <c r="F52" s="8">
        <v>0.61</v>
      </c>
      <c r="G52" s="12">
        <v>6</v>
      </c>
      <c r="H52" s="8">
        <v>6.32</v>
      </c>
      <c r="I52" s="12">
        <v>0</v>
      </c>
    </row>
    <row r="53" spans="2:9" ht="15" customHeight="1" x14ac:dyDescent="0.2">
      <c r="B53" t="s">
        <v>134</v>
      </c>
      <c r="C53" s="12">
        <v>7</v>
      </c>
      <c r="D53" s="8">
        <v>2.66</v>
      </c>
      <c r="E53" s="12">
        <v>6</v>
      </c>
      <c r="F53" s="8">
        <v>3.66</v>
      </c>
      <c r="G53" s="12">
        <v>1</v>
      </c>
      <c r="H53" s="8">
        <v>1.05</v>
      </c>
      <c r="I53" s="12">
        <v>0</v>
      </c>
    </row>
    <row r="54" spans="2:9" ht="15" customHeight="1" x14ac:dyDescent="0.2">
      <c r="B54" t="s">
        <v>165</v>
      </c>
      <c r="C54" s="12">
        <v>6</v>
      </c>
      <c r="D54" s="8">
        <v>2.2799999999999998</v>
      </c>
      <c r="E54" s="12">
        <v>3</v>
      </c>
      <c r="F54" s="8">
        <v>1.83</v>
      </c>
      <c r="G54" s="12">
        <v>3</v>
      </c>
      <c r="H54" s="8">
        <v>3.16</v>
      </c>
      <c r="I54" s="12">
        <v>0</v>
      </c>
    </row>
    <row r="55" spans="2:9" ht="15" customHeight="1" x14ac:dyDescent="0.2">
      <c r="B55" t="s">
        <v>128</v>
      </c>
      <c r="C55" s="12">
        <v>6</v>
      </c>
      <c r="D55" s="8">
        <v>2.2799999999999998</v>
      </c>
      <c r="E55" s="12">
        <v>3</v>
      </c>
      <c r="F55" s="8">
        <v>1.83</v>
      </c>
      <c r="G55" s="12">
        <v>3</v>
      </c>
      <c r="H55" s="8">
        <v>3.16</v>
      </c>
      <c r="I55" s="12">
        <v>0</v>
      </c>
    </row>
    <row r="56" spans="2:9" ht="15" customHeight="1" x14ac:dyDescent="0.2">
      <c r="B56" t="s">
        <v>140</v>
      </c>
      <c r="C56" s="12">
        <v>6</v>
      </c>
      <c r="D56" s="8">
        <v>2.2799999999999998</v>
      </c>
      <c r="E56" s="12">
        <v>6</v>
      </c>
      <c r="F56" s="8">
        <v>3.66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153</v>
      </c>
      <c r="C57" s="12">
        <v>5</v>
      </c>
      <c r="D57" s="8">
        <v>1.9</v>
      </c>
      <c r="E57" s="12">
        <v>0</v>
      </c>
      <c r="F57" s="8">
        <v>0</v>
      </c>
      <c r="G57" s="12">
        <v>5</v>
      </c>
      <c r="H57" s="8">
        <v>5.26</v>
      </c>
      <c r="I57" s="12">
        <v>0</v>
      </c>
    </row>
    <row r="58" spans="2:9" ht="15" customHeight="1" x14ac:dyDescent="0.2">
      <c r="B58" t="s">
        <v>185</v>
      </c>
      <c r="C58" s="12">
        <v>5</v>
      </c>
      <c r="D58" s="8">
        <v>1.9</v>
      </c>
      <c r="E58" s="12">
        <v>5</v>
      </c>
      <c r="F58" s="8">
        <v>3.05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129</v>
      </c>
      <c r="C59" s="12">
        <v>5</v>
      </c>
      <c r="D59" s="8">
        <v>1.9</v>
      </c>
      <c r="E59" s="12">
        <v>1</v>
      </c>
      <c r="F59" s="8">
        <v>0.61</v>
      </c>
      <c r="G59" s="12">
        <v>4</v>
      </c>
      <c r="H59" s="8">
        <v>4.21</v>
      </c>
      <c r="I59" s="12">
        <v>0</v>
      </c>
    </row>
    <row r="60" spans="2:9" ht="15" customHeight="1" x14ac:dyDescent="0.2">
      <c r="B60" t="s">
        <v>132</v>
      </c>
      <c r="C60" s="12">
        <v>5</v>
      </c>
      <c r="D60" s="8">
        <v>1.9</v>
      </c>
      <c r="E60" s="12">
        <v>3</v>
      </c>
      <c r="F60" s="8">
        <v>1.83</v>
      </c>
      <c r="G60" s="12">
        <v>2</v>
      </c>
      <c r="H60" s="8">
        <v>2.11</v>
      </c>
      <c r="I60" s="12">
        <v>0</v>
      </c>
    </row>
    <row r="61" spans="2:9" ht="15" customHeight="1" x14ac:dyDescent="0.2">
      <c r="B61" t="s">
        <v>208</v>
      </c>
      <c r="C61" s="12">
        <v>5</v>
      </c>
      <c r="D61" s="8">
        <v>1.9</v>
      </c>
      <c r="E61" s="12">
        <v>5</v>
      </c>
      <c r="F61" s="8">
        <v>3.05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211</v>
      </c>
      <c r="C62" s="12">
        <v>5</v>
      </c>
      <c r="D62" s="8">
        <v>1.9</v>
      </c>
      <c r="E62" s="12">
        <v>4</v>
      </c>
      <c r="F62" s="8">
        <v>2.44</v>
      </c>
      <c r="G62" s="12">
        <v>1</v>
      </c>
      <c r="H62" s="8">
        <v>1.05</v>
      </c>
      <c r="I62" s="12">
        <v>0</v>
      </c>
    </row>
    <row r="63" spans="2:9" ht="15" customHeight="1" x14ac:dyDescent="0.2">
      <c r="B63" t="s">
        <v>141</v>
      </c>
      <c r="C63" s="12">
        <v>5</v>
      </c>
      <c r="D63" s="8">
        <v>1.9</v>
      </c>
      <c r="E63" s="12">
        <v>4</v>
      </c>
      <c r="F63" s="8">
        <v>2.44</v>
      </c>
      <c r="G63" s="12">
        <v>1</v>
      </c>
      <c r="H63" s="8">
        <v>1.05</v>
      </c>
      <c r="I63" s="12">
        <v>0</v>
      </c>
    </row>
    <row r="64" spans="2:9" ht="15" customHeight="1" x14ac:dyDescent="0.2">
      <c r="B64" t="s">
        <v>176</v>
      </c>
      <c r="C64" s="12">
        <v>4</v>
      </c>
      <c r="D64" s="8">
        <v>1.52</v>
      </c>
      <c r="E64" s="12">
        <v>4</v>
      </c>
      <c r="F64" s="8">
        <v>2.44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125</v>
      </c>
      <c r="C65" s="12">
        <v>4</v>
      </c>
      <c r="D65" s="8">
        <v>1.52</v>
      </c>
      <c r="E65" s="12">
        <v>2</v>
      </c>
      <c r="F65" s="8">
        <v>1.22</v>
      </c>
      <c r="G65" s="12">
        <v>2</v>
      </c>
      <c r="H65" s="8">
        <v>2.11</v>
      </c>
      <c r="I65" s="12">
        <v>0</v>
      </c>
    </row>
    <row r="66" spans="2:9" ht="15" customHeight="1" x14ac:dyDescent="0.2">
      <c r="B66" t="s">
        <v>157</v>
      </c>
      <c r="C66" s="12">
        <v>4</v>
      </c>
      <c r="D66" s="8">
        <v>1.52</v>
      </c>
      <c r="E66" s="12">
        <v>4</v>
      </c>
      <c r="F66" s="8">
        <v>2.44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148</v>
      </c>
      <c r="C67" s="12">
        <v>4</v>
      </c>
      <c r="D67" s="8">
        <v>1.52</v>
      </c>
      <c r="E67" s="12">
        <v>4</v>
      </c>
      <c r="F67" s="8">
        <v>2.44</v>
      </c>
      <c r="G67" s="12">
        <v>0</v>
      </c>
      <c r="H67" s="8">
        <v>0</v>
      </c>
      <c r="I67" s="12">
        <v>0</v>
      </c>
    </row>
    <row r="69" spans="2:9" ht="15" customHeight="1" x14ac:dyDescent="0.2">
      <c r="B69" t="s">
        <v>235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EE83B-F554-43C1-9E31-3D1F3FF68128}">
  <sheetPr>
    <pageSetUpPr fitToPage="1"/>
  </sheetPr>
  <dimension ref="B2:I77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272</v>
      </c>
    </row>
    <row r="4" spans="2:9" ht="33" customHeight="1" x14ac:dyDescent="0.2">
      <c r="B4" t="s">
        <v>231</v>
      </c>
      <c r="C4" s="10" t="s">
        <v>59</v>
      </c>
      <c r="D4" s="10" t="s">
        <v>60</v>
      </c>
      <c r="E4" s="10" t="s">
        <v>61</v>
      </c>
      <c r="F4" s="10" t="s">
        <v>62</v>
      </c>
      <c r="G4" s="10" t="s">
        <v>63</v>
      </c>
      <c r="H4" s="10" t="s">
        <v>64</v>
      </c>
      <c r="I4" s="10" t="s">
        <v>65</v>
      </c>
    </row>
    <row r="5" spans="2:9" ht="15" customHeight="1" x14ac:dyDescent="0.2">
      <c r="B5" t="s">
        <v>43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44</v>
      </c>
      <c r="C6" s="12">
        <v>39</v>
      </c>
      <c r="D6" s="8">
        <v>30</v>
      </c>
      <c r="E6" s="12">
        <v>25</v>
      </c>
      <c r="F6" s="8">
        <v>28.09</v>
      </c>
      <c r="G6" s="12">
        <v>14</v>
      </c>
      <c r="H6" s="8">
        <v>36.840000000000003</v>
      </c>
      <c r="I6" s="12">
        <v>0</v>
      </c>
    </row>
    <row r="7" spans="2:9" ht="15" customHeight="1" x14ac:dyDescent="0.2">
      <c r="B7" t="s">
        <v>45</v>
      </c>
      <c r="C7" s="12">
        <v>22</v>
      </c>
      <c r="D7" s="8">
        <v>16.920000000000002</v>
      </c>
      <c r="E7" s="12">
        <v>14</v>
      </c>
      <c r="F7" s="8">
        <v>15.73</v>
      </c>
      <c r="G7" s="12">
        <v>8</v>
      </c>
      <c r="H7" s="8">
        <v>21.05</v>
      </c>
      <c r="I7" s="12">
        <v>0</v>
      </c>
    </row>
    <row r="8" spans="2:9" ht="15" customHeight="1" x14ac:dyDescent="0.2">
      <c r="B8" t="s">
        <v>46</v>
      </c>
      <c r="C8" s="12">
        <v>1</v>
      </c>
      <c r="D8" s="8">
        <v>0.77</v>
      </c>
      <c r="E8" s="12">
        <v>1</v>
      </c>
      <c r="F8" s="8">
        <v>1.1200000000000001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47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48</v>
      </c>
      <c r="C10" s="12">
        <v>2</v>
      </c>
      <c r="D10" s="8">
        <v>1.54</v>
      </c>
      <c r="E10" s="12">
        <v>2</v>
      </c>
      <c r="F10" s="8">
        <v>2.25</v>
      </c>
      <c r="G10" s="12">
        <v>0</v>
      </c>
      <c r="H10" s="8">
        <v>0</v>
      </c>
      <c r="I10" s="12">
        <v>0</v>
      </c>
    </row>
    <row r="11" spans="2:9" ht="15" customHeight="1" x14ac:dyDescent="0.2">
      <c r="B11" t="s">
        <v>49</v>
      </c>
      <c r="C11" s="12">
        <v>29</v>
      </c>
      <c r="D11" s="8">
        <v>22.31</v>
      </c>
      <c r="E11" s="12">
        <v>22</v>
      </c>
      <c r="F11" s="8">
        <v>24.72</v>
      </c>
      <c r="G11" s="12">
        <v>7</v>
      </c>
      <c r="H11" s="8">
        <v>18.420000000000002</v>
      </c>
      <c r="I11" s="12">
        <v>0</v>
      </c>
    </row>
    <row r="12" spans="2:9" ht="15" customHeight="1" x14ac:dyDescent="0.2">
      <c r="B12" t="s">
        <v>50</v>
      </c>
      <c r="C12" s="12">
        <v>2</v>
      </c>
      <c r="D12" s="8">
        <v>1.54</v>
      </c>
      <c r="E12" s="12">
        <v>1</v>
      </c>
      <c r="F12" s="8">
        <v>1.1200000000000001</v>
      </c>
      <c r="G12" s="12">
        <v>1</v>
      </c>
      <c r="H12" s="8">
        <v>2.63</v>
      </c>
      <c r="I12" s="12">
        <v>0</v>
      </c>
    </row>
    <row r="13" spans="2:9" ht="15" customHeight="1" x14ac:dyDescent="0.2">
      <c r="B13" t="s">
        <v>51</v>
      </c>
      <c r="C13" s="12">
        <v>0</v>
      </c>
      <c r="D13" s="8">
        <v>0</v>
      </c>
      <c r="E13" s="12">
        <v>0</v>
      </c>
      <c r="F13" s="8">
        <v>0</v>
      </c>
      <c r="G13" s="12">
        <v>0</v>
      </c>
      <c r="H13" s="8">
        <v>0</v>
      </c>
      <c r="I13" s="12">
        <v>0</v>
      </c>
    </row>
    <row r="14" spans="2:9" ht="15" customHeight="1" x14ac:dyDescent="0.2">
      <c r="B14" t="s">
        <v>52</v>
      </c>
      <c r="C14" s="12">
        <v>1</v>
      </c>
      <c r="D14" s="8">
        <v>0.77</v>
      </c>
      <c r="E14" s="12">
        <v>0</v>
      </c>
      <c r="F14" s="8">
        <v>0</v>
      </c>
      <c r="G14" s="12">
        <v>1</v>
      </c>
      <c r="H14" s="8">
        <v>2.63</v>
      </c>
      <c r="I14" s="12">
        <v>0</v>
      </c>
    </row>
    <row r="15" spans="2:9" ht="15" customHeight="1" x14ac:dyDescent="0.2">
      <c r="B15" t="s">
        <v>53</v>
      </c>
      <c r="C15" s="12">
        <v>11</v>
      </c>
      <c r="D15" s="8">
        <v>8.4600000000000009</v>
      </c>
      <c r="E15" s="12">
        <v>8</v>
      </c>
      <c r="F15" s="8">
        <v>8.99</v>
      </c>
      <c r="G15" s="12">
        <v>3</v>
      </c>
      <c r="H15" s="8">
        <v>7.89</v>
      </c>
      <c r="I15" s="12">
        <v>0</v>
      </c>
    </row>
    <row r="16" spans="2:9" ht="15" customHeight="1" x14ac:dyDescent="0.2">
      <c r="B16" t="s">
        <v>54</v>
      </c>
      <c r="C16" s="12">
        <v>14</v>
      </c>
      <c r="D16" s="8">
        <v>10.77</v>
      </c>
      <c r="E16" s="12">
        <v>12</v>
      </c>
      <c r="F16" s="8">
        <v>13.48</v>
      </c>
      <c r="G16" s="12">
        <v>1</v>
      </c>
      <c r="H16" s="8">
        <v>2.63</v>
      </c>
      <c r="I16" s="12">
        <v>0</v>
      </c>
    </row>
    <row r="17" spans="2:9" ht="15" customHeight="1" x14ac:dyDescent="0.2">
      <c r="B17" t="s">
        <v>55</v>
      </c>
      <c r="C17" s="12">
        <v>2</v>
      </c>
      <c r="D17" s="8">
        <v>1.54</v>
      </c>
      <c r="E17" s="12">
        <v>0</v>
      </c>
      <c r="F17" s="8">
        <v>0</v>
      </c>
      <c r="G17" s="12">
        <v>1</v>
      </c>
      <c r="H17" s="8">
        <v>2.63</v>
      </c>
      <c r="I17" s="12">
        <v>0</v>
      </c>
    </row>
    <row r="18" spans="2:9" ht="15" customHeight="1" x14ac:dyDescent="0.2">
      <c r="B18" t="s">
        <v>56</v>
      </c>
      <c r="C18" s="12">
        <v>2</v>
      </c>
      <c r="D18" s="8">
        <v>1.54</v>
      </c>
      <c r="E18" s="12">
        <v>2</v>
      </c>
      <c r="F18" s="8">
        <v>2.25</v>
      </c>
      <c r="G18" s="12">
        <v>0</v>
      </c>
      <c r="H18" s="8">
        <v>0</v>
      </c>
      <c r="I18" s="12">
        <v>0</v>
      </c>
    </row>
    <row r="19" spans="2:9" ht="15" customHeight="1" x14ac:dyDescent="0.2">
      <c r="B19" t="s">
        <v>57</v>
      </c>
      <c r="C19" s="12">
        <v>5</v>
      </c>
      <c r="D19" s="8">
        <v>3.85</v>
      </c>
      <c r="E19" s="12">
        <v>2</v>
      </c>
      <c r="F19" s="8">
        <v>2.25</v>
      </c>
      <c r="G19" s="12">
        <v>2</v>
      </c>
      <c r="H19" s="8">
        <v>5.26</v>
      </c>
      <c r="I19" s="12">
        <v>0</v>
      </c>
    </row>
    <row r="20" spans="2:9" ht="15" customHeight="1" x14ac:dyDescent="0.2">
      <c r="B20" s="9" t="s">
        <v>232</v>
      </c>
      <c r="C20" s="12">
        <f>SUM(LTBL_21504[総数／事業所数])</f>
        <v>130</v>
      </c>
      <c r="E20" s="12">
        <f>SUBTOTAL(109,LTBL_21504[個人／事業所数])</f>
        <v>89</v>
      </c>
      <c r="G20" s="12">
        <f>SUBTOTAL(109,LTBL_21504[法人／事業所数])</f>
        <v>38</v>
      </c>
      <c r="I20" s="12">
        <f>SUBTOTAL(109,LTBL_21504[法人以外の団体／事業所数])</f>
        <v>0</v>
      </c>
    </row>
    <row r="21" spans="2:9" ht="15" customHeight="1" x14ac:dyDescent="0.2">
      <c r="E21" s="11">
        <f>LTBL_21504[[#Totals],[個人／事業所数]]/LTBL_21504[[#Totals],[総数／事業所数]]</f>
        <v>0.68461538461538463</v>
      </c>
      <c r="G21" s="11">
        <f>LTBL_21504[[#Totals],[法人／事業所数]]/LTBL_21504[[#Totals],[総数／事業所数]]</f>
        <v>0.29230769230769232</v>
      </c>
      <c r="I21" s="11">
        <f>LTBL_21504[[#Totals],[法人以外の団体／事業所数]]/LTBL_21504[[#Totals],[総数／事業所数]]</f>
        <v>0</v>
      </c>
    </row>
    <row r="23" spans="2:9" ht="33" customHeight="1" x14ac:dyDescent="0.2">
      <c r="B23" t="s">
        <v>233</v>
      </c>
      <c r="C23" s="10" t="s">
        <v>59</v>
      </c>
      <c r="D23" s="10" t="s">
        <v>60</v>
      </c>
      <c r="E23" s="10" t="s">
        <v>61</v>
      </c>
      <c r="F23" s="10" t="s">
        <v>62</v>
      </c>
      <c r="G23" s="10" t="s">
        <v>63</v>
      </c>
      <c r="H23" s="10" t="s">
        <v>64</v>
      </c>
      <c r="I23" s="10" t="s">
        <v>65</v>
      </c>
    </row>
    <row r="24" spans="2:9" ht="15" customHeight="1" x14ac:dyDescent="0.2">
      <c r="B24" t="s">
        <v>67</v>
      </c>
      <c r="C24" s="12">
        <v>17</v>
      </c>
      <c r="D24" s="8">
        <v>13.08</v>
      </c>
      <c r="E24" s="12">
        <v>13</v>
      </c>
      <c r="F24" s="8">
        <v>14.61</v>
      </c>
      <c r="G24" s="12">
        <v>4</v>
      </c>
      <c r="H24" s="8">
        <v>10.53</v>
      </c>
      <c r="I24" s="12">
        <v>0</v>
      </c>
    </row>
    <row r="25" spans="2:9" ht="15" customHeight="1" x14ac:dyDescent="0.2">
      <c r="B25" t="s">
        <v>66</v>
      </c>
      <c r="C25" s="12">
        <v>15</v>
      </c>
      <c r="D25" s="8">
        <v>11.54</v>
      </c>
      <c r="E25" s="12">
        <v>6</v>
      </c>
      <c r="F25" s="8">
        <v>6.74</v>
      </c>
      <c r="G25" s="12">
        <v>9</v>
      </c>
      <c r="H25" s="8">
        <v>23.68</v>
      </c>
      <c r="I25" s="12">
        <v>0</v>
      </c>
    </row>
    <row r="26" spans="2:9" ht="15" customHeight="1" x14ac:dyDescent="0.2">
      <c r="B26" t="s">
        <v>75</v>
      </c>
      <c r="C26" s="12">
        <v>11</v>
      </c>
      <c r="D26" s="8">
        <v>8.4600000000000009</v>
      </c>
      <c r="E26" s="12">
        <v>10</v>
      </c>
      <c r="F26" s="8">
        <v>11.24</v>
      </c>
      <c r="G26" s="12">
        <v>1</v>
      </c>
      <c r="H26" s="8">
        <v>2.63</v>
      </c>
      <c r="I26" s="12">
        <v>0</v>
      </c>
    </row>
    <row r="27" spans="2:9" ht="15" customHeight="1" x14ac:dyDescent="0.2">
      <c r="B27" t="s">
        <v>81</v>
      </c>
      <c r="C27" s="12">
        <v>11</v>
      </c>
      <c r="D27" s="8">
        <v>8.4600000000000009</v>
      </c>
      <c r="E27" s="12">
        <v>8</v>
      </c>
      <c r="F27" s="8">
        <v>8.99</v>
      </c>
      <c r="G27" s="12">
        <v>3</v>
      </c>
      <c r="H27" s="8">
        <v>7.89</v>
      </c>
      <c r="I27" s="12">
        <v>0</v>
      </c>
    </row>
    <row r="28" spans="2:9" ht="15" customHeight="1" x14ac:dyDescent="0.2">
      <c r="B28" t="s">
        <v>82</v>
      </c>
      <c r="C28" s="12">
        <v>11</v>
      </c>
      <c r="D28" s="8">
        <v>8.4600000000000009</v>
      </c>
      <c r="E28" s="12">
        <v>11</v>
      </c>
      <c r="F28" s="8">
        <v>12.36</v>
      </c>
      <c r="G28" s="12">
        <v>0</v>
      </c>
      <c r="H28" s="8">
        <v>0</v>
      </c>
      <c r="I28" s="12">
        <v>0</v>
      </c>
    </row>
    <row r="29" spans="2:9" ht="15" customHeight="1" x14ac:dyDescent="0.2">
      <c r="B29" t="s">
        <v>77</v>
      </c>
      <c r="C29" s="12">
        <v>9</v>
      </c>
      <c r="D29" s="8">
        <v>6.92</v>
      </c>
      <c r="E29" s="12">
        <v>6</v>
      </c>
      <c r="F29" s="8">
        <v>6.74</v>
      </c>
      <c r="G29" s="12">
        <v>3</v>
      </c>
      <c r="H29" s="8">
        <v>7.89</v>
      </c>
      <c r="I29" s="12">
        <v>0</v>
      </c>
    </row>
    <row r="30" spans="2:9" ht="15" customHeight="1" x14ac:dyDescent="0.2">
      <c r="B30" t="s">
        <v>68</v>
      </c>
      <c r="C30" s="12">
        <v>7</v>
      </c>
      <c r="D30" s="8">
        <v>5.38</v>
      </c>
      <c r="E30" s="12">
        <v>6</v>
      </c>
      <c r="F30" s="8">
        <v>6.74</v>
      </c>
      <c r="G30" s="12">
        <v>1</v>
      </c>
      <c r="H30" s="8">
        <v>2.63</v>
      </c>
      <c r="I30" s="12">
        <v>0</v>
      </c>
    </row>
    <row r="31" spans="2:9" ht="15" customHeight="1" x14ac:dyDescent="0.2">
      <c r="B31" t="s">
        <v>76</v>
      </c>
      <c r="C31" s="12">
        <v>6</v>
      </c>
      <c r="D31" s="8">
        <v>4.62</v>
      </c>
      <c r="E31" s="12">
        <v>4</v>
      </c>
      <c r="F31" s="8">
        <v>4.49</v>
      </c>
      <c r="G31" s="12">
        <v>2</v>
      </c>
      <c r="H31" s="8">
        <v>5.26</v>
      </c>
      <c r="I31" s="12">
        <v>0</v>
      </c>
    </row>
    <row r="32" spans="2:9" ht="15" customHeight="1" x14ac:dyDescent="0.2">
      <c r="B32" t="s">
        <v>103</v>
      </c>
      <c r="C32" s="12">
        <v>4</v>
      </c>
      <c r="D32" s="8">
        <v>3.08</v>
      </c>
      <c r="E32" s="12">
        <v>3</v>
      </c>
      <c r="F32" s="8">
        <v>3.37</v>
      </c>
      <c r="G32" s="12">
        <v>1</v>
      </c>
      <c r="H32" s="8">
        <v>2.63</v>
      </c>
      <c r="I32" s="12">
        <v>0</v>
      </c>
    </row>
    <row r="33" spans="2:9" ht="15" customHeight="1" x14ac:dyDescent="0.2">
      <c r="B33" t="s">
        <v>92</v>
      </c>
      <c r="C33" s="12">
        <v>3</v>
      </c>
      <c r="D33" s="8">
        <v>2.31</v>
      </c>
      <c r="E33" s="12">
        <v>1</v>
      </c>
      <c r="F33" s="8">
        <v>1.1200000000000001</v>
      </c>
      <c r="G33" s="12">
        <v>2</v>
      </c>
      <c r="H33" s="8">
        <v>5.26</v>
      </c>
      <c r="I33" s="12">
        <v>0</v>
      </c>
    </row>
    <row r="34" spans="2:9" ht="15" customHeight="1" x14ac:dyDescent="0.2">
      <c r="B34" t="s">
        <v>93</v>
      </c>
      <c r="C34" s="12">
        <v>3</v>
      </c>
      <c r="D34" s="8">
        <v>2.31</v>
      </c>
      <c r="E34" s="12">
        <v>3</v>
      </c>
      <c r="F34" s="8">
        <v>3.37</v>
      </c>
      <c r="G34" s="12">
        <v>0</v>
      </c>
      <c r="H34" s="8">
        <v>0</v>
      </c>
      <c r="I34" s="12">
        <v>0</v>
      </c>
    </row>
    <row r="35" spans="2:9" ht="15" customHeight="1" x14ac:dyDescent="0.2">
      <c r="B35" t="s">
        <v>91</v>
      </c>
      <c r="C35" s="12">
        <v>2</v>
      </c>
      <c r="D35" s="8">
        <v>1.54</v>
      </c>
      <c r="E35" s="12">
        <v>1</v>
      </c>
      <c r="F35" s="8">
        <v>1.1200000000000001</v>
      </c>
      <c r="G35" s="12">
        <v>1</v>
      </c>
      <c r="H35" s="8">
        <v>2.63</v>
      </c>
      <c r="I35" s="12">
        <v>0</v>
      </c>
    </row>
    <row r="36" spans="2:9" ht="15" customHeight="1" x14ac:dyDescent="0.2">
      <c r="B36" t="s">
        <v>72</v>
      </c>
      <c r="C36" s="12">
        <v>2</v>
      </c>
      <c r="D36" s="8">
        <v>1.54</v>
      </c>
      <c r="E36" s="12">
        <v>1</v>
      </c>
      <c r="F36" s="8">
        <v>1.1200000000000001</v>
      </c>
      <c r="G36" s="12">
        <v>1</v>
      </c>
      <c r="H36" s="8">
        <v>2.63</v>
      </c>
      <c r="I36" s="12">
        <v>0</v>
      </c>
    </row>
    <row r="37" spans="2:9" ht="15" customHeight="1" x14ac:dyDescent="0.2">
      <c r="B37" t="s">
        <v>113</v>
      </c>
      <c r="C37" s="12">
        <v>2</v>
      </c>
      <c r="D37" s="8">
        <v>1.54</v>
      </c>
      <c r="E37" s="12">
        <v>2</v>
      </c>
      <c r="F37" s="8">
        <v>2.25</v>
      </c>
      <c r="G37" s="12">
        <v>0</v>
      </c>
      <c r="H37" s="8">
        <v>0</v>
      </c>
      <c r="I37" s="12">
        <v>0</v>
      </c>
    </row>
    <row r="38" spans="2:9" ht="15" customHeight="1" x14ac:dyDescent="0.2">
      <c r="B38" t="s">
        <v>74</v>
      </c>
      <c r="C38" s="12">
        <v>2</v>
      </c>
      <c r="D38" s="8">
        <v>1.54</v>
      </c>
      <c r="E38" s="12">
        <v>2</v>
      </c>
      <c r="F38" s="8">
        <v>2.25</v>
      </c>
      <c r="G38" s="12">
        <v>0</v>
      </c>
      <c r="H38" s="8">
        <v>0</v>
      </c>
      <c r="I38" s="12">
        <v>0</v>
      </c>
    </row>
    <row r="39" spans="2:9" ht="15" customHeight="1" x14ac:dyDescent="0.2">
      <c r="B39" t="s">
        <v>112</v>
      </c>
      <c r="C39" s="12">
        <v>2</v>
      </c>
      <c r="D39" s="8">
        <v>1.54</v>
      </c>
      <c r="E39" s="12">
        <v>1</v>
      </c>
      <c r="F39" s="8">
        <v>1.1200000000000001</v>
      </c>
      <c r="G39" s="12">
        <v>1</v>
      </c>
      <c r="H39" s="8">
        <v>2.63</v>
      </c>
      <c r="I39" s="12">
        <v>0</v>
      </c>
    </row>
    <row r="40" spans="2:9" ht="15" customHeight="1" x14ac:dyDescent="0.2">
      <c r="B40" t="s">
        <v>109</v>
      </c>
      <c r="C40" s="12">
        <v>2</v>
      </c>
      <c r="D40" s="8">
        <v>1.54</v>
      </c>
      <c r="E40" s="12">
        <v>1</v>
      </c>
      <c r="F40" s="8">
        <v>1.1200000000000001</v>
      </c>
      <c r="G40" s="12">
        <v>0</v>
      </c>
      <c r="H40" s="8">
        <v>0</v>
      </c>
      <c r="I40" s="12">
        <v>0</v>
      </c>
    </row>
    <row r="41" spans="2:9" ht="15" customHeight="1" x14ac:dyDescent="0.2">
      <c r="B41" t="s">
        <v>83</v>
      </c>
      <c r="C41" s="12">
        <v>2</v>
      </c>
      <c r="D41" s="8">
        <v>1.54</v>
      </c>
      <c r="E41" s="12">
        <v>0</v>
      </c>
      <c r="F41" s="8">
        <v>0</v>
      </c>
      <c r="G41" s="12">
        <v>1</v>
      </c>
      <c r="H41" s="8">
        <v>2.63</v>
      </c>
      <c r="I41" s="12">
        <v>0</v>
      </c>
    </row>
    <row r="42" spans="2:9" ht="15" customHeight="1" x14ac:dyDescent="0.2">
      <c r="B42" t="s">
        <v>84</v>
      </c>
      <c r="C42" s="12">
        <v>2</v>
      </c>
      <c r="D42" s="8">
        <v>1.54</v>
      </c>
      <c r="E42" s="12">
        <v>2</v>
      </c>
      <c r="F42" s="8">
        <v>2.25</v>
      </c>
      <c r="G42" s="12">
        <v>0</v>
      </c>
      <c r="H42" s="8">
        <v>0</v>
      </c>
      <c r="I42" s="12">
        <v>0</v>
      </c>
    </row>
    <row r="43" spans="2:9" ht="15" customHeight="1" x14ac:dyDescent="0.2">
      <c r="B43" t="s">
        <v>85</v>
      </c>
      <c r="C43" s="12">
        <v>2</v>
      </c>
      <c r="D43" s="8">
        <v>1.54</v>
      </c>
      <c r="E43" s="12">
        <v>2</v>
      </c>
      <c r="F43" s="8">
        <v>2.25</v>
      </c>
      <c r="G43" s="12">
        <v>0</v>
      </c>
      <c r="H43" s="8">
        <v>0</v>
      </c>
      <c r="I43" s="12">
        <v>0</v>
      </c>
    </row>
    <row r="46" spans="2:9" ht="33" customHeight="1" x14ac:dyDescent="0.2">
      <c r="B46" t="s">
        <v>234</v>
      </c>
      <c r="C46" s="10" t="s">
        <v>59</v>
      </c>
      <c r="D46" s="10" t="s">
        <v>60</v>
      </c>
      <c r="E46" s="10" t="s">
        <v>61</v>
      </c>
      <c r="F46" s="10" t="s">
        <v>62</v>
      </c>
      <c r="G46" s="10" t="s">
        <v>63</v>
      </c>
      <c r="H46" s="10" t="s">
        <v>64</v>
      </c>
      <c r="I46" s="10" t="s">
        <v>65</v>
      </c>
    </row>
    <row r="47" spans="2:9" ht="15" customHeight="1" x14ac:dyDescent="0.2">
      <c r="B47" t="s">
        <v>138</v>
      </c>
      <c r="C47" s="12">
        <v>7</v>
      </c>
      <c r="D47" s="8">
        <v>5.38</v>
      </c>
      <c r="E47" s="12">
        <v>7</v>
      </c>
      <c r="F47" s="8">
        <v>7.87</v>
      </c>
      <c r="G47" s="12">
        <v>0</v>
      </c>
      <c r="H47" s="8">
        <v>0</v>
      </c>
      <c r="I47" s="12">
        <v>0</v>
      </c>
    </row>
    <row r="48" spans="2:9" ht="15" customHeight="1" x14ac:dyDescent="0.2">
      <c r="B48" t="s">
        <v>124</v>
      </c>
      <c r="C48" s="12">
        <v>6</v>
      </c>
      <c r="D48" s="8">
        <v>4.62</v>
      </c>
      <c r="E48" s="12">
        <v>4</v>
      </c>
      <c r="F48" s="8">
        <v>4.49</v>
      </c>
      <c r="G48" s="12">
        <v>2</v>
      </c>
      <c r="H48" s="8">
        <v>5.26</v>
      </c>
      <c r="I48" s="12">
        <v>0</v>
      </c>
    </row>
    <row r="49" spans="2:9" ht="15" customHeight="1" x14ac:dyDescent="0.2">
      <c r="B49" t="s">
        <v>122</v>
      </c>
      <c r="C49" s="12">
        <v>5</v>
      </c>
      <c r="D49" s="8">
        <v>3.85</v>
      </c>
      <c r="E49" s="12">
        <v>1</v>
      </c>
      <c r="F49" s="8">
        <v>1.1200000000000001</v>
      </c>
      <c r="G49" s="12">
        <v>4</v>
      </c>
      <c r="H49" s="8">
        <v>10.53</v>
      </c>
      <c r="I49" s="12">
        <v>0</v>
      </c>
    </row>
    <row r="50" spans="2:9" ht="15" customHeight="1" x14ac:dyDescent="0.2">
      <c r="B50" t="s">
        <v>127</v>
      </c>
      <c r="C50" s="12">
        <v>5</v>
      </c>
      <c r="D50" s="8">
        <v>3.85</v>
      </c>
      <c r="E50" s="12">
        <v>4</v>
      </c>
      <c r="F50" s="8">
        <v>4.49</v>
      </c>
      <c r="G50" s="12">
        <v>1</v>
      </c>
      <c r="H50" s="8">
        <v>2.63</v>
      </c>
      <c r="I50" s="12">
        <v>0</v>
      </c>
    </row>
    <row r="51" spans="2:9" ht="15" customHeight="1" x14ac:dyDescent="0.2">
      <c r="B51" t="s">
        <v>128</v>
      </c>
      <c r="C51" s="12">
        <v>5</v>
      </c>
      <c r="D51" s="8">
        <v>3.85</v>
      </c>
      <c r="E51" s="12">
        <v>4</v>
      </c>
      <c r="F51" s="8">
        <v>4.49</v>
      </c>
      <c r="G51" s="12">
        <v>1</v>
      </c>
      <c r="H51" s="8">
        <v>2.63</v>
      </c>
      <c r="I51" s="12">
        <v>0</v>
      </c>
    </row>
    <row r="52" spans="2:9" ht="15" customHeight="1" x14ac:dyDescent="0.2">
      <c r="B52" t="s">
        <v>147</v>
      </c>
      <c r="C52" s="12">
        <v>4</v>
      </c>
      <c r="D52" s="8">
        <v>3.08</v>
      </c>
      <c r="E52" s="12">
        <v>2</v>
      </c>
      <c r="F52" s="8">
        <v>2.25</v>
      </c>
      <c r="G52" s="12">
        <v>2</v>
      </c>
      <c r="H52" s="8">
        <v>5.26</v>
      </c>
      <c r="I52" s="12">
        <v>0</v>
      </c>
    </row>
    <row r="53" spans="2:9" ht="15" customHeight="1" x14ac:dyDescent="0.2">
      <c r="B53" t="s">
        <v>180</v>
      </c>
      <c r="C53" s="12">
        <v>4</v>
      </c>
      <c r="D53" s="8">
        <v>3.08</v>
      </c>
      <c r="E53" s="12">
        <v>3</v>
      </c>
      <c r="F53" s="8">
        <v>3.37</v>
      </c>
      <c r="G53" s="12">
        <v>1</v>
      </c>
      <c r="H53" s="8">
        <v>2.63</v>
      </c>
      <c r="I53" s="12">
        <v>0</v>
      </c>
    </row>
    <row r="54" spans="2:9" ht="15" customHeight="1" x14ac:dyDescent="0.2">
      <c r="B54" t="s">
        <v>170</v>
      </c>
      <c r="C54" s="12">
        <v>4</v>
      </c>
      <c r="D54" s="8">
        <v>3.08</v>
      </c>
      <c r="E54" s="12">
        <v>2</v>
      </c>
      <c r="F54" s="8">
        <v>2.25</v>
      </c>
      <c r="G54" s="12">
        <v>2</v>
      </c>
      <c r="H54" s="8">
        <v>5.26</v>
      </c>
      <c r="I54" s="12">
        <v>0</v>
      </c>
    </row>
    <row r="55" spans="2:9" ht="15" customHeight="1" x14ac:dyDescent="0.2">
      <c r="B55" t="s">
        <v>134</v>
      </c>
      <c r="C55" s="12">
        <v>4</v>
      </c>
      <c r="D55" s="8">
        <v>3.08</v>
      </c>
      <c r="E55" s="12">
        <v>2</v>
      </c>
      <c r="F55" s="8">
        <v>2.25</v>
      </c>
      <c r="G55" s="12">
        <v>2</v>
      </c>
      <c r="H55" s="8">
        <v>5.26</v>
      </c>
      <c r="I55" s="12">
        <v>0</v>
      </c>
    </row>
    <row r="56" spans="2:9" ht="15" customHeight="1" x14ac:dyDescent="0.2">
      <c r="B56" t="s">
        <v>136</v>
      </c>
      <c r="C56" s="12">
        <v>4</v>
      </c>
      <c r="D56" s="8">
        <v>3.08</v>
      </c>
      <c r="E56" s="12">
        <v>4</v>
      </c>
      <c r="F56" s="8">
        <v>4.49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123</v>
      </c>
      <c r="C57" s="12">
        <v>3</v>
      </c>
      <c r="D57" s="8">
        <v>2.31</v>
      </c>
      <c r="E57" s="12">
        <v>1</v>
      </c>
      <c r="F57" s="8">
        <v>1.1200000000000001</v>
      </c>
      <c r="G57" s="12">
        <v>2</v>
      </c>
      <c r="H57" s="8">
        <v>5.26</v>
      </c>
      <c r="I57" s="12">
        <v>0</v>
      </c>
    </row>
    <row r="58" spans="2:9" ht="15" customHeight="1" x14ac:dyDescent="0.2">
      <c r="B58" t="s">
        <v>212</v>
      </c>
      <c r="C58" s="12">
        <v>3</v>
      </c>
      <c r="D58" s="8">
        <v>2.31</v>
      </c>
      <c r="E58" s="12">
        <v>2</v>
      </c>
      <c r="F58" s="8">
        <v>2.25</v>
      </c>
      <c r="G58" s="12">
        <v>1</v>
      </c>
      <c r="H58" s="8">
        <v>2.63</v>
      </c>
      <c r="I58" s="12">
        <v>0</v>
      </c>
    </row>
    <row r="59" spans="2:9" ht="15" customHeight="1" x14ac:dyDescent="0.2">
      <c r="B59" t="s">
        <v>192</v>
      </c>
      <c r="C59" s="12">
        <v>3</v>
      </c>
      <c r="D59" s="8">
        <v>2.31</v>
      </c>
      <c r="E59" s="12">
        <v>3</v>
      </c>
      <c r="F59" s="8">
        <v>3.37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125</v>
      </c>
      <c r="C60" s="12">
        <v>3</v>
      </c>
      <c r="D60" s="8">
        <v>2.31</v>
      </c>
      <c r="E60" s="12">
        <v>3</v>
      </c>
      <c r="F60" s="8">
        <v>3.37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191</v>
      </c>
      <c r="C61" s="12">
        <v>3</v>
      </c>
      <c r="D61" s="8">
        <v>2.31</v>
      </c>
      <c r="E61" s="12">
        <v>3</v>
      </c>
      <c r="F61" s="8">
        <v>3.37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137</v>
      </c>
      <c r="C62" s="12">
        <v>3</v>
      </c>
      <c r="D62" s="8">
        <v>2.31</v>
      </c>
      <c r="E62" s="12">
        <v>3</v>
      </c>
      <c r="F62" s="8">
        <v>3.37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213</v>
      </c>
      <c r="C63" s="12">
        <v>2</v>
      </c>
      <c r="D63" s="8">
        <v>1.54</v>
      </c>
      <c r="E63" s="12">
        <v>2</v>
      </c>
      <c r="F63" s="8">
        <v>2.25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176</v>
      </c>
      <c r="C64" s="12">
        <v>2</v>
      </c>
      <c r="D64" s="8">
        <v>1.54</v>
      </c>
      <c r="E64" s="12">
        <v>2</v>
      </c>
      <c r="F64" s="8">
        <v>2.25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158</v>
      </c>
      <c r="C65" s="12">
        <v>2</v>
      </c>
      <c r="D65" s="8">
        <v>1.54</v>
      </c>
      <c r="E65" s="12">
        <v>1</v>
      </c>
      <c r="F65" s="8">
        <v>1.1200000000000001</v>
      </c>
      <c r="G65" s="12">
        <v>1</v>
      </c>
      <c r="H65" s="8">
        <v>2.63</v>
      </c>
      <c r="I65" s="12">
        <v>0</v>
      </c>
    </row>
    <row r="66" spans="2:9" ht="15" customHeight="1" x14ac:dyDescent="0.2">
      <c r="B66" t="s">
        <v>214</v>
      </c>
      <c r="C66" s="12">
        <v>2</v>
      </c>
      <c r="D66" s="8">
        <v>1.54</v>
      </c>
      <c r="E66" s="12">
        <v>0</v>
      </c>
      <c r="F66" s="8">
        <v>0</v>
      </c>
      <c r="G66" s="12">
        <v>2</v>
      </c>
      <c r="H66" s="8">
        <v>5.26</v>
      </c>
      <c r="I66" s="12">
        <v>0</v>
      </c>
    </row>
    <row r="67" spans="2:9" ht="15" customHeight="1" x14ac:dyDescent="0.2">
      <c r="B67" t="s">
        <v>155</v>
      </c>
      <c r="C67" s="12">
        <v>2</v>
      </c>
      <c r="D67" s="8">
        <v>1.54</v>
      </c>
      <c r="E67" s="12">
        <v>1</v>
      </c>
      <c r="F67" s="8">
        <v>1.1200000000000001</v>
      </c>
      <c r="G67" s="12">
        <v>1</v>
      </c>
      <c r="H67" s="8">
        <v>2.63</v>
      </c>
      <c r="I67" s="12">
        <v>0</v>
      </c>
    </row>
    <row r="68" spans="2:9" ht="15" customHeight="1" x14ac:dyDescent="0.2">
      <c r="B68" t="s">
        <v>181</v>
      </c>
      <c r="C68" s="12">
        <v>2</v>
      </c>
      <c r="D68" s="8">
        <v>1.54</v>
      </c>
      <c r="E68" s="12">
        <v>2</v>
      </c>
      <c r="F68" s="8">
        <v>2.25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148</v>
      </c>
      <c r="C69" s="12">
        <v>2</v>
      </c>
      <c r="D69" s="8">
        <v>1.54</v>
      </c>
      <c r="E69" s="12">
        <v>2</v>
      </c>
      <c r="F69" s="8">
        <v>2.25</v>
      </c>
      <c r="G69" s="12">
        <v>0</v>
      </c>
      <c r="H69" s="8">
        <v>0</v>
      </c>
      <c r="I69" s="12">
        <v>0</v>
      </c>
    </row>
    <row r="70" spans="2:9" ht="15" customHeight="1" x14ac:dyDescent="0.2">
      <c r="B70" t="s">
        <v>129</v>
      </c>
      <c r="C70" s="12">
        <v>2</v>
      </c>
      <c r="D70" s="8">
        <v>1.54</v>
      </c>
      <c r="E70" s="12">
        <v>1</v>
      </c>
      <c r="F70" s="8">
        <v>1.1200000000000001</v>
      </c>
      <c r="G70" s="12">
        <v>1</v>
      </c>
      <c r="H70" s="8">
        <v>2.63</v>
      </c>
      <c r="I70" s="12">
        <v>0</v>
      </c>
    </row>
    <row r="71" spans="2:9" ht="15" customHeight="1" x14ac:dyDescent="0.2">
      <c r="B71" t="s">
        <v>215</v>
      </c>
      <c r="C71" s="12">
        <v>2</v>
      </c>
      <c r="D71" s="8">
        <v>1.54</v>
      </c>
      <c r="E71" s="12">
        <v>2</v>
      </c>
      <c r="F71" s="8">
        <v>2.25</v>
      </c>
      <c r="G71" s="12">
        <v>0</v>
      </c>
      <c r="H71" s="8">
        <v>0</v>
      </c>
      <c r="I71" s="12">
        <v>0</v>
      </c>
    </row>
    <row r="72" spans="2:9" ht="15" customHeight="1" x14ac:dyDescent="0.2">
      <c r="B72" t="s">
        <v>205</v>
      </c>
      <c r="C72" s="12">
        <v>2</v>
      </c>
      <c r="D72" s="8">
        <v>1.54</v>
      </c>
      <c r="E72" s="12">
        <v>1</v>
      </c>
      <c r="F72" s="8">
        <v>1.1200000000000001</v>
      </c>
      <c r="G72" s="12">
        <v>1</v>
      </c>
      <c r="H72" s="8">
        <v>2.63</v>
      </c>
      <c r="I72" s="12">
        <v>0</v>
      </c>
    </row>
    <row r="73" spans="2:9" ht="15" customHeight="1" x14ac:dyDescent="0.2">
      <c r="B73" t="s">
        <v>167</v>
      </c>
      <c r="C73" s="12">
        <v>2</v>
      </c>
      <c r="D73" s="8">
        <v>1.54</v>
      </c>
      <c r="E73" s="12">
        <v>2</v>
      </c>
      <c r="F73" s="8">
        <v>2.25</v>
      </c>
      <c r="G73" s="12">
        <v>0</v>
      </c>
      <c r="H73" s="8">
        <v>0</v>
      </c>
      <c r="I73" s="12">
        <v>0</v>
      </c>
    </row>
    <row r="74" spans="2:9" ht="15" customHeight="1" x14ac:dyDescent="0.2">
      <c r="B74" t="s">
        <v>140</v>
      </c>
      <c r="C74" s="12">
        <v>2</v>
      </c>
      <c r="D74" s="8">
        <v>1.54</v>
      </c>
      <c r="E74" s="12">
        <v>2</v>
      </c>
      <c r="F74" s="8">
        <v>2.25</v>
      </c>
      <c r="G74" s="12">
        <v>0</v>
      </c>
      <c r="H74" s="8">
        <v>0</v>
      </c>
      <c r="I74" s="12">
        <v>0</v>
      </c>
    </row>
    <row r="75" spans="2:9" ht="15" customHeight="1" x14ac:dyDescent="0.2">
      <c r="B75" t="s">
        <v>141</v>
      </c>
      <c r="C75" s="12">
        <v>2</v>
      </c>
      <c r="D75" s="8">
        <v>1.54</v>
      </c>
      <c r="E75" s="12">
        <v>2</v>
      </c>
      <c r="F75" s="8">
        <v>2.25</v>
      </c>
      <c r="G75" s="12">
        <v>0</v>
      </c>
      <c r="H75" s="8">
        <v>0</v>
      </c>
      <c r="I75" s="12">
        <v>0</v>
      </c>
    </row>
    <row r="77" spans="2:9" ht="15" customHeight="1" x14ac:dyDescent="0.2">
      <c r="B77" t="s">
        <v>235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B3A06-EE13-41ED-B4D1-0722C311EBEB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273</v>
      </c>
    </row>
    <row r="4" spans="2:9" ht="33" customHeight="1" x14ac:dyDescent="0.2">
      <c r="B4" t="s">
        <v>231</v>
      </c>
      <c r="C4" s="10" t="s">
        <v>59</v>
      </c>
      <c r="D4" s="10" t="s">
        <v>60</v>
      </c>
      <c r="E4" s="10" t="s">
        <v>61</v>
      </c>
      <c r="F4" s="10" t="s">
        <v>62</v>
      </c>
      <c r="G4" s="10" t="s">
        <v>63</v>
      </c>
      <c r="H4" s="10" t="s">
        <v>64</v>
      </c>
      <c r="I4" s="10" t="s">
        <v>65</v>
      </c>
    </row>
    <row r="5" spans="2:9" ht="15" customHeight="1" x14ac:dyDescent="0.2">
      <c r="B5" t="s">
        <v>43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44</v>
      </c>
      <c r="C6" s="12">
        <v>57</v>
      </c>
      <c r="D6" s="8">
        <v>18.809999999999999</v>
      </c>
      <c r="E6" s="12">
        <v>40</v>
      </c>
      <c r="F6" s="8">
        <v>19.23</v>
      </c>
      <c r="G6" s="12">
        <v>17</v>
      </c>
      <c r="H6" s="8">
        <v>18.68</v>
      </c>
      <c r="I6" s="12">
        <v>0</v>
      </c>
    </row>
    <row r="7" spans="2:9" ht="15" customHeight="1" x14ac:dyDescent="0.2">
      <c r="B7" t="s">
        <v>45</v>
      </c>
      <c r="C7" s="12">
        <v>66</v>
      </c>
      <c r="D7" s="8">
        <v>21.78</v>
      </c>
      <c r="E7" s="12">
        <v>39</v>
      </c>
      <c r="F7" s="8">
        <v>18.75</v>
      </c>
      <c r="G7" s="12">
        <v>27</v>
      </c>
      <c r="H7" s="8">
        <v>29.67</v>
      </c>
      <c r="I7" s="12">
        <v>0</v>
      </c>
    </row>
    <row r="8" spans="2:9" ht="15" customHeight="1" x14ac:dyDescent="0.2">
      <c r="B8" t="s">
        <v>46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47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48</v>
      </c>
      <c r="C10" s="12">
        <v>3</v>
      </c>
      <c r="D10" s="8">
        <v>0.99</v>
      </c>
      <c r="E10" s="12">
        <v>1</v>
      </c>
      <c r="F10" s="8">
        <v>0.48</v>
      </c>
      <c r="G10" s="12">
        <v>2</v>
      </c>
      <c r="H10" s="8">
        <v>2.2000000000000002</v>
      </c>
      <c r="I10" s="12">
        <v>0</v>
      </c>
    </row>
    <row r="11" spans="2:9" ht="15" customHeight="1" x14ac:dyDescent="0.2">
      <c r="B11" t="s">
        <v>49</v>
      </c>
      <c r="C11" s="12">
        <v>84</v>
      </c>
      <c r="D11" s="8">
        <v>27.72</v>
      </c>
      <c r="E11" s="12">
        <v>61</v>
      </c>
      <c r="F11" s="8">
        <v>29.33</v>
      </c>
      <c r="G11" s="12">
        <v>23</v>
      </c>
      <c r="H11" s="8">
        <v>25.27</v>
      </c>
      <c r="I11" s="12">
        <v>0</v>
      </c>
    </row>
    <row r="12" spans="2:9" ht="15" customHeight="1" x14ac:dyDescent="0.2">
      <c r="B12" t="s">
        <v>50</v>
      </c>
      <c r="C12" s="12">
        <v>1</v>
      </c>
      <c r="D12" s="8">
        <v>0.33</v>
      </c>
      <c r="E12" s="12">
        <v>0</v>
      </c>
      <c r="F12" s="8">
        <v>0</v>
      </c>
      <c r="G12" s="12">
        <v>1</v>
      </c>
      <c r="H12" s="8">
        <v>1.1000000000000001</v>
      </c>
      <c r="I12" s="12">
        <v>0</v>
      </c>
    </row>
    <row r="13" spans="2:9" ht="15" customHeight="1" x14ac:dyDescent="0.2">
      <c r="B13" t="s">
        <v>51</v>
      </c>
      <c r="C13" s="12">
        <v>9</v>
      </c>
      <c r="D13" s="8">
        <v>2.97</v>
      </c>
      <c r="E13" s="12">
        <v>3</v>
      </c>
      <c r="F13" s="8">
        <v>1.44</v>
      </c>
      <c r="G13" s="12">
        <v>6</v>
      </c>
      <c r="H13" s="8">
        <v>6.59</v>
      </c>
      <c r="I13" s="12">
        <v>0</v>
      </c>
    </row>
    <row r="14" spans="2:9" ht="15" customHeight="1" x14ac:dyDescent="0.2">
      <c r="B14" t="s">
        <v>52</v>
      </c>
      <c r="C14" s="12">
        <v>7</v>
      </c>
      <c r="D14" s="8">
        <v>2.31</v>
      </c>
      <c r="E14" s="12">
        <v>6</v>
      </c>
      <c r="F14" s="8">
        <v>2.88</v>
      </c>
      <c r="G14" s="12">
        <v>1</v>
      </c>
      <c r="H14" s="8">
        <v>1.1000000000000001</v>
      </c>
      <c r="I14" s="12">
        <v>0</v>
      </c>
    </row>
    <row r="15" spans="2:9" ht="15" customHeight="1" x14ac:dyDescent="0.2">
      <c r="B15" t="s">
        <v>53</v>
      </c>
      <c r="C15" s="12">
        <v>27</v>
      </c>
      <c r="D15" s="8">
        <v>8.91</v>
      </c>
      <c r="E15" s="12">
        <v>24</v>
      </c>
      <c r="F15" s="8">
        <v>11.54</v>
      </c>
      <c r="G15" s="12">
        <v>2</v>
      </c>
      <c r="H15" s="8">
        <v>2.2000000000000002</v>
      </c>
      <c r="I15" s="12">
        <v>0</v>
      </c>
    </row>
    <row r="16" spans="2:9" ht="15" customHeight="1" x14ac:dyDescent="0.2">
      <c r="B16" t="s">
        <v>54</v>
      </c>
      <c r="C16" s="12">
        <v>26</v>
      </c>
      <c r="D16" s="8">
        <v>8.58</v>
      </c>
      <c r="E16" s="12">
        <v>23</v>
      </c>
      <c r="F16" s="8">
        <v>11.06</v>
      </c>
      <c r="G16" s="12">
        <v>3</v>
      </c>
      <c r="H16" s="8">
        <v>3.3</v>
      </c>
      <c r="I16" s="12">
        <v>0</v>
      </c>
    </row>
    <row r="17" spans="2:9" ht="15" customHeight="1" x14ac:dyDescent="0.2">
      <c r="B17" t="s">
        <v>55</v>
      </c>
      <c r="C17" s="12">
        <v>7</v>
      </c>
      <c r="D17" s="8">
        <v>2.31</v>
      </c>
      <c r="E17" s="12">
        <v>4</v>
      </c>
      <c r="F17" s="8">
        <v>1.92</v>
      </c>
      <c r="G17" s="12">
        <v>1</v>
      </c>
      <c r="H17" s="8">
        <v>1.1000000000000001</v>
      </c>
      <c r="I17" s="12">
        <v>0</v>
      </c>
    </row>
    <row r="18" spans="2:9" ht="15" customHeight="1" x14ac:dyDescent="0.2">
      <c r="B18" t="s">
        <v>56</v>
      </c>
      <c r="C18" s="12">
        <v>11</v>
      </c>
      <c r="D18" s="8">
        <v>3.63</v>
      </c>
      <c r="E18" s="12">
        <v>5</v>
      </c>
      <c r="F18" s="8">
        <v>2.4</v>
      </c>
      <c r="G18" s="12">
        <v>5</v>
      </c>
      <c r="H18" s="8">
        <v>5.49</v>
      </c>
      <c r="I18" s="12">
        <v>0</v>
      </c>
    </row>
    <row r="19" spans="2:9" ht="15" customHeight="1" x14ac:dyDescent="0.2">
      <c r="B19" t="s">
        <v>57</v>
      </c>
      <c r="C19" s="12">
        <v>5</v>
      </c>
      <c r="D19" s="8">
        <v>1.65</v>
      </c>
      <c r="E19" s="12">
        <v>2</v>
      </c>
      <c r="F19" s="8">
        <v>0.96</v>
      </c>
      <c r="G19" s="12">
        <v>3</v>
      </c>
      <c r="H19" s="8">
        <v>3.3</v>
      </c>
      <c r="I19" s="12">
        <v>0</v>
      </c>
    </row>
    <row r="20" spans="2:9" ht="15" customHeight="1" x14ac:dyDescent="0.2">
      <c r="B20" s="9" t="s">
        <v>232</v>
      </c>
      <c r="C20" s="12">
        <f>SUM(LTBL_21505[総数／事業所数])</f>
        <v>303</v>
      </c>
      <c r="E20" s="12">
        <f>SUBTOTAL(109,LTBL_21505[個人／事業所数])</f>
        <v>208</v>
      </c>
      <c r="G20" s="12">
        <f>SUBTOTAL(109,LTBL_21505[法人／事業所数])</f>
        <v>91</v>
      </c>
      <c r="I20" s="12">
        <f>SUBTOTAL(109,LTBL_21505[法人以外の団体／事業所数])</f>
        <v>0</v>
      </c>
    </row>
    <row r="21" spans="2:9" ht="15" customHeight="1" x14ac:dyDescent="0.2">
      <c r="E21" s="11">
        <f>LTBL_21505[[#Totals],[個人／事業所数]]/LTBL_21505[[#Totals],[総数／事業所数]]</f>
        <v>0.68646864686468645</v>
      </c>
      <c r="G21" s="11">
        <f>LTBL_21505[[#Totals],[法人／事業所数]]/LTBL_21505[[#Totals],[総数／事業所数]]</f>
        <v>0.30033003300330036</v>
      </c>
      <c r="I21" s="11">
        <f>LTBL_21505[[#Totals],[法人以外の団体／事業所数]]/LTBL_21505[[#Totals],[総数／事業所数]]</f>
        <v>0</v>
      </c>
    </row>
    <row r="23" spans="2:9" ht="33" customHeight="1" x14ac:dyDescent="0.2">
      <c r="B23" t="s">
        <v>233</v>
      </c>
      <c r="C23" s="10" t="s">
        <v>59</v>
      </c>
      <c r="D23" s="10" t="s">
        <v>60</v>
      </c>
      <c r="E23" s="10" t="s">
        <v>61</v>
      </c>
      <c r="F23" s="10" t="s">
        <v>62</v>
      </c>
      <c r="G23" s="10" t="s">
        <v>63</v>
      </c>
      <c r="H23" s="10" t="s">
        <v>64</v>
      </c>
      <c r="I23" s="10" t="s">
        <v>65</v>
      </c>
    </row>
    <row r="24" spans="2:9" ht="15" customHeight="1" x14ac:dyDescent="0.2">
      <c r="B24" t="s">
        <v>66</v>
      </c>
      <c r="C24" s="12">
        <v>25</v>
      </c>
      <c r="D24" s="8">
        <v>8.25</v>
      </c>
      <c r="E24" s="12">
        <v>15</v>
      </c>
      <c r="F24" s="8">
        <v>7.21</v>
      </c>
      <c r="G24" s="12">
        <v>10</v>
      </c>
      <c r="H24" s="8">
        <v>10.99</v>
      </c>
      <c r="I24" s="12">
        <v>0</v>
      </c>
    </row>
    <row r="25" spans="2:9" ht="15" customHeight="1" x14ac:dyDescent="0.2">
      <c r="B25" t="s">
        <v>75</v>
      </c>
      <c r="C25" s="12">
        <v>24</v>
      </c>
      <c r="D25" s="8">
        <v>7.92</v>
      </c>
      <c r="E25" s="12">
        <v>18</v>
      </c>
      <c r="F25" s="8">
        <v>8.65</v>
      </c>
      <c r="G25" s="12">
        <v>6</v>
      </c>
      <c r="H25" s="8">
        <v>6.59</v>
      </c>
      <c r="I25" s="12">
        <v>0</v>
      </c>
    </row>
    <row r="26" spans="2:9" ht="15" customHeight="1" x14ac:dyDescent="0.2">
      <c r="B26" t="s">
        <v>81</v>
      </c>
      <c r="C26" s="12">
        <v>23</v>
      </c>
      <c r="D26" s="8">
        <v>7.59</v>
      </c>
      <c r="E26" s="12">
        <v>21</v>
      </c>
      <c r="F26" s="8">
        <v>10.1</v>
      </c>
      <c r="G26" s="12">
        <v>2</v>
      </c>
      <c r="H26" s="8">
        <v>2.2000000000000002</v>
      </c>
      <c r="I26" s="12">
        <v>0</v>
      </c>
    </row>
    <row r="27" spans="2:9" ht="15" customHeight="1" x14ac:dyDescent="0.2">
      <c r="B27" t="s">
        <v>82</v>
      </c>
      <c r="C27" s="12">
        <v>23</v>
      </c>
      <c r="D27" s="8">
        <v>7.59</v>
      </c>
      <c r="E27" s="12">
        <v>22</v>
      </c>
      <c r="F27" s="8">
        <v>10.58</v>
      </c>
      <c r="G27" s="12">
        <v>1</v>
      </c>
      <c r="H27" s="8">
        <v>1.1000000000000001</v>
      </c>
      <c r="I27" s="12">
        <v>0</v>
      </c>
    </row>
    <row r="28" spans="2:9" ht="15" customHeight="1" x14ac:dyDescent="0.2">
      <c r="B28" t="s">
        <v>77</v>
      </c>
      <c r="C28" s="12">
        <v>22</v>
      </c>
      <c r="D28" s="8">
        <v>7.26</v>
      </c>
      <c r="E28" s="12">
        <v>15</v>
      </c>
      <c r="F28" s="8">
        <v>7.21</v>
      </c>
      <c r="G28" s="12">
        <v>7</v>
      </c>
      <c r="H28" s="8">
        <v>7.69</v>
      </c>
      <c r="I28" s="12">
        <v>0</v>
      </c>
    </row>
    <row r="29" spans="2:9" ht="15" customHeight="1" x14ac:dyDescent="0.2">
      <c r="B29" t="s">
        <v>67</v>
      </c>
      <c r="C29" s="12">
        <v>16</v>
      </c>
      <c r="D29" s="8">
        <v>5.28</v>
      </c>
      <c r="E29" s="12">
        <v>15</v>
      </c>
      <c r="F29" s="8">
        <v>7.21</v>
      </c>
      <c r="G29" s="12">
        <v>1</v>
      </c>
      <c r="H29" s="8">
        <v>1.1000000000000001</v>
      </c>
      <c r="I29" s="12">
        <v>0</v>
      </c>
    </row>
    <row r="30" spans="2:9" ht="15" customHeight="1" x14ac:dyDescent="0.2">
      <c r="B30" t="s">
        <v>68</v>
      </c>
      <c r="C30" s="12">
        <v>16</v>
      </c>
      <c r="D30" s="8">
        <v>5.28</v>
      </c>
      <c r="E30" s="12">
        <v>10</v>
      </c>
      <c r="F30" s="8">
        <v>4.8099999999999996</v>
      </c>
      <c r="G30" s="12">
        <v>6</v>
      </c>
      <c r="H30" s="8">
        <v>6.59</v>
      </c>
      <c r="I30" s="12">
        <v>0</v>
      </c>
    </row>
    <row r="31" spans="2:9" ht="15" customHeight="1" x14ac:dyDescent="0.2">
      <c r="B31" t="s">
        <v>71</v>
      </c>
      <c r="C31" s="12">
        <v>15</v>
      </c>
      <c r="D31" s="8">
        <v>4.95</v>
      </c>
      <c r="E31" s="12">
        <v>10</v>
      </c>
      <c r="F31" s="8">
        <v>4.8099999999999996</v>
      </c>
      <c r="G31" s="12">
        <v>5</v>
      </c>
      <c r="H31" s="8">
        <v>5.49</v>
      </c>
      <c r="I31" s="12">
        <v>0</v>
      </c>
    </row>
    <row r="32" spans="2:9" ht="15" customHeight="1" x14ac:dyDescent="0.2">
      <c r="B32" t="s">
        <v>91</v>
      </c>
      <c r="C32" s="12">
        <v>14</v>
      </c>
      <c r="D32" s="8">
        <v>4.62</v>
      </c>
      <c r="E32" s="12">
        <v>11</v>
      </c>
      <c r="F32" s="8">
        <v>5.29</v>
      </c>
      <c r="G32" s="12">
        <v>3</v>
      </c>
      <c r="H32" s="8">
        <v>3.3</v>
      </c>
      <c r="I32" s="12">
        <v>0</v>
      </c>
    </row>
    <row r="33" spans="2:9" ht="15" customHeight="1" x14ac:dyDescent="0.2">
      <c r="B33" t="s">
        <v>76</v>
      </c>
      <c r="C33" s="12">
        <v>14</v>
      </c>
      <c r="D33" s="8">
        <v>4.62</v>
      </c>
      <c r="E33" s="12">
        <v>9</v>
      </c>
      <c r="F33" s="8">
        <v>4.33</v>
      </c>
      <c r="G33" s="12">
        <v>5</v>
      </c>
      <c r="H33" s="8">
        <v>5.49</v>
      </c>
      <c r="I33" s="12">
        <v>0</v>
      </c>
    </row>
    <row r="34" spans="2:9" ht="15" customHeight="1" x14ac:dyDescent="0.2">
      <c r="B34" t="s">
        <v>74</v>
      </c>
      <c r="C34" s="12">
        <v>11</v>
      </c>
      <c r="D34" s="8">
        <v>3.63</v>
      </c>
      <c r="E34" s="12">
        <v>11</v>
      </c>
      <c r="F34" s="8">
        <v>5.29</v>
      </c>
      <c r="G34" s="12">
        <v>0</v>
      </c>
      <c r="H34" s="8">
        <v>0</v>
      </c>
      <c r="I34" s="12">
        <v>0</v>
      </c>
    </row>
    <row r="35" spans="2:9" ht="15" customHeight="1" x14ac:dyDescent="0.2">
      <c r="B35" t="s">
        <v>83</v>
      </c>
      <c r="C35" s="12">
        <v>7</v>
      </c>
      <c r="D35" s="8">
        <v>2.31</v>
      </c>
      <c r="E35" s="12">
        <v>4</v>
      </c>
      <c r="F35" s="8">
        <v>1.92</v>
      </c>
      <c r="G35" s="12">
        <v>1</v>
      </c>
      <c r="H35" s="8">
        <v>1.1000000000000001</v>
      </c>
      <c r="I35" s="12">
        <v>0</v>
      </c>
    </row>
    <row r="36" spans="2:9" ht="15" customHeight="1" x14ac:dyDescent="0.2">
      <c r="B36" t="s">
        <v>72</v>
      </c>
      <c r="C36" s="12">
        <v>6</v>
      </c>
      <c r="D36" s="8">
        <v>1.98</v>
      </c>
      <c r="E36" s="12">
        <v>3</v>
      </c>
      <c r="F36" s="8">
        <v>1.44</v>
      </c>
      <c r="G36" s="12">
        <v>3</v>
      </c>
      <c r="H36" s="8">
        <v>3.3</v>
      </c>
      <c r="I36" s="12">
        <v>0</v>
      </c>
    </row>
    <row r="37" spans="2:9" ht="15" customHeight="1" x14ac:dyDescent="0.2">
      <c r="B37" t="s">
        <v>97</v>
      </c>
      <c r="C37" s="12">
        <v>6</v>
      </c>
      <c r="D37" s="8">
        <v>1.98</v>
      </c>
      <c r="E37" s="12">
        <v>0</v>
      </c>
      <c r="F37" s="8">
        <v>0</v>
      </c>
      <c r="G37" s="12">
        <v>5</v>
      </c>
      <c r="H37" s="8">
        <v>5.49</v>
      </c>
      <c r="I37" s="12">
        <v>0</v>
      </c>
    </row>
    <row r="38" spans="2:9" ht="15" customHeight="1" x14ac:dyDescent="0.2">
      <c r="B38" t="s">
        <v>69</v>
      </c>
      <c r="C38" s="12">
        <v>5</v>
      </c>
      <c r="D38" s="8">
        <v>1.65</v>
      </c>
      <c r="E38" s="12">
        <v>3</v>
      </c>
      <c r="F38" s="8">
        <v>1.44</v>
      </c>
      <c r="G38" s="12">
        <v>2</v>
      </c>
      <c r="H38" s="8">
        <v>2.2000000000000002</v>
      </c>
      <c r="I38" s="12">
        <v>0</v>
      </c>
    </row>
    <row r="39" spans="2:9" ht="15" customHeight="1" x14ac:dyDescent="0.2">
      <c r="B39" t="s">
        <v>98</v>
      </c>
      <c r="C39" s="12">
        <v>5</v>
      </c>
      <c r="D39" s="8">
        <v>1.65</v>
      </c>
      <c r="E39" s="12">
        <v>1</v>
      </c>
      <c r="F39" s="8">
        <v>0.48</v>
      </c>
      <c r="G39" s="12">
        <v>4</v>
      </c>
      <c r="H39" s="8">
        <v>4.4000000000000004</v>
      </c>
      <c r="I39" s="12">
        <v>0</v>
      </c>
    </row>
    <row r="40" spans="2:9" ht="15" customHeight="1" x14ac:dyDescent="0.2">
      <c r="B40" t="s">
        <v>78</v>
      </c>
      <c r="C40" s="12">
        <v>5</v>
      </c>
      <c r="D40" s="8">
        <v>1.65</v>
      </c>
      <c r="E40" s="12">
        <v>1</v>
      </c>
      <c r="F40" s="8">
        <v>0.48</v>
      </c>
      <c r="G40" s="12">
        <v>4</v>
      </c>
      <c r="H40" s="8">
        <v>4.4000000000000004</v>
      </c>
      <c r="I40" s="12">
        <v>0</v>
      </c>
    </row>
    <row r="41" spans="2:9" ht="15" customHeight="1" x14ac:dyDescent="0.2">
      <c r="B41" t="s">
        <v>79</v>
      </c>
      <c r="C41" s="12">
        <v>5</v>
      </c>
      <c r="D41" s="8">
        <v>1.65</v>
      </c>
      <c r="E41" s="12">
        <v>5</v>
      </c>
      <c r="F41" s="8">
        <v>2.4</v>
      </c>
      <c r="G41" s="12">
        <v>0</v>
      </c>
      <c r="H41" s="8">
        <v>0</v>
      </c>
      <c r="I41" s="12">
        <v>0</v>
      </c>
    </row>
    <row r="42" spans="2:9" ht="15" customHeight="1" x14ac:dyDescent="0.2">
      <c r="B42" t="s">
        <v>84</v>
      </c>
      <c r="C42" s="12">
        <v>5</v>
      </c>
      <c r="D42" s="8">
        <v>1.65</v>
      </c>
      <c r="E42" s="12">
        <v>5</v>
      </c>
      <c r="F42" s="8">
        <v>2.4</v>
      </c>
      <c r="G42" s="12">
        <v>0</v>
      </c>
      <c r="H42" s="8">
        <v>0</v>
      </c>
      <c r="I42" s="12">
        <v>0</v>
      </c>
    </row>
    <row r="43" spans="2:9" ht="15" customHeight="1" x14ac:dyDescent="0.2">
      <c r="B43" t="s">
        <v>92</v>
      </c>
      <c r="C43" s="12">
        <v>4</v>
      </c>
      <c r="D43" s="8">
        <v>1.32</v>
      </c>
      <c r="E43" s="12">
        <v>2</v>
      </c>
      <c r="F43" s="8">
        <v>0.96</v>
      </c>
      <c r="G43" s="12">
        <v>2</v>
      </c>
      <c r="H43" s="8">
        <v>2.2000000000000002</v>
      </c>
      <c r="I43" s="12">
        <v>0</v>
      </c>
    </row>
    <row r="44" spans="2:9" ht="15" customHeight="1" x14ac:dyDescent="0.2">
      <c r="B44" t="s">
        <v>93</v>
      </c>
      <c r="C44" s="12">
        <v>4</v>
      </c>
      <c r="D44" s="8">
        <v>1.32</v>
      </c>
      <c r="E44" s="12">
        <v>4</v>
      </c>
      <c r="F44" s="8">
        <v>1.92</v>
      </c>
      <c r="G44" s="12">
        <v>0</v>
      </c>
      <c r="H44" s="8">
        <v>0</v>
      </c>
      <c r="I44" s="12">
        <v>0</v>
      </c>
    </row>
    <row r="47" spans="2:9" ht="33" customHeight="1" x14ac:dyDescent="0.2">
      <c r="B47" t="s">
        <v>234</v>
      </c>
      <c r="C47" s="10" t="s">
        <v>59</v>
      </c>
      <c r="D47" s="10" t="s">
        <v>60</v>
      </c>
      <c r="E47" s="10" t="s">
        <v>61</v>
      </c>
      <c r="F47" s="10" t="s">
        <v>62</v>
      </c>
      <c r="G47" s="10" t="s">
        <v>63</v>
      </c>
      <c r="H47" s="10" t="s">
        <v>64</v>
      </c>
      <c r="I47" s="10" t="s">
        <v>65</v>
      </c>
    </row>
    <row r="48" spans="2:9" ht="15" customHeight="1" x14ac:dyDescent="0.2">
      <c r="B48" t="s">
        <v>136</v>
      </c>
      <c r="C48" s="12">
        <v>14</v>
      </c>
      <c r="D48" s="8">
        <v>4.62</v>
      </c>
      <c r="E48" s="12">
        <v>13</v>
      </c>
      <c r="F48" s="8">
        <v>6.25</v>
      </c>
      <c r="G48" s="12">
        <v>1</v>
      </c>
      <c r="H48" s="8">
        <v>1.1000000000000001</v>
      </c>
      <c r="I48" s="12">
        <v>0</v>
      </c>
    </row>
    <row r="49" spans="2:9" ht="15" customHeight="1" x14ac:dyDescent="0.2">
      <c r="B49" t="s">
        <v>216</v>
      </c>
      <c r="C49" s="12">
        <v>13</v>
      </c>
      <c r="D49" s="8">
        <v>4.29</v>
      </c>
      <c r="E49" s="12">
        <v>10</v>
      </c>
      <c r="F49" s="8">
        <v>4.8099999999999996</v>
      </c>
      <c r="G49" s="12">
        <v>3</v>
      </c>
      <c r="H49" s="8">
        <v>3.3</v>
      </c>
      <c r="I49" s="12">
        <v>0</v>
      </c>
    </row>
    <row r="50" spans="2:9" ht="15" customHeight="1" x14ac:dyDescent="0.2">
      <c r="B50" t="s">
        <v>217</v>
      </c>
      <c r="C50" s="12">
        <v>11</v>
      </c>
      <c r="D50" s="8">
        <v>3.63</v>
      </c>
      <c r="E50" s="12">
        <v>7</v>
      </c>
      <c r="F50" s="8">
        <v>3.37</v>
      </c>
      <c r="G50" s="12">
        <v>4</v>
      </c>
      <c r="H50" s="8">
        <v>4.4000000000000004</v>
      </c>
      <c r="I50" s="12">
        <v>0</v>
      </c>
    </row>
    <row r="51" spans="2:9" ht="15" customHeight="1" x14ac:dyDescent="0.2">
      <c r="B51" t="s">
        <v>128</v>
      </c>
      <c r="C51" s="12">
        <v>10</v>
      </c>
      <c r="D51" s="8">
        <v>3.3</v>
      </c>
      <c r="E51" s="12">
        <v>5</v>
      </c>
      <c r="F51" s="8">
        <v>2.4</v>
      </c>
      <c r="G51" s="12">
        <v>5</v>
      </c>
      <c r="H51" s="8">
        <v>5.49</v>
      </c>
      <c r="I51" s="12">
        <v>0</v>
      </c>
    </row>
    <row r="52" spans="2:9" ht="15" customHeight="1" x14ac:dyDescent="0.2">
      <c r="B52" t="s">
        <v>138</v>
      </c>
      <c r="C52" s="12">
        <v>10</v>
      </c>
      <c r="D52" s="8">
        <v>3.3</v>
      </c>
      <c r="E52" s="12">
        <v>10</v>
      </c>
      <c r="F52" s="8">
        <v>4.8099999999999996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122</v>
      </c>
      <c r="C53" s="12">
        <v>9</v>
      </c>
      <c r="D53" s="8">
        <v>2.97</v>
      </c>
      <c r="E53" s="12">
        <v>2</v>
      </c>
      <c r="F53" s="8">
        <v>0.96</v>
      </c>
      <c r="G53" s="12">
        <v>7</v>
      </c>
      <c r="H53" s="8">
        <v>7.69</v>
      </c>
      <c r="I53" s="12">
        <v>0</v>
      </c>
    </row>
    <row r="54" spans="2:9" ht="15" customHeight="1" x14ac:dyDescent="0.2">
      <c r="B54" t="s">
        <v>124</v>
      </c>
      <c r="C54" s="12">
        <v>9</v>
      </c>
      <c r="D54" s="8">
        <v>2.97</v>
      </c>
      <c r="E54" s="12">
        <v>9</v>
      </c>
      <c r="F54" s="8">
        <v>4.33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125</v>
      </c>
      <c r="C55" s="12">
        <v>9</v>
      </c>
      <c r="D55" s="8">
        <v>2.97</v>
      </c>
      <c r="E55" s="12">
        <v>5</v>
      </c>
      <c r="F55" s="8">
        <v>2.4</v>
      </c>
      <c r="G55" s="12">
        <v>4</v>
      </c>
      <c r="H55" s="8">
        <v>4.4000000000000004</v>
      </c>
      <c r="I55" s="12">
        <v>0</v>
      </c>
    </row>
    <row r="56" spans="2:9" ht="15" customHeight="1" x14ac:dyDescent="0.2">
      <c r="B56" t="s">
        <v>148</v>
      </c>
      <c r="C56" s="12">
        <v>9</v>
      </c>
      <c r="D56" s="8">
        <v>2.97</v>
      </c>
      <c r="E56" s="12">
        <v>7</v>
      </c>
      <c r="F56" s="8">
        <v>3.37</v>
      </c>
      <c r="G56" s="12">
        <v>2</v>
      </c>
      <c r="H56" s="8">
        <v>2.2000000000000002</v>
      </c>
      <c r="I56" s="12">
        <v>0</v>
      </c>
    </row>
    <row r="57" spans="2:9" ht="15" customHeight="1" x14ac:dyDescent="0.2">
      <c r="B57" t="s">
        <v>127</v>
      </c>
      <c r="C57" s="12">
        <v>9</v>
      </c>
      <c r="D57" s="8">
        <v>2.97</v>
      </c>
      <c r="E57" s="12">
        <v>6</v>
      </c>
      <c r="F57" s="8">
        <v>2.88</v>
      </c>
      <c r="G57" s="12">
        <v>3</v>
      </c>
      <c r="H57" s="8">
        <v>3.3</v>
      </c>
      <c r="I57" s="12">
        <v>0</v>
      </c>
    </row>
    <row r="58" spans="2:9" ht="15" customHeight="1" x14ac:dyDescent="0.2">
      <c r="B58" t="s">
        <v>170</v>
      </c>
      <c r="C58" s="12">
        <v>9</v>
      </c>
      <c r="D58" s="8">
        <v>2.97</v>
      </c>
      <c r="E58" s="12">
        <v>3</v>
      </c>
      <c r="F58" s="8">
        <v>1.44</v>
      </c>
      <c r="G58" s="12">
        <v>6</v>
      </c>
      <c r="H58" s="8">
        <v>6.59</v>
      </c>
      <c r="I58" s="12">
        <v>0</v>
      </c>
    </row>
    <row r="59" spans="2:9" ht="15" customHeight="1" x14ac:dyDescent="0.2">
      <c r="B59" t="s">
        <v>137</v>
      </c>
      <c r="C59" s="12">
        <v>9</v>
      </c>
      <c r="D59" s="8">
        <v>2.97</v>
      </c>
      <c r="E59" s="12">
        <v>9</v>
      </c>
      <c r="F59" s="8">
        <v>4.33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157</v>
      </c>
      <c r="C60" s="12">
        <v>7</v>
      </c>
      <c r="D60" s="8">
        <v>2.31</v>
      </c>
      <c r="E60" s="12">
        <v>7</v>
      </c>
      <c r="F60" s="8">
        <v>3.37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123</v>
      </c>
      <c r="C61" s="12">
        <v>5</v>
      </c>
      <c r="D61" s="8">
        <v>1.65</v>
      </c>
      <c r="E61" s="12">
        <v>3</v>
      </c>
      <c r="F61" s="8">
        <v>1.44</v>
      </c>
      <c r="G61" s="12">
        <v>2</v>
      </c>
      <c r="H61" s="8">
        <v>2.2000000000000002</v>
      </c>
      <c r="I61" s="12">
        <v>0</v>
      </c>
    </row>
    <row r="62" spans="2:9" ht="15" customHeight="1" x14ac:dyDescent="0.2">
      <c r="B62" t="s">
        <v>147</v>
      </c>
      <c r="C62" s="12">
        <v>5</v>
      </c>
      <c r="D62" s="8">
        <v>1.65</v>
      </c>
      <c r="E62" s="12">
        <v>5</v>
      </c>
      <c r="F62" s="8">
        <v>2.4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196</v>
      </c>
      <c r="C63" s="12">
        <v>5</v>
      </c>
      <c r="D63" s="8">
        <v>1.65</v>
      </c>
      <c r="E63" s="12">
        <v>0</v>
      </c>
      <c r="F63" s="8">
        <v>0</v>
      </c>
      <c r="G63" s="12">
        <v>4</v>
      </c>
      <c r="H63" s="8">
        <v>4.4000000000000004</v>
      </c>
      <c r="I63" s="12">
        <v>0</v>
      </c>
    </row>
    <row r="64" spans="2:9" ht="15" customHeight="1" x14ac:dyDescent="0.2">
      <c r="B64" t="s">
        <v>158</v>
      </c>
      <c r="C64" s="12">
        <v>4</v>
      </c>
      <c r="D64" s="8">
        <v>1.32</v>
      </c>
      <c r="E64" s="12">
        <v>3</v>
      </c>
      <c r="F64" s="8">
        <v>1.44</v>
      </c>
      <c r="G64" s="12">
        <v>1</v>
      </c>
      <c r="H64" s="8">
        <v>1.1000000000000001</v>
      </c>
      <c r="I64" s="12">
        <v>0</v>
      </c>
    </row>
    <row r="65" spans="2:9" ht="15" customHeight="1" x14ac:dyDescent="0.2">
      <c r="B65" t="s">
        <v>130</v>
      </c>
      <c r="C65" s="12">
        <v>4</v>
      </c>
      <c r="D65" s="8">
        <v>1.32</v>
      </c>
      <c r="E65" s="12">
        <v>3</v>
      </c>
      <c r="F65" s="8">
        <v>1.44</v>
      </c>
      <c r="G65" s="12">
        <v>1</v>
      </c>
      <c r="H65" s="8">
        <v>1.1000000000000001</v>
      </c>
      <c r="I65" s="12">
        <v>0</v>
      </c>
    </row>
    <row r="66" spans="2:9" ht="15" customHeight="1" x14ac:dyDescent="0.2">
      <c r="B66" t="s">
        <v>131</v>
      </c>
      <c r="C66" s="12">
        <v>4</v>
      </c>
      <c r="D66" s="8">
        <v>1.32</v>
      </c>
      <c r="E66" s="12">
        <v>0</v>
      </c>
      <c r="F66" s="8">
        <v>0</v>
      </c>
      <c r="G66" s="12">
        <v>4</v>
      </c>
      <c r="H66" s="8">
        <v>4.4000000000000004</v>
      </c>
      <c r="I66" s="12">
        <v>0</v>
      </c>
    </row>
    <row r="67" spans="2:9" ht="15" customHeight="1" x14ac:dyDescent="0.2">
      <c r="B67" t="s">
        <v>139</v>
      </c>
      <c r="C67" s="12">
        <v>4</v>
      </c>
      <c r="D67" s="8">
        <v>1.32</v>
      </c>
      <c r="E67" s="12">
        <v>3</v>
      </c>
      <c r="F67" s="8">
        <v>1.44</v>
      </c>
      <c r="G67" s="12">
        <v>1</v>
      </c>
      <c r="H67" s="8">
        <v>1.1000000000000001</v>
      </c>
      <c r="I67" s="12">
        <v>0</v>
      </c>
    </row>
    <row r="68" spans="2:9" ht="15" customHeight="1" x14ac:dyDescent="0.2">
      <c r="B68" t="s">
        <v>140</v>
      </c>
      <c r="C68" s="12">
        <v>4</v>
      </c>
      <c r="D68" s="8">
        <v>1.32</v>
      </c>
      <c r="E68" s="12">
        <v>4</v>
      </c>
      <c r="F68" s="8">
        <v>1.92</v>
      </c>
      <c r="G68" s="12">
        <v>0</v>
      </c>
      <c r="H68" s="8">
        <v>0</v>
      </c>
      <c r="I68" s="12">
        <v>0</v>
      </c>
    </row>
    <row r="70" spans="2:9" ht="15" customHeight="1" x14ac:dyDescent="0.2">
      <c r="B70" t="s">
        <v>235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B9AFB-2467-42C4-A32B-D8F3866AA3F3}">
  <sheetPr>
    <pageSetUpPr fitToPage="1"/>
  </sheetPr>
  <dimension ref="B2:I7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274</v>
      </c>
    </row>
    <row r="4" spans="2:9" ht="33" customHeight="1" x14ac:dyDescent="0.2">
      <c r="B4" t="s">
        <v>231</v>
      </c>
      <c r="C4" s="10" t="s">
        <v>59</v>
      </c>
      <c r="D4" s="10" t="s">
        <v>60</v>
      </c>
      <c r="E4" s="10" t="s">
        <v>61</v>
      </c>
      <c r="F4" s="10" t="s">
        <v>62</v>
      </c>
      <c r="G4" s="10" t="s">
        <v>63</v>
      </c>
      <c r="H4" s="10" t="s">
        <v>64</v>
      </c>
      <c r="I4" s="10" t="s">
        <v>65</v>
      </c>
    </row>
    <row r="5" spans="2:9" ht="15" customHeight="1" x14ac:dyDescent="0.2">
      <c r="B5" t="s">
        <v>43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44</v>
      </c>
      <c r="C6" s="12">
        <v>106</v>
      </c>
      <c r="D6" s="8">
        <v>33.229999999999997</v>
      </c>
      <c r="E6" s="12">
        <v>52</v>
      </c>
      <c r="F6" s="8">
        <v>27.23</v>
      </c>
      <c r="G6" s="12">
        <v>54</v>
      </c>
      <c r="H6" s="8">
        <v>42.86</v>
      </c>
      <c r="I6" s="12">
        <v>0</v>
      </c>
    </row>
    <row r="7" spans="2:9" ht="15" customHeight="1" x14ac:dyDescent="0.2">
      <c r="B7" t="s">
        <v>45</v>
      </c>
      <c r="C7" s="12">
        <v>53</v>
      </c>
      <c r="D7" s="8">
        <v>16.61</v>
      </c>
      <c r="E7" s="12">
        <v>25</v>
      </c>
      <c r="F7" s="8">
        <v>13.09</v>
      </c>
      <c r="G7" s="12">
        <v>27</v>
      </c>
      <c r="H7" s="8">
        <v>21.43</v>
      </c>
      <c r="I7" s="12">
        <v>1</v>
      </c>
    </row>
    <row r="8" spans="2:9" ht="15" customHeight="1" x14ac:dyDescent="0.2">
      <c r="B8" t="s">
        <v>46</v>
      </c>
      <c r="C8" s="12">
        <v>3</v>
      </c>
      <c r="D8" s="8">
        <v>0.94</v>
      </c>
      <c r="E8" s="12">
        <v>0</v>
      </c>
      <c r="F8" s="8">
        <v>0</v>
      </c>
      <c r="G8" s="12">
        <v>3</v>
      </c>
      <c r="H8" s="8">
        <v>2.38</v>
      </c>
      <c r="I8" s="12">
        <v>0</v>
      </c>
    </row>
    <row r="9" spans="2:9" ht="15" customHeight="1" x14ac:dyDescent="0.2">
      <c r="B9" t="s">
        <v>47</v>
      </c>
      <c r="C9" s="12">
        <v>1</v>
      </c>
      <c r="D9" s="8">
        <v>0.31</v>
      </c>
      <c r="E9" s="12">
        <v>0</v>
      </c>
      <c r="F9" s="8">
        <v>0</v>
      </c>
      <c r="G9" s="12">
        <v>1</v>
      </c>
      <c r="H9" s="8">
        <v>0.79</v>
      </c>
      <c r="I9" s="12">
        <v>0</v>
      </c>
    </row>
    <row r="10" spans="2:9" ht="15" customHeight="1" x14ac:dyDescent="0.2">
      <c r="B10" t="s">
        <v>48</v>
      </c>
      <c r="C10" s="12">
        <v>6</v>
      </c>
      <c r="D10" s="8">
        <v>1.88</v>
      </c>
      <c r="E10" s="12">
        <v>3</v>
      </c>
      <c r="F10" s="8">
        <v>1.57</v>
      </c>
      <c r="G10" s="12">
        <v>2</v>
      </c>
      <c r="H10" s="8">
        <v>1.59</v>
      </c>
      <c r="I10" s="12">
        <v>1</v>
      </c>
    </row>
    <row r="11" spans="2:9" ht="15" customHeight="1" x14ac:dyDescent="0.2">
      <c r="B11" t="s">
        <v>49</v>
      </c>
      <c r="C11" s="12">
        <v>60</v>
      </c>
      <c r="D11" s="8">
        <v>18.809999999999999</v>
      </c>
      <c r="E11" s="12">
        <v>41</v>
      </c>
      <c r="F11" s="8">
        <v>21.47</v>
      </c>
      <c r="G11" s="12">
        <v>19</v>
      </c>
      <c r="H11" s="8">
        <v>15.08</v>
      </c>
      <c r="I11" s="12">
        <v>0</v>
      </c>
    </row>
    <row r="12" spans="2:9" ht="15" customHeight="1" x14ac:dyDescent="0.2">
      <c r="B12" t="s">
        <v>50</v>
      </c>
      <c r="C12" s="12">
        <v>1</v>
      </c>
      <c r="D12" s="8">
        <v>0.31</v>
      </c>
      <c r="E12" s="12">
        <v>0</v>
      </c>
      <c r="F12" s="8">
        <v>0</v>
      </c>
      <c r="G12" s="12">
        <v>1</v>
      </c>
      <c r="H12" s="8">
        <v>0.79</v>
      </c>
      <c r="I12" s="12">
        <v>0</v>
      </c>
    </row>
    <row r="13" spans="2:9" ht="15" customHeight="1" x14ac:dyDescent="0.2">
      <c r="B13" t="s">
        <v>51</v>
      </c>
      <c r="C13" s="12">
        <v>8</v>
      </c>
      <c r="D13" s="8">
        <v>2.5099999999999998</v>
      </c>
      <c r="E13" s="12">
        <v>1</v>
      </c>
      <c r="F13" s="8">
        <v>0.52</v>
      </c>
      <c r="G13" s="12">
        <v>7</v>
      </c>
      <c r="H13" s="8">
        <v>5.56</v>
      </c>
      <c r="I13" s="12">
        <v>0</v>
      </c>
    </row>
    <row r="14" spans="2:9" ht="15" customHeight="1" x14ac:dyDescent="0.2">
      <c r="B14" t="s">
        <v>52</v>
      </c>
      <c r="C14" s="12">
        <v>4</v>
      </c>
      <c r="D14" s="8">
        <v>1.25</v>
      </c>
      <c r="E14" s="12">
        <v>4</v>
      </c>
      <c r="F14" s="8">
        <v>2.09</v>
      </c>
      <c r="G14" s="12">
        <v>0</v>
      </c>
      <c r="H14" s="8">
        <v>0</v>
      </c>
      <c r="I14" s="12">
        <v>0</v>
      </c>
    </row>
    <row r="15" spans="2:9" ht="15" customHeight="1" x14ac:dyDescent="0.2">
      <c r="B15" t="s">
        <v>53</v>
      </c>
      <c r="C15" s="12">
        <v>26</v>
      </c>
      <c r="D15" s="8">
        <v>8.15</v>
      </c>
      <c r="E15" s="12">
        <v>23</v>
      </c>
      <c r="F15" s="8">
        <v>12.04</v>
      </c>
      <c r="G15" s="12">
        <v>3</v>
      </c>
      <c r="H15" s="8">
        <v>2.38</v>
      </c>
      <c r="I15" s="12">
        <v>0</v>
      </c>
    </row>
    <row r="16" spans="2:9" ht="15" customHeight="1" x14ac:dyDescent="0.2">
      <c r="B16" t="s">
        <v>54</v>
      </c>
      <c r="C16" s="12">
        <v>34</v>
      </c>
      <c r="D16" s="8">
        <v>10.66</v>
      </c>
      <c r="E16" s="12">
        <v>30</v>
      </c>
      <c r="F16" s="8">
        <v>15.71</v>
      </c>
      <c r="G16" s="12">
        <v>4</v>
      </c>
      <c r="H16" s="8">
        <v>3.17</v>
      </c>
      <c r="I16" s="12">
        <v>0</v>
      </c>
    </row>
    <row r="17" spans="2:9" ht="15" customHeight="1" x14ac:dyDescent="0.2">
      <c r="B17" t="s">
        <v>55</v>
      </c>
      <c r="C17" s="12">
        <v>5</v>
      </c>
      <c r="D17" s="8">
        <v>1.57</v>
      </c>
      <c r="E17" s="12">
        <v>3</v>
      </c>
      <c r="F17" s="8">
        <v>1.57</v>
      </c>
      <c r="G17" s="12">
        <v>2</v>
      </c>
      <c r="H17" s="8">
        <v>1.59</v>
      </c>
      <c r="I17" s="12">
        <v>0</v>
      </c>
    </row>
    <row r="18" spans="2:9" ht="15" customHeight="1" x14ac:dyDescent="0.2">
      <c r="B18" t="s">
        <v>56</v>
      </c>
      <c r="C18" s="12">
        <v>5</v>
      </c>
      <c r="D18" s="8">
        <v>1.57</v>
      </c>
      <c r="E18" s="12">
        <v>4</v>
      </c>
      <c r="F18" s="8">
        <v>2.09</v>
      </c>
      <c r="G18" s="12">
        <v>1</v>
      </c>
      <c r="H18" s="8">
        <v>0.79</v>
      </c>
      <c r="I18" s="12">
        <v>0</v>
      </c>
    </row>
    <row r="19" spans="2:9" ht="15" customHeight="1" x14ac:dyDescent="0.2">
      <c r="B19" t="s">
        <v>57</v>
      </c>
      <c r="C19" s="12">
        <v>7</v>
      </c>
      <c r="D19" s="8">
        <v>2.19</v>
      </c>
      <c r="E19" s="12">
        <v>5</v>
      </c>
      <c r="F19" s="8">
        <v>2.62</v>
      </c>
      <c r="G19" s="12">
        <v>2</v>
      </c>
      <c r="H19" s="8">
        <v>1.59</v>
      </c>
      <c r="I19" s="12">
        <v>0</v>
      </c>
    </row>
    <row r="20" spans="2:9" ht="15" customHeight="1" x14ac:dyDescent="0.2">
      <c r="B20" s="9" t="s">
        <v>232</v>
      </c>
      <c r="C20" s="12">
        <f>SUM(LTBL_21506[総数／事業所数])</f>
        <v>319</v>
      </c>
      <c r="E20" s="12">
        <f>SUBTOTAL(109,LTBL_21506[個人／事業所数])</f>
        <v>191</v>
      </c>
      <c r="G20" s="12">
        <f>SUBTOTAL(109,LTBL_21506[法人／事業所数])</f>
        <v>126</v>
      </c>
      <c r="I20" s="12">
        <f>SUBTOTAL(109,LTBL_21506[法人以外の団体／事業所数])</f>
        <v>2</v>
      </c>
    </row>
    <row r="21" spans="2:9" ht="15" customHeight="1" x14ac:dyDescent="0.2">
      <c r="E21" s="11">
        <f>LTBL_21506[[#Totals],[個人／事業所数]]/LTBL_21506[[#Totals],[総数／事業所数]]</f>
        <v>0.59874608150470221</v>
      </c>
      <c r="G21" s="11">
        <f>LTBL_21506[[#Totals],[法人／事業所数]]/LTBL_21506[[#Totals],[総数／事業所数]]</f>
        <v>0.39498432601880878</v>
      </c>
      <c r="I21" s="11">
        <f>LTBL_21506[[#Totals],[法人以外の団体／事業所数]]/LTBL_21506[[#Totals],[総数／事業所数]]</f>
        <v>6.269592476489028E-3</v>
      </c>
    </row>
    <row r="23" spans="2:9" ht="33" customHeight="1" x14ac:dyDescent="0.2">
      <c r="B23" t="s">
        <v>233</v>
      </c>
      <c r="C23" s="10" t="s">
        <v>59</v>
      </c>
      <c r="D23" s="10" t="s">
        <v>60</v>
      </c>
      <c r="E23" s="10" t="s">
        <v>61</v>
      </c>
      <c r="F23" s="10" t="s">
        <v>62</v>
      </c>
      <c r="G23" s="10" t="s">
        <v>63</v>
      </c>
      <c r="H23" s="10" t="s">
        <v>64</v>
      </c>
      <c r="I23" s="10" t="s">
        <v>65</v>
      </c>
    </row>
    <row r="24" spans="2:9" ht="15" customHeight="1" x14ac:dyDescent="0.2">
      <c r="B24" t="s">
        <v>66</v>
      </c>
      <c r="C24" s="12">
        <v>54</v>
      </c>
      <c r="D24" s="8">
        <v>16.93</v>
      </c>
      <c r="E24" s="12">
        <v>17</v>
      </c>
      <c r="F24" s="8">
        <v>8.9</v>
      </c>
      <c r="G24" s="12">
        <v>37</v>
      </c>
      <c r="H24" s="8">
        <v>29.37</v>
      </c>
      <c r="I24" s="12">
        <v>0</v>
      </c>
    </row>
    <row r="25" spans="2:9" ht="15" customHeight="1" x14ac:dyDescent="0.2">
      <c r="B25" t="s">
        <v>67</v>
      </c>
      <c r="C25" s="12">
        <v>34</v>
      </c>
      <c r="D25" s="8">
        <v>10.66</v>
      </c>
      <c r="E25" s="12">
        <v>26</v>
      </c>
      <c r="F25" s="8">
        <v>13.61</v>
      </c>
      <c r="G25" s="12">
        <v>8</v>
      </c>
      <c r="H25" s="8">
        <v>6.35</v>
      </c>
      <c r="I25" s="12">
        <v>0</v>
      </c>
    </row>
    <row r="26" spans="2:9" ht="15" customHeight="1" x14ac:dyDescent="0.2">
      <c r="B26" t="s">
        <v>82</v>
      </c>
      <c r="C26" s="12">
        <v>30</v>
      </c>
      <c r="D26" s="8">
        <v>9.4</v>
      </c>
      <c r="E26" s="12">
        <v>30</v>
      </c>
      <c r="F26" s="8">
        <v>15.71</v>
      </c>
      <c r="G26" s="12">
        <v>0</v>
      </c>
      <c r="H26" s="8">
        <v>0</v>
      </c>
      <c r="I26" s="12">
        <v>0</v>
      </c>
    </row>
    <row r="27" spans="2:9" ht="15" customHeight="1" x14ac:dyDescent="0.2">
      <c r="B27" t="s">
        <v>81</v>
      </c>
      <c r="C27" s="12">
        <v>22</v>
      </c>
      <c r="D27" s="8">
        <v>6.9</v>
      </c>
      <c r="E27" s="12">
        <v>20</v>
      </c>
      <c r="F27" s="8">
        <v>10.47</v>
      </c>
      <c r="G27" s="12">
        <v>2</v>
      </c>
      <c r="H27" s="8">
        <v>1.59</v>
      </c>
      <c r="I27" s="12">
        <v>0</v>
      </c>
    </row>
    <row r="28" spans="2:9" ht="15" customHeight="1" x14ac:dyDescent="0.2">
      <c r="B28" t="s">
        <v>77</v>
      </c>
      <c r="C28" s="12">
        <v>21</v>
      </c>
      <c r="D28" s="8">
        <v>6.58</v>
      </c>
      <c r="E28" s="12">
        <v>18</v>
      </c>
      <c r="F28" s="8">
        <v>9.42</v>
      </c>
      <c r="G28" s="12">
        <v>3</v>
      </c>
      <c r="H28" s="8">
        <v>2.38</v>
      </c>
      <c r="I28" s="12">
        <v>0</v>
      </c>
    </row>
    <row r="29" spans="2:9" ht="15" customHeight="1" x14ac:dyDescent="0.2">
      <c r="B29" t="s">
        <v>68</v>
      </c>
      <c r="C29" s="12">
        <v>18</v>
      </c>
      <c r="D29" s="8">
        <v>5.64</v>
      </c>
      <c r="E29" s="12">
        <v>9</v>
      </c>
      <c r="F29" s="8">
        <v>4.71</v>
      </c>
      <c r="G29" s="12">
        <v>9</v>
      </c>
      <c r="H29" s="8">
        <v>7.14</v>
      </c>
      <c r="I29" s="12">
        <v>0</v>
      </c>
    </row>
    <row r="30" spans="2:9" ht="15" customHeight="1" x14ac:dyDescent="0.2">
      <c r="B30" t="s">
        <v>75</v>
      </c>
      <c r="C30" s="12">
        <v>17</v>
      </c>
      <c r="D30" s="8">
        <v>5.33</v>
      </c>
      <c r="E30" s="12">
        <v>14</v>
      </c>
      <c r="F30" s="8">
        <v>7.33</v>
      </c>
      <c r="G30" s="12">
        <v>3</v>
      </c>
      <c r="H30" s="8">
        <v>2.38</v>
      </c>
      <c r="I30" s="12">
        <v>0</v>
      </c>
    </row>
    <row r="31" spans="2:9" ht="15" customHeight="1" x14ac:dyDescent="0.2">
      <c r="B31" t="s">
        <v>93</v>
      </c>
      <c r="C31" s="12">
        <v>15</v>
      </c>
      <c r="D31" s="8">
        <v>4.7</v>
      </c>
      <c r="E31" s="12">
        <v>12</v>
      </c>
      <c r="F31" s="8">
        <v>6.28</v>
      </c>
      <c r="G31" s="12">
        <v>3</v>
      </c>
      <c r="H31" s="8">
        <v>2.38</v>
      </c>
      <c r="I31" s="12">
        <v>0</v>
      </c>
    </row>
    <row r="32" spans="2:9" ht="15" customHeight="1" x14ac:dyDescent="0.2">
      <c r="B32" t="s">
        <v>76</v>
      </c>
      <c r="C32" s="12">
        <v>11</v>
      </c>
      <c r="D32" s="8">
        <v>3.45</v>
      </c>
      <c r="E32" s="12">
        <v>3</v>
      </c>
      <c r="F32" s="8">
        <v>1.57</v>
      </c>
      <c r="G32" s="12">
        <v>8</v>
      </c>
      <c r="H32" s="8">
        <v>6.35</v>
      </c>
      <c r="I32" s="12">
        <v>0</v>
      </c>
    </row>
    <row r="33" spans="2:9" ht="15" customHeight="1" x14ac:dyDescent="0.2">
      <c r="B33" t="s">
        <v>92</v>
      </c>
      <c r="C33" s="12">
        <v>9</v>
      </c>
      <c r="D33" s="8">
        <v>2.82</v>
      </c>
      <c r="E33" s="12">
        <v>4</v>
      </c>
      <c r="F33" s="8">
        <v>2.09</v>
      </c>
      <c r="G33" s="12">
        <v>5</v>
      </c>
      <c r="H33" s="8">
        <v>3.97</v>
      </c>
      <c r="I33" s="12">
        <v>0</v>
      </c>
    </row>
    <row r="34" spans="2:9" ht="15" customHeight="1" x14ac:dyDescent="0.2">
      <c r="B34" t="s">
        <v>91</v>
      </c>
      <c r="C34" s="12">
        <v>6</v>
      </c>
      <c r="D34" s="8">
        <v>1.88</v>
      </c>
      <c r="E34" s="12">
        <v>2</v>
      </c>
      <c r="F34" s="8">
        <v>1.05</v>
      </c>
      <c r="G34" s="12">
        <v>3</v>
      </c>
      <c r="H34" s="8">
        <v>2.38</v>
      </c>
      <c r="I34" s="12">
        <v>1</v>
      </c>
    </row>
    <row r="35" spans="2:9" ht="15" customHeight="1" x14ac:dyDescent="0.2">
      <c r="B35" t="s">
        <v>78</v>
      </c>
      <c r="C35" s="12">
        <v>6</v>
      </c>
      <c r="D35" s="8">
        <v>1.88</v>
      </c>
      <c r="E35" s="12">
        <v>0</v>
      </c>
      <c r="F35" s="8">
        <v>0</v>
      </c>
      <c r="G35" s="12">
        <v>6</v>
      </c>
      <c r="H35" s="8">
        <v>4.76</v>
      </c>
      <c r="I35" s="12">
        <v>0</v>
      </c>
    </row>
    <row r="36" spans="2:9" ht="15" customHeight="1" x14ac:dyDescent="0.2">
      <c r="B36" t="s">
        <v>107</v>
      </c>
      <c r="C36" s="12">
        <v>5</v>
      </c>
      <c r="D36" s="8">
        <v>1.57</v>
      </c>
      <c r="E36" s="12">
        <v>0</v>
      </c>
      <c r="F36" s="8">
        <v>0</v>
      </c>
      <c r="G36" s="12">
        <v>5</v>
      </c>
      <c r="H36" s="8">
        <v>3.97</v>
      </c>
      <c r="I36" s="12">
        <v>0</v>
      </c>
    </row>
    <row r="37" spans="2:9" ht="15" customHeight="1" x14ac:dyDescent="0.2">
      <c r="B37" t="s">
        <v>111</v>
      </c>
      <c r="C37" s="12">
        <v>5</v>
      </c>
      <c r="D37" s="8">
        <v>1.57</v>
      </c>
      <c r="E37" s="12">
        <v>3</v>
      </c>
      <c r="F37" s="8">
        <v>1.57</v>
      </c>
      <c r="G37" s="12">
        <v>2</v>
      </c>
      <c r="H37" s="8">
        <v>1.59</v>
      </c>
      <c r="I37" s="12">
        <v>0</v>
      </c>
    </row>
    <row r="38" spans="2:9" ht="15" customHeight="1" x14ac:dyDescent="0.2">
      <c r="B38" t="s">
        <v>83</v>
      </c>
      <c r="C38" s="12">
        <v>5</v>
      </c>
      <c r="D38" s="8">
        <v>1.57</v>
      </c>
      <c r="E38" s="12">
        <v>3</v>
      </c>
      <c r="F38" s="8">
        <v>1.57</v>
      </c>
      <c r="G38" s="12">
        <v>2</v>
      </c>
      <c r="H38" s="8">
        <v>1.59</v>
      </c>
      <c r="I38" s="12">
        <v>0</v>
      </c>
    </row>
    <row r="39" spans="2:9" ht="15" customHeight="1" x14ac:dyDescent="0.2">
      <c r="B39" t="s">
        <v>95</v>
      </c>
      <c r="C39" s="12">
        <v>4</v>
      </c>
      <c r="D39" s="8">
        <v>1.25</v>
      </c>
      <c r="E39" s="12">
        <v>3</v>
      </c>
      <c r="F39" s="8">
        <v>1.57</v>
      </c>
      <c r="G39" s="12">
        <v>1</v>
      </c>
      <c r="H39" s="8">
        <v>0.79</v>
      </c>
      <c r="I39" s="12">
        <v>0</v>
      </c>
    </row>
    <row r="40" spans="2:9" ht="15" customHeight="1" x14ac:dyDescent="0.2">
      <c r="B40" t="s">
        <v>84</v>
      </c>
      <c r="C40" s="12">
        <v>4</v>
      </c>
      <c r="D40" s="8">
        <v>1.25</v>
      </c>
      <c r="E40" s="12">
        <v>4</v>
      </c>
      <c r="F40" s="8">
        <v>2.09</v>
      </c>
      <c r="G40" s="12">
        <v>0</v>
      </c>
      <c r="H40" s="8">
        <v>0</v>
      </c>
      <c r="I40" s="12">
        <v>0</v>
      </c>
    </row>
    <row r="41" spans="2:9" ht="15" customHeight="1" x14ac:dyDescent="0.2">
      <c r="B41" t="s">
        <v>71</v>
      </c>
      <c r="C41" s="12">
        <v>3</v>
      </c>
      <c r="D41" s="8">
        <v>0.94</v>
      </c>
      <c r="E41" s="12">
        <v>1</v>
      </c>
      <c r="F41" s="8">
        <v>0.52</v>
      </c>
      <c r="G41" s="12">
        <v>2</v>
      </c>
      <c r="H41" s="8">
        <v>1.59</v>
      </c>
      <c r="I41" s="12">
        <v>0</v>
      </c>
    </row>
    <row r="42" spans="2:9" ht="15" customHeight="1" x14ac:dyDescent="0.2">
      <c r="B42" t="s">
        <v>94</v>
      </c>
      <c r="C42" s="12">
        <v>3</v>
      </c>
      <c r="D42" s="8">
        <v>0.94</v>
      </c>
      <c r="E42" s="12">
        <v>1</v>
      </c>
      <c r="F42" s="8">
        <v>0.52</v>
      </c>
      <c r="G42" s="12">
        <v>2</v>
      </c>
      <c r="H42" s="8">
        <v>1.59</v>
      </c>
      <c r="I42" s="12">
        <v>0</v>
      </c>
    </row>
    <row r="43" spans="2:9" ht="15" customHeight="1" x14ac:dyDescent="0.2">
      <c r="B43" t="s">
        <v>114</v>
      </c>
      <c r="C43" s="12">
        <v>3</v>
      </c>
      <c r="D43" s="8">
        <v>0.94</v>
      </c>
      <c r="E43" s="12">
        <v>0</v>
      </c>
      <c r="F43" s="8">
        <v>0</v>
      </c>
      <c r="G43" s="12">
        <v>3</v>
      </c>
      <c r="H43" s="8">
        <v>2.38</v>
      </c>
      <c r="I43" s="12">
        <v>0</v>
      </c>
    </row>
    <row r="44" spans="2:9" ht="15" customHeight="1" x14ac:dyDescent="0.2">
      <c r="B44" t="s">
        <v>79</v>
      </c>
      <c r="C44" s="12">
        <v>3</v>
      </c>
      <c r="D44" s="8">
        <v>0.94</v>
      </c>
      <c r="E44" s="12">
        <v>3</v>
      </c>
      <c r="F44" s="8">
        <v>1.57</v>
      </c>
      <c r="G44" s="12">
        <v>0</v>
      </c>
      <c r="H44" s="8">
        <v>0</v>
      </c>
      <c r="I44" s="12">
        <v>0</v>
      </c>
    </row>
    <row r="45" spans="2:9" ht="15" customHeight="1" x14ac:dyDescent="0.2">
      <c r="B45" t="s">
        <v>109</v>
      </c>
      <c r="C45" s="12">
        <v>3</v>
      </c>
      <c r="D45" s="8">
        <v>0.94</v>
      </c>
      <c r="E45" s="12">
        <v>0</v>
      </c>
      <c r="F45" s="8">
        <v>0</v>
      </c>
      <c r="G45" s="12">
        <v>3</v>
      </c>
      <c r="H45" s="8">
        <v>2.38</v>
      </c>
      <c r="I45" s="12">
        <v>0</v>
      </c>
    </row>
    <row r="46" spans="2:9" ht="15" customHeight="1" x14ac:dyDescent="0.2">
      <c r="B46" t="s">
        <v>85</v>
      </c>
      <c r="C46" s="12">
        <v>3</v>
      </c>
      <c r="D46" s="8">
        <v>0.94</v>
      </c>
      <c r="E46" s="12">
        <v>2</v>
      </c>
      <c r="F46" s="8">
        <v>1.05</v>
      </c>
      <c r="G46" s="12">
        <v>1</v>
      </c>
      <c r="H46" s="8">
        <v>0.79</v>
      </c>
      <c r="I46" s="12">
        <v>0</v>
      </c>
    </row>
    <row r="47" spans="2:9" ht="15" customHeight="1" x14ac:dyDescent="0.2">
      <c r="B47" t="s">
        <v>106</v>
      </c>
      <c r="C47" s="12">
        <v>3</v>
      </c>
      <c r="D47" s="8">
        <v>0.94</v>
      </c>
      <c r="E47" s="12">
        <v>3</v>
      </c>
      <c r="F47" s="8">
        <v>1.57</v>
      </c>
      <c r="G47" s="12">
        <v>0</v>
      </c>
      <c r="H47" s="8">
        <v>0</v>
      </c>
      <c r="I47" s="12">
        <v>0</v>
      </c>
    </row>
    <row r="50" spans="2:9" ht="33" customHeight="1" x14ac:dyDescent="0.2">
      <c r="B50" t="s">
        <v>234</v>
      </c>
      <c r="C50" s="10" t="s">
        <v>59</v>
      </c>
      <c r="D50" s="10" t="s">
        <v>60</v>
      </c>
      <c r="E50" s="10" t="s">
        <v>61</v>
      </c>
      <c r="F50" s="10" t="s">
        <v>62</v>
      </c>
      <c r="G50" s="10" t="s">
        <v>63</v>
      </c>
      <c r="H50" s="10" t="s">
        <v>64</v>
      </c>
      <c r="I50" s="10" t="s">
        <v>65</v>
      </c>
    </row>
    <row r="51" spans="2:9" ht="15" customHeight="1" x14ac:dyDescent="0.2">
      <c r="B51" t="s">
        <v>124</v>
      </c>
      <c r="C51" s="12">
        <v>28</v>
      </c>
      <c r="D51" s="8">
        <v>8.7799999999999994</v>
      </c>
      <c r="E51" s="12">
        <v>11</v>
      </c>
      <c r="F51" s="8">
        <v>5.76</v>
      </c>
      <c r="G51" s="12">
        <v>17</v>
      </c>
      <c r="H51" s="8">
        <v>13.49</v>
      </c>
      <c r="I51" s="12">
        <v>0</v>
      </c>
    </row>
    <row r="52" spans="2:9" ht="15" customHeight="1" x14ac:dyDescent="0.2">
      <c r="B52" t="s">
        <v>138</v>
      </c>
      <c r="C52" s="12">
        <v>19</v>
      </c>
      <c r="D52" s="8">
        <v>5.96</v>
      </c>
      <c r="E52" s="12">
        <v>19</v>
      </c>
      <c r="F52" s="8">
        <v>9.9499999999999993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122</v>
      </c>
      <c r="C53" s="12">
        <v>15</v>
      </c>
      <c r="D53" s="8">
        <v>4.7</v>
      </c>
      <c r="E53" s="12">
        <v>3</v>
      </c>
      <c r="F53" s="8">
        <v>1.57</v>
      </c>
      <c r="G53" s="12">
        <v>12</v>
      </c>
      <c r="H53" s="8">
        <v>9.52</v>
      </c>
      <c r="I53" s="12">
        <v>0</v>
      </c>
    </row>
    <row r="54" spans="2:9" ht="15" customHeight="1" x14ac:dyDescent="0.2">
      <c r="B54" t="s">
        <v>191</v>
      </c>
      <c r="C54" s="12">
        <v>11</v>
      </c>
      <c r="D54" s="8">
        <v>3.45</v>
      </c>
      <c r="E54" s="12">
        <v>10</v>
      </c>
      <c r="F54" s="8">
        <v>5.24</v>
      </c>
      <c r="G54" s="12">
        <v>1</v>
      </c>
      <c r="H54" s="8">
        <v>0.79</v>
      </c>
      <c r="I54" s="12">
        <v>0</v>
      </c>
    </row>
    <row r="55" spans="2:9" ht="15" customHeight="1" x14ac:dyDescent="0.2">
      <c r="B55" t="s">
        <v>137</v>
      </c>
      <c r="C55" s="12">
        <v>10</v>
      </c>
      <c r="D55" s="8">
        <v>3.13</v>
      </c>
      <c r="E55" s="12">
        <v>10</v>
      </c>
      <c r="F55" s="8">
        <v>5.24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125</v>
      </c>
      <c r="C56" s="12">
        <v>9</v>
      </c>
      <c r="D56" s="8">
        <v>2.82</v>
      </c>
      <c r="E56" s="12">
        <v>3</v>
      </c>
      <c r="F56" s="8">
        <v>1.57</v>
      </c>
      <c r="G56" s="12">
        <v>6</v>
      </c>
      <c r="H56" s="8">
        <v>4.76</v>
      </c>
      <c r="I56" s="12">
        <v>0</v>
      </c>
    </row>
    <row r="57" spans="2:9" ht="15" customHeight="1" x14ac:dyDescent="0.2">
      <c r="B57" t="s">
        <v>127</v>
      </c>
      <c r="C57" s="12">
        <v>9</v>
      </c>
      <c r="D57" s="8">
        <v>2.82</v>
      </c>
      <c r="E57" s="12">
        <v>6</v>
      </c>
      <c r="F57" s="8">
        <v>3.14</v>
      </c>
      <c r="G57" s="12">
        <v>3</v>
      </c>
      <c r="H57" s="8">
        <v>2.38</v>
      </c>
      <c r="I57" s="12">
        <v>0</v>
      </c>
    </row>
    <row r="58" spans="2:9" ht="15" customHeight="1" x14ac:dyDescent="0.2">
      <c r="B58" t="s">
        <v>147</v>
      </c>
      <c r="C58" s="12">
        <v>8</v>
      </c>
      <c r="D58" s="8">
        <v>2.5099999999999998</v>
      </c>
      <c r="E58" s="12">
        <v>6</v>
      </c>
      <c r="F58" s="8">
        <v>3.14</v>
      </c>
      <c r="G58" s="12">
        <v>2</v>
      </c>
      <c r="H58" s="8">
        <v>1.59</v>
      </c>
      <c r="I58" s="12">
        <v>0</v>
      </c>
    </row>
    <row r="59" spans="2:9" ht="15" customHeight="1" x14ac:dyDescent="0.2">
      <c r="B59" t="s">
        <v>158</v>
      </c>
      <c r="C59" s="12">
        <v>8</v>
      </c>
      <c r="D59" s="8">
        <v>2.5099999999999998</v>
      </c>
      <c r="E59" s="12">
        <v>5</v>
      </c>
      <c r="F59" s="8">
        <v>2.62</v>
      </c>
      <c r="G59" s="12">
        <v>3</v>
      </c>
      <c r="H59" s="8">
        <v>2.38</v>
      </c>
      <c r="I59" s="12">
        <v>0</v>
      </c>
    </row>
    <row r="60" spans="2:9" ht="15" customHeight="1" x14ac:dyDescent="0.2">
      <c r="B60" t="s">
        <v>123</v>
      </c>
      <c r="C60" s="12">
        <v>7</v>
      </c>
      <c r="D60" s="8">
        <v>2.19</v>
      </c>
      <c r="E60" s="12">
        <v>2</v>
      </c>
      <c r="F60" s="8">
        <v>1.05</v>
      </c>
      <c r="G60" s="12">
        <v>5</v>
      </c>
      <c r="H60" s="8">
        <v>3.97</v>
      </c>
      <c r="I60" s="12">
        <v>0</v>
      </c>
    </row>
    <row r="61" spans="2:9" ht="15" customHeight="1" x14ac:dyDescent="0.2">
      <c r="B61" t="s">
        <v>128</v>
      </c>
      <c r="C61" s="12">
        <v>7</v>
      </c>
      <c r="D61" s="8">
        <v>2.19</v>
      </c>
      <c r="E61" s="12">
        <v>1</v>
      </c>
      <c r="F61" s="8">
        <v>0.52</v>
      </c>
      <c r="G61" s="12">
        <v>6</v>
      </c>
      <c r="H61" s="8">
        <v>4.76</v>
      </c>
      <c r="I61" s="12">
        <v>0</v>
      </c>
    </row>
    <row r="62" spans="2:9" ht="15" customHeight="1" x14ac:dyDescent="0.2">
      <c r="B62" t="s">
        <v>136</v>
      </c>
      <c r="C62" s="12">
        <v>7</v>
      </c>
      <c r="D62" s="8">
        <v>2.19</v>
      </c>
      <c r="E62" s="12">
        <v>7</v>
      </c>
      <c r="F62" s="8">
        <v>3.66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192</v>
      </c>
      <c r="C63" s="12">
        <v>6</v>
      </c>
      <c r="D63" s="8">
        <v>1.88</v>
      </c>
      <c r="E63" s="12">
        <v>5</v>
      </c>
      <c r="F63" s="8">
        <v>2.62</v>
      </c>
      <c r="G63" s="12">
        <v>1</v>
      </c>
      <c r="H63" s="8">
        <v>0.79</v>
      </c>
      <c r="I63" s="12">
        <v>0</v>
      </c>
    </row>
    <row r="64" spans="2:9" ht="15" customHeight="1" x14ac:dyDescent="0.2">
      <c r="B64" t="s">
        <v>183</v>
      </c>
      <c r="C64" s="12">
        <v>6</v>
      </c>
      <c r="D64" s="8">
        <v>1.88</v>
      </c>
      <c r="E64" s="12">
        <v>5</v>
      </c>
      <c r="F64" s="8">
        <v>2.62</v>
      </c>
      <c r="G64" s="12">
        <v>1</v>
      </c>
      <c r="H64" s="8">
        <v>0.79</v>
      </c>
      <c r="I64" s="12">
        <v>0</v>
      </c>
    </row>
    <row r="65" spans="2:9" ht="15" customHeight="1" x14ac:dyDescent="0.2">
      <c r="B65" t="s">
        <v>218</v>
      </c>
      <c r="C65" s="12">
        <v>5</v>
      </c>
      <c r="D65" s="8">
        <v>1.57</v>
      </c>
      <c r="E65" s="12">
        <v>0</v>
      </c>
      <c r="F65" s="8">
        <v>0</v>
      </c>
      <c r="G65" s="12">
        <v>5</v>
      </c>
      <c r="H65" s="8">
        <v>3.97</v>
      </c>
      <c r="I65" s="12">
        <v>0</v>
      </c>
    </row>
    <row r="66" spans="2:9" ht="15" customHeight="1" x14ac:dyDescent="0.2">
      <c r="B66" t="s">
        <v>181</v>
      </c>
      <c r="C66" s="12">
        <v>5</v>
      </c>
      <c r="D66" s="8">
        <v>1.57</v>
      </c>
      <c r="E66" s="12">
        <v>5</v>
      </c>
      <c r="F66" s="8">
        <v>2.62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134</v>
      </c>
      <c r="C67" s="12">
        <v>5</v>
      </c>
      <c r="D67" s="8">
        <v>1.57</v>
      </c>
      <c r="E67" s="12">
        <v>4</v>
      </c>
      <c r="F67" s="8">
        <v>2.09</v>
      </c>
      <c r="G67" s="12">
        <v>1</v>
      </c>
      <c r="H67" s="8">
        <v>0.79</v>
      </c>
      <c r="I67" s="12">
        <v>0</v>
      </c>
    </row>
    <row r="68" spans="2:9" ht="15" customHeight="1" x14ac:dyDescent="0.2">
      <c r="B68" t="s">
        <v>220</v>
      </c>
      <c r="C68" s="12">
        <v>5</v>
      </c>
      <c r="D68" s="8">
        <v>1.57</v>
      </c>
      <c r="E68" s="12">
        <v>5</v>
      </c>
      <c r="F68" s="8">
        <v>2.62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190</v>
      </c>
      <c r="C69" s="12">
        <v>4</v>
      </c>
      <c r="D69" s="8">
        <v>1.25</v>
      </c>
      <c r="E69" s="12">
        <v>1</v>
      </c>
      <c r="F69" s="8">
        <v>0.52</v>
      </c>
      <c r="G69" s="12">
        <v>3</v>
      </c>
      <c r="H69" s="8">
        <v>2.38</v>
      </c>
      <c r="I69" s="12">
        <v>0</v>
      </c>
    </row>
    <row r="70" spans="2:9" ht="15" customHeight="1" x14ac:dyDescent="0.2">
      <c r="B70" t="s">
        <v>189</v>
      </c>
      <c r="C70" s="12">
        <v>4</v>
      </c>
      <c r="D70" s="8">
        <v>1.25</v>
      </c>
      <c r="E70" s="12">
        <v>2</v>
      </c>
      <c r="F70" s="8">
        <v>1.05</v>
      </c>
      <c r="G70" s="12">
        <v>2</v>
      </c>
      <c r="H70" s="8">
        <v>1.59</v>
      </c>
      <c r="I70" s="12">
        <v>0</v>
      </c>
    </row>
    <row r="71" spans="2:9" ht="15" customHeight="1" x14ac:dyDescent="0.2">
      <c r="B71" t="s">
        <v>165</v>
      </c>
      <c r="C71" s="12">
        <v>4</v>
      </c>
      <c r="D71" s="8">
        <v>1.25</v>
      </c>
      <c r="E71" s="12">
        <v>2</v>
      </c>
      <c r="F71" s="8">
        <v>1.05</v>
      </c>
      <c r="G71" s="12">
        <v>2</v>
      </c>
      <c r="H71" s="8">
        <v>1.59</v>
      </c>
      <c r="I71" s="12">
        <v>0</v>
      </c>
    </row>
    <row r="72" spans="2:9" ht="15" customHeight="1" x14ac:dyDescent="0.2">
      <c r="B72" t="s">
        <v>219</v>
      </c>
      <c r="C72" s="12">
        <v>4</v>
      </c>
      <c r="D72" s="8">
        <v>1.25</v>
      </c>
      <c r="E72" s="12">
        <v>1</v>
      </c>
      <c r="F72" s="8">
        <v>0.52</v>
      </c>
      <c r="G72" s="12">
        <v>3</v>
      </c>
      <c r="H72" s="8">
        <v>2.38</v>
      </c>
      <c r="I72" s="12">
        <v>0</v>
      </c>
    </row>
    <row r="73" spans="2:9" ht="15" customHeight="1" x14ac:dyDescent="0.2">
      <c r="B73" t="s">
        <v>206</v>
      </c>
      <c r="C73" s="12">
        <v>4</v>
      </c>
      <c r="D73" s="8">
        <v>1.25</v>
      </c>
      <c r="E73" s="12">
        <v>2</v>
      </c>
      <c r="F73" s="8">
        <v>1.05</v>
      </c>
      <c r="G73" s="12">
        <v>2</v>
      </c>
      <c r="H73" s="8">
        <v>1.59</v>
      </c>
      <c r="I73" s="12">
        <v>0</v>
      </c>
    </row>
    <row r="74" spans="2:9" ht="15" customHeight="1" x14ac:dyDescent="0.2">
      <c r="B74" t="s">
        <v>202</v>
      </c>
      <c r="C74" s="12">
        <v>4</v>
      </c>
      <c r="D74" s="8">
        <v>1.25</v>
      </c>
      <c r="E74" s="12">
        <v>2</v>
      </c>
      <c r="F74" s="8">
        <v>1.05</v>
      </c>
      <c r="G74" s="12">
        <v>2</v>
      </c>
      <c r="H74" s="8">
        <v>1.59</v>
      </c>
      <c r="I74" s="12">
        <v>0</v>
      </c>
    </row>
    <row r="75" spans="2:9" ht="15" customHeight="1" x14ac:dyDescent="0.2">
      <c r="B75" t="s">
        <v>130</v>
      </c>
      <c r="C75" s="12">
        <v>4</v>
      </c>
      <c r="D75" s="8">
        <v>1.25</v>
      </c>
      <c r="E75" s="12">
        <v>4</v>
      </c>
      <c r="F75" s="8">
        <v>2.09</v>
      </c>
      <c r="G75" s="12">
        <v>0</v>
      </c>
      <c r="H75" s="8">
        <v>0</v>
      </c>
      <c r="I75" s="12">
        <v>0</v>
      </c>
    </row>
    <row r="76" spans="2:9" ht="15" customHeight="1" x14ac:dyDescent="0.2">
      <c r="B76" t="s">
        <v>139</v>
      </c>
      <c r="C76" s="12">
        <v>4</v>
      </c>
      <c r="D76" s="8">
        <v>1.25</v>
      </c>
      <c r="E76" s="12">
        <v>3</v>
      </c>
      <c r="F76" s="8">
        <v>1.57</v>
      </c>
      <c r="G76" s="12">
        <v>1</v>
      </c>
      <c r="H76" s="8">
        <v>0.79</v>
      </c>
      <c r="I76" s="12">
        <v>0</v>
      </c>
    </row>
    <row r="77" spans="2:9" ht="15" customHeight="1" x14ac:dyDescent="0.2">
      <c r="B77" t="s">
        <v>140</v>
      </c>
      <c r="C77" s="12">
        <v>4</v>
      </c>
      <c r="D77" s="8">
        <v>1.25</v>
      </c>
      <c r="E77" s="12">
        <v>4</v>
      </c>
      <c r="F77" s="8">
        <v>2.09</v>
      </c>
      <c r="G77" s="12">
        <v>0</v>
      </c>
      <c r="H77" s="8">
        <v>0</v>
      </c>
      <c r="I77" s="12">
        <v>0</v>
      </c>
    </row>
    <row r="79" spans="2:9" ht="15" customHeight="1" x14ac:dyDescent="0.2">
      <c r="B79" t="s">
        <v>235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CBF93-702B-4CCF-82F1-2B517681D47F}">
  <sheetPr>
    <pageSetUpPr fitToPage="1"/>
  </sheetPr>
  <dimension ref="B2:I72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275</v>
      </c>
    </row>
    <row r="4" spans="2:9" ht="33" customHeight="1" x14ac:dyDescent="0.2">
      <c r="B4" t="s">
        <v>231</v>
      </c>
      <c r="C4" s="10" t="s">
        <v>59</v>
      </c>
      <c r="D4" s="10" t="s">
        <v>60</v>
      </c>
      <c r="E4" s="10" t="s">
        <v>61</v>
      </c>
      <c r="F4" s="10" t="s">
        <v>62</v>
      </c>
      <c r="G4" s="10" t="s">
        <v>63</v>
      </c>
      <c r="H4" s="10" t="s">
        <v>64</v>
      </c>
      <c r="I4" s="10" t="s">
        <v>65</v>
      </c>
    </row>
    <row r="5" spans="2:9" ht="15" customHeight="1" x14ac:dyDescent="0.2">
      <c r="B5" t="s">
        <v>43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44</v>
      </c>
      <c r="C6" s="12">
        <v>38</v>
      </c>
      <c r="D6" s="8">
        <v>33.04</v>
      </c>
      <c r="E6" s="12">
        <v>25</v>
      </c>
      <c r="F6" s="8">
        <v>33.33</v>
      </c>
      <c r="G6" s="12">
        <v>13</v>
      </c>
      <c r="H6" s="8">
        <v>34.21</v>
      </c>
      <c r="I6" s="12">
        <v>0</v>
      </c>
    </row>
    <row r="7" spans="2:9" ht="15" customHeight="1" x14ac:dyDescent="0.2">
      <c r="B7" t="s">
        <v>45</v>
      </c>
      <c r="C7" s="12">
        <v>26</v>
      </c>
      <c r="D7" s="8">
        <v>22.61</v>
      </c>
      <c r="E7" s="12">
        <v>14</v>
      </c>
      <c r="F7" s="8">
        <v>18.670000000000002</v>
      </c>
      <c r="G7" s="12">
        <v>12</v>
      </c>
      <c r="H7" s="8">
        <v>31.58</v>
      </c>
      <c r="I7" s="12">
        <v>0</v>
      </c>
    </row>
    <row r="8" spans="2:9" ht="15" customHeight="1" x14ac:dyDescent="0.2">
      <c r="B8" t="s">
        <v>46</v>
      </c>
      <c r="C8" s="12">
        <v>2</v>
      </c>
      <c r="D8" s="8">
        <v>1.74</v>
      </c>
      <c r="E8" s="12">
        <v>0</v>
      </c>
      <c r="F8" s="8">
        <v>0</v>
      </c>
      <c r="G8" s="12">
        <v>2</v>
      </c>
      <c r="H8" s="8">
        <v>5.26</v>
      </c>
      <c r="I8" s="12">
        <v>0</v>
      </c>
    </row>
    <row r="9" spans="2:9" ht="15" customHeight="1" x14ac:dyDescent="0.2">
      <c r="B9" t="s">
        <v>47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48</v>
      </c>
      <c r="C10" s="12">
        <v>0</v>
      </c>
      <c r="D10" s="8">
        <v>0</v>
      </c>
      <c r="E10" s="12">
        <v>0</v>
      </c>
      <c r="F10" s="8">
        <v>0</v>
      </c>
      <c r="G10" s="12">
        <v>0</v>
      </c>
      <c r="H10" s="8">
        <v>0</v>
      </c>
      <c r="I10" s="12">
        <v>0</v>
      </c>
    </row>
    <row r="11" spans="2:9" ht="15" customHeight="1" x14ac:dyDescent="0.2">
      <c r="B11" t="s">
        <v>49</v>
      </c>
      <c r="C11" s="12">
        <v>20</v>
      </c>
      <c r="D11" s="8">
        <v>17.39</v>
      </c>
      <c r="E11" s="12">
        <v>16</v>
      </c>
      <c r="F11" s="8">
        <v>21.33</v>
      </c>
      <c r="G11" s="12">
        <v>4</v>
      </c>
      <c r="H11" s="8">
        <v>10.53</v>
      </c>
      <c r="I11" s="12">
        <v>0</v>
      </c>
    </row>
    <row r="12" spans="2:9" ht="15" customHeight="1" x14ac:dyDescent="0.2">
      <c r="B12" t="s">
        <v>50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51</v>
      </c>
      <c r="C13" s="12">
        <v>1</v>
      </c>
      <c r="D13" s="8">
        <v>0.87</v>
      </c>
      <c r="E13" s="12">
        <v>1</v>
      </c>
      <c r="F13" s="8">
        <v>1.33</v>
      </c>
      <c r="G13" s="12">
        <v>0</v>
      </c>
      <c r="H13" s="8">
        <v>0</v>
      </c>
      <c r="I13" s="12">
        <v>0</v>
      </c>
    </row>
    <row r="14" spans="2:9" ht="15" customHeight="1" x14ac:dyDescent="0.2">
      <c r="B14" t="s">
        <v>52</v>
      </c>
      <c r="C14" s="12">
        <v>4</v>
      </c>
      <c r="D14" s="8">
        <v>3.48</v>
      </c>
      <c r="E14" s="12">
        <v>2</v>
      </c>
      <c r="F14" s="8">
        <v>2.67</v>
      </c>
      <c r="G14" s="12">
        <v>2</v>
      </c>
      <c r="H14" s="8">
        <v>5.26</v>
      </c>
      <c r="I14" s="12">
        <v>0</v>
      </c>
    </row>
    <row r="15" spans="2:9" ht="15" customHeight="1" x14ac:dyDescent="0.2">
      <c r="B15" t="s">
        <v>53</v>
      </c>
      <c r="C15" s="12">
        <v>8</v>
      </c>
      <c r="D15" s="8">
        <v>6.96</v>
      </c>
      <c r="E15" s="12">
        <v>5</v>
      </c>
      <c r="F15" s="8">
        <v>6.67</v>
      </c>
      <c r="G15" s="12">
        <v>2</v>
      </c>
      <c r="H15" s="8">
        <v>5.26</v>
      </c>
      <c r="I15" s="12">
        <v>1</v>
      </c>
    </row>
    <row r="16" spans="2:9" ht="15" customHeight="1" x14ac:dyDescent="0.2">
      <c r="B16" t="s">
        <v>54</v>
      </c>
      <c r="C16" s="12">
        <v>12</v>
      </c>
      <c r="D16" s="8">
        <v>10.43</v>
      </c>
      <c r="E16" s="12">
        <v>10</v>
      </c>
      <c r="F16" s="8">
        <v>13.33</v>
      </c>
      <c r="G16" s="12">
        <v>1</v>
      </c>
      <c r="H16" s="8">
        <v>2.63</v>
      </c>
      <c r="I16" s="12">
        <v>1</v>
      </c>
    </row>
    <row r="17" spans="2:9" ht="15" customHeight="1" x14ac:dyDescent="0.2">
      <c r="B17" t="s">
        <v>55</v>
      </c>
      <c r="C17" s="12">
        <v>2</v>
      </c>
      <c r="D17" s="8">
        <v>1.74</v>
      </c>
      <c r="E17" s="12">
        <v>1</v>
      </c>
      <c r="F17" s="8">
        <v>1.33</v>
      </c>
      <c r="G17" s="12">
        <v>1</v>
      </c>
      <c r="H17" s="8">
        <v>2.63</v>
      </c>
      <c r="I17" s="12">
        <v>0</v>
      </c>
    </row>
    <row r="18" spans="2:9" ht="15" customHeight="1" x14ac:dyDescent="0.2">
      <c r="B18" t="s">
        <v>56</v>
      </c>
      <c r="C18" s="12">
        <v>1</v>
      </c>
      <c r="D18" s="8">
        <v>0.87</v>
      </c>
      <c r="E18" s="12">
        <v>1</v>
      </c>
      <c r="F18" s="8">
        <v>1.33</v>
      </c>
      <c r="G18" s="12">
        <v>0</v>
      </c>
      <c r="H18" s="8">
        <v>0</v>
      </c>
      <c r="I18" s="12">
        <v>0</v>
      </c>
    </row>
    <row r="19" spans="2:9" ht="15" customHeight="1" x14ac:dyDescent="0.2">
      <c r="B19" t="s">
        <v>57</v>
      </c>
      <c r="C19" s="12">
        <v>1</v>
      </c>
      <c r="D19" s="8">
        <v>0.87</v>
      </c>
      <c r="E19" s="12">
        <v>0</v>
      </c>
      <c r="F19" s="8">
        <v>0</v>
      </c>
      <c r="G19" s="12">
        <v>1</v>
      </c>
      <c r="H19" s="8">
        <v>2.63</v>
      </c>
      <c r="I19" s="12">
        <v>0</v>
      </c>
    </row>
    <row r="20" spans="2:9" ht="15" customHeight="1" x14ac:dyDescent="0.2">
      <c r="B20" s="9" t="s">
        <v>232</v>
      </c>
      <c r="C20" s="12">
        <f>SUM(LTBL_21507[総数／事業所数])</f>
        <v>115</v>
      </c>
      <c r="E20" s="12">
        <f>SUBTOTAL(109,LTBL_21507[個人／事業所数])</f>
        <v>75</v>
      </c>
      <c r="G20" s="12">
        <f>SUBTOTAL(109,LTBL_21507[法人／事業所数])</f>
        <v>38</v>
      </c>
      <c r="I20" s="12">
        <f>SUBTOTAL(109,LTBL_21507[法人以外の団体／事業所数])</f>
        <v>2</v>
      </c>
    </row>
    <row r="21" spans="2:9" ht="15" customHeight="1" x14ac:dyDescent="0.2">
      <c r="E21" s="11">
        <f>LTBL_21507[[#Totals],[個人／事業所数]]/LTBL_21507[[#Totals],[総数／事業所数]]</f>
        <v>0.65217391304347827</v>
      </c>
      <c r="G21" s="11">
        <f>LTBL_21507[[#Totals],[法人／事業所数]]/LTBL_21507[[#Totals],[総数／事業所数]]</f>
        <v>0.33043478260869563</v>
      </c>
      <c r="I21" s="11">
        <f>LTBL_21507[[#Totals],[法人以外の団体／事業所数]]/LTBL_21507[[#Totals],[総数／事業所数]]</f>
        <v>1.7391304347826087E-2</v>
      </c>
    </row>
    <row r="23" spans="2:9" ht="33" customHeight="1" x14ac:dyDescent="0.2">
      <c r="B23" t="s">
        <v>233</v>
      </c>
      <c r="C23" s="10" t="s">
        <v>59</v>
      </c>
      <c r="D23" s="10" t="s">
        <v>60</v>
      </c>
      <c r="E23" s="10" t="s">
        <v>61</v>
      </c>
      <c r="F23" s="10" t="s">
        <v>62</v>
      </c>
      <c r="G23" s="10" t="s">
        <v>63</v>
      </c>
      <c r="H23" s="10" t="s">
        <v>64</v>
      </c>
      <c r="I23" s="10" t="s">
        <v>65</v>
      </c>
    </row>
    <row r="24" spans="2:9" ht="15" customHeight="1" x14ac:dyDescent="0.2">
      <c r="B24" t="s">
        <v>66</v>
      </c>
      <c r="C24" s="12">
        <v>20</v>
      </c>
      <c r="D24" s="8">
        <v>17.39</v>
      </c>
      <c r="E24" s="12">
        <v>11</v>
      </c>
      <c r="F24" s="8">
        <v>14.67</v>
      </c>
      <c r="G24" s="12">
        <v>9</v>
      </c>
      <c r="H24" s="8">
        <v>23.68</v>
      </c>
      <c r="I24" s="12">
        <v>0</v>
      </c>
    </row>
    <row r="25" spans="2:9" ht="15" customHeight="1" x14ac:dyDescent="0.2">
      <c r="B25" t="s">
        <v>67</v>
      </c>
      <c r="C25" s="12">
        <v>15</v>
      </c>
      <c r="D25" s="8">
        <v>13.04</v>
      </c>
      <c r="E25" s="12">
        <v>13</v>
      </c>
      <c r="F25" s="8">
        <v>17.329999999999998</v>
      </c>
      <c r="G25" s="12">
        <v>2</v>
      </c>
      <c r="H25" s="8">
        <v>5.26</v>
      </c>
      <c r="I25" s="12">
        <v>0</v>
      </c>
    </row>
    <row r="26" spans="2:9" ht="15" customHeight="1" x14ac:dyDescent="0.2">
      <c r="B26" t="s">
        <v>82</v>
      </c>
      <c r="C26" s="12">
        <v>11</v>
      </c>
      <c r="D26" s="8">
        <v>9.57</v>
      </c>
      <c r="E26" s="12">
        <v>10</v>
      </c>
      <c r="F26" s="8">
        <v>13.33</v>
      </c>
      <c r="G26" s="12">
        <v>1</v>
      </c>
      <c r="H26" s="8">
        <v>2.63</v>
      </c>
      <c r="I26" s="12">
        <v>0</v>
      </c>
    </row>
    <row r="27" spans="2:9" ht="15" customHeight="1" x14ac:dyDescent="0.2">
      <c r="B27" t="s">
        <v>75</v>
      </c>
      <c r="C27" s="12">
        <v>10</v>
      </c>
      <c r="D27" s="8">
        <v>8.6999999999999993</v>
      </c>
      <c r="E27" s="12">
        <v>9</v>
      </c>
      <c r="F27" s="8">
        <v>12</v>
      </c>
      <c r="G27" s="12">
        <v>1</v>
      </c>
      <c r="H27" s="8">
        <v>2.63</v>
      </c>
      <c r="I27" s="12">
        <v>0</v>
      </c>
    </row>
    <row r="28" spans="2:9" ht="15" customHeight="1" x14ac:dyDescent="0.2">
      <c r="B28" t="s">
        <v>92</v>
      </c>
      <c r="C28" s="12">
        <v>9</v>
      </c>
      <c r="D28" s="8">
        <v>7.83</v>
      </c>
      <c r="E28" s="12">
        <v>3</v>
      </c>
      <c r="F28" s="8">
        <v>4</v>
      </c>
      <c r="G28" s="12">
        <v>6</v>
      </c>
      <c r="H28" s="8">
        <v>15.79</v>
      </c>
      <c r="I28" s="12">
        <v>0</v>
      </c>
    </row>
    <row r="29" spans="2:9" ht="15" customHeight="1" x14ac:dyDescent="0.2">
      <c r="B29" t="s">
        <v>107</v>
      </c>
      <c r="C29" s="12">
        <v>5</v>
      </c>
      <c r="D29" s="8">
        <v>4.3499999999999996</v>
      </c>
      <c r="E29" s="12">
        <v>3</v>
      </c>
      <c r="F29" s="8">
        <v>4</v>
      </c>
      <c r="G29" s="12">
        <v>2</v>
      </c>
      <c r="H29" s="8">
        <v>5.26</v>
      </c>
      <c r="I29" s="12">
        <v>0</v>
      </c>
    </row>
    <row r="30" spans="2:9" ht="15" customHeight="1" x14ac:dyDescent="0.2">
      <c r="B30" t="s">
        <v>77</v>
      </c>
      <c r="C30" s="12">
        <v>5</v>
      </c>
      <c r="D30" s="8">
        <v>4.3499999999999996</v>
      </c>
      <c r="E30" s="12">
        <v>4</v>
      </c>
      <c r="F30" s="8">
        <v>5.33</v>
      </c>
      <c r="G30" s="12">
        <v>1</v>
      </c>
      <c r="H30" s="8">
        <v>2.63</v>
      </c>
      <c r="I30" s="12">
        <v>0</v>
      </c>
    </row>
    <row r="31" spans="2:9" ht="15" customHeight="1" x14ac:dyDescent="0.2">
      <c r="B31" t="s">
        <v>81</v>
      </c>
      <c r="C31" s="12">
        <v>4</v>
      </c>
      <c r="D31" s="8">
        <v>3.48</v>
      </c>
      <c r="E31" s="12">
        <v>3</v>
      </c>
      <c r="F31" s="8">
        <v>4</v>
      </c>
      <c r="G31" s="12">
        <v>0</v>
      </c>
      <c r="H31" s="8">
        <v>0</v>
      </c>
      <c r="I31" s="12">
        <v>1</v>
      </c>
    </row>
    <row r="32" spans="2:9" ht="15" customHeight="1" x14ac:dyDescent="0.2">
      <c r="B32" t="s">
        <v>68</v>
      </c>
      <c r="C32" s="12">
        <v>3</v>
      </c>
      <c r="D32" s="8">
        <v>2.61</v>
      </c>
      <c r="E32" s="12">
        <v>1</v>
      </c>
      <c r="F32" s="8">
        <v>1.33</v>
      </c>
      <c r="G32" s="12">
        <v>2</v>
      </c>
      <c r="H32" s="8">
        <v>5.26</v>
      </c>
      <c r="I32" s="12">
        <v>0</v>
      </c>
    </row>
    <row r="33" spans="2:9" ht="15" customHeight="1" x14ac:dyDescent="0.2">
      <c r="B33" t="s">
        <v>91</v>
      </c>
      <c r="C33" s="12">
        <v>3</v>
      </c>
      <c r="D33" s="8">
        <v>2.61</v>
      </c>
      <c r="E33" s="12">
        <v>2</v>
      </c>
      <c r="F33" s="8">
        <v>2.67</v>
      </c>
      <c r="G33" s="12">
        <v>1</v>
      </c>
      <c r="H33" s="8">
        <v>2.63</v>
      </c>
      <c r="I33" s="12">
        <v>0</v>
      </c>
    </row>
    <row r="34" spans="2:9" ht="15" customHeight="1" x14ac:dyDescent="0.2">
      <c r="B34" t="s">
        <v>76</v>
      </c>
      <c r="C34" s="12">
        <v>3</v>
      </c>
      <c r="D34" s="8">
        <v>2.61</v>
      </c>
      <c r="E34" s="12">
        <v>3</v>
      </c>
      <c r="F34" s="8">
        <v>4</v>
      </c>
      <c r="G34" s="12">
        <v>0</v>
      </c>
      <c r="H34" s="8">
        <v>0</v>
      </c>
      <c r="I34" s="12">
        <v>0</v>
      </c>
    </row>
    <row r="35" spans="2:9" ht="15" customHeight="1" x14ac:dyDescent="0.2">
      <c r="B35" t="s">
        <v>79</v>
      </c>
      <c r="C35" s="12">
        <v>3</v>
      </c>
      <c r="D35" s="8">
        <v>2.61</v>
      </c>
      <c r="E35" s="12">
        <v>1</v>
      </c>
      <c r="F35" s="8">
        <v>1.33</v>
      </c>
      <c r="G35" s="12">
        <v>2</v>
      </c>
      <c r="H35" s="8">
        <v>5.26</v>
      </c>
      <c r="I35" s="12">
        <v>0</v>
      </c>
    </row>
    <row r="36" spans="2:9" ht="15" customHeight="1" x14ac:dyDescent="0.2">
      <c r="B36" t="s">
        <v>93</v>
      </c>
      <c r="C36" s="12">
        <v>2</v>
      </c>
      <c r="D36" s="8">
        <v>1.74</v>
      </c>
      <c r="E36" s="12">
        <v>2</v>
      </c>
      <c r="F36" s="8">
        <v>2.67</v>
      </c>
      <c r="G36" s="12">
        <v>0</v>
      </c>
      <c r="H36" s="8">
        <v>0</v>
      </c>
      <c r="I36" s="12">
        <v>0</v>
      </c>
    </row>
    <row r="37" spans="2:9" ht="15" customHeight="1" x14ac:dyDescent="0.2">
      <c r="B37" t="s">
        <v>71</v>
      </c>
      <c r="C37" s="12">
        <v>2</v>
      </c>
      <c r="D37" s="8">
        <v>1.74</v>
      </c>
      <c r="E37" s="12">
        <v>0</v>
      </c>
      <c r="F37" s="8">
        <v>0</v>
      </c>
      <c r="G37" s="12">
        <v>2</v>
      </c>
      <c r="H37" s="8">
        <v>5.26</v>
      </c>
      <c r="I37" s="12">
        <v>0</v>
      </c>
    </row>
    <row r="38" spans="2:9" ht="15" customHeight="1" x14ac:dyDescent="0.2">
      <c r="B38" t="s">
        <v>94</v>
      </c>
      <c r="C38" s="12">
        <v>2</v>
      </c>
      <c r="D38" s="8">
        <v>1.74</v>
      </c>
      <c r="E38" s="12">
        <v>2</v>
      </c>
      <c r="F38" s="8">
        <v>2.67</v>
      </c>
      <c r="G38" s="12">
        <v>0</v>
      </c>
      <c r="H38" s="8">
        <v>0</v>
      </c>
      <c r="I38" s="12">
        <v>0</v>
      </c>
    </row>
    <row r="39" spans="2:9" ht="15" customHeight="1" x14ac:dyDescent="0.2">
      <c r="B39" t="s">
        <v>115</v>
      </c>
      <c r="C39" s="12">
        <v>2</v>
      </c>
      <c r="D39" s="8">
        <v>1.74</v>
      </c>
      <c r="E39" s="12">
        <v>0</v>
      </c>
      <c r="F39" s="8">
        <v>0</v>
      </c>
      <c r="G39" s="12">
        <v>2</v>
      </c>
      <c r="H39" s="8">
        <v>5.26</v>
      </c>
      <c r="I39" s="12">
        <v>0</v>
      </c>
    </row>
    <row r="40" spans="2:9" ht="15" customHeight="1" x14ac:dyDescent="0.2">
      <c r="B40" t="s">
        <v>89</v>
      </c>
      <c r="C40" s="12">
        <v>2</v>
      </c>
      <c r="D40" s="8">
        <v>1.74</v>
      </c>
      <c r="E40" s="12">
        <v>0</v>
      </c>
      <c r="F40" s="8">
        <v>0</v>
      </c>
      <c r="G40" s="12">
        <v>2</v>
      </c>
      <c r="H40" s="8">
        <v>5.26</v>
      </c>
      <c r="I40" s="12">
        <v>0</v>
      </c>
    </row>
    <row r="41" spans="2:9" ht="15" customHeight="1" x14ac:dyDescent="0.2">
      <c r="B41" t="s">
        <v>95</v>
      </c>
      <c r="C41" s="12">
        <v>2</v>
      </c>
      <c r="D41" s="8">
        <v>1.74</v>
      </c>
      <c r="E41" s="12">
        <v>2</v>
      </c>
      <c r="F41" s="8">
        <v>2.67</v>
      </c>
      <c r="G41" s="12">
        <v>0</v>
      </c>
      <c r="H41" s="8">
        <v>0</v>
      </c>
      <c r="I41" s="12">
        <v>0</v>
      </c>
    </row>
    <row r="42" spans="2:9" ht="15" customHeight="1" x14ac:dyDescent="0.2">
      <c r="B42" t="s">
        <v>100</v>
      </c>
      <c r="C42" s="12">
        <v>2</v>
      </c>
      <c r="D42" s="8">
        <v>1.74</v>
      </c>
      <c r="E42" s="12">
        <v>0</v>
      </c>
      <c r="F42" s="8">
        <v>0</v>
      </c>
      <c r="G42" s="12">
        <v>2</v>
      </c>
      <c r="H42" s="8">
        <v>5.26</v>
      </c>
      <c r="I42" s="12">
        <v>0</v>
      </c>
    </row>
    <row r="43" spans="2:9" ht="15" customHeight="1" x14ac:dyDescent="0.2">
      <c r="B43" t="s">
        <v>83</v>
      </c>
      <c r="C43" s="12">
        <v>2</v>
      </c>
      <c r="D43" s="8">
        <v>1.74</v>
      </c>
      <c r="E43" s="12">
        <v>1</v>
      </c>
      <c r="F43" s="8">
        <v>1.33</v>
      </c>
      <c r="G43" s="12">
        <v>1</v>
      </c>
      <c r="H43" s="8">
        <v>2.63</v>
      </c>
      <c r="I43" s="12">
        <v>0</v>
      </c>
    </row>
    <row r="46" spans="2:9" ht="33" customHeight="1" x14ac:dyDescent="0.2">
      <c r="B46" t="s">
        <v>234</v>
      </c>
      <c r="C46" s="10" t="s">
        <v>59</v>
      </c>
      <c r="D46" s="10" t="s">
        <v>60</v>
      </c>
      <c r="E46" s="10" t="s">
        <v>61</v>
      </c>
      <c r="F46" s="10" t="s">
        <v>62</v>
      </c>
      <c r="G46" s="10" t="s">
        <v>63</v>
      </c>
      <c r="H46" s="10" t="s">
        <v>64</v>
      </c>
      <c r="I46" s="10" t="s">
        <v>65</v>
      </c>
    </row>
    <row r="47" spans="2:9" ht="15" customHeight="1" x14ac:dyDescent="0.2">
      <c r="B47" t="s">
        <v>124</v>
      </c>
      <c r="C47" s="12">
        <v>13</v>
      </c>
      <c r="D47" s="8">
        <v>11.3</v>
      </c>
      <c r="E47" s="12">
        <v>7</v>
      </c>
      <c r="F47" s="8">
        <v>9.33</v>
      </c>
      <c r="G47" s="12">
        <v>6</v>
      </c>
      <c r="H47" s="8">
        <v>15.79</v>
      </c>
      <c r="I47" s="12">
        <v>0</v>
      </c>
    </row>
    <row r="48" spans="2:9" ht="15" customHeight="1" x14ac:dyDescent="0.2">
      <c r="B48" t="s">
        <v>138</v>
      </c>
      <c r="C48" s="12">
        <v>7</v>
      </c>
      <c r="D48" s="8">
        <v>6.09</v>
      </c>
      <c r="E48" s="12">
        <v>7</v>
      </c>
      <c r="F48" s="8">
        <v>9.33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179</v>
      </c>
      <c r="C49" s="12">
        <v>6</v>
      </c>
      <c r="D49" s="8">
        <v>5.22</v>
      </c>
      <c r="E49" s="12">
        <v>2</v>
      </c>
      <c r="F49" s="8">
        <v>2.67</v>
      </c>
      <c r="G49" s="12">
        <v>4</v>
      </c>
      <c r="H49" s="8">
        <v>10.53</v>
      </c>
      <c r="I49" s="12">
        <v>0</v>
      </c>
    </row>
    <row r="50" spans="2:9" ht="15" customHeight="1" x14ac:dyDescent="0.2">
      <c r="B50" t="s">
        <v>123</v>
      </c>
      <c r="C50" s="12">
        <v>5</v>
      </c>
      <c r="D50" s="8">
        <v>4.3499999999999996</v>
      </c>
      <c r="E50" s="12">
        <v>3</v>
      </c>
      <c r="F50" s="8">
        <v>4</v>
      </c>
      <c r="G50" s="12">
        <v>2</v>
      </c>
      <c r="H50" s="8">
        <v>5.26</v>
      </c>
      <c r="I50" s="12">
        <v>0</v>
      </c>
    </row>
    <row r="51" spans="2:9" ht="15" customHeight="1" x14ac:dyDescent="0.2">
      <c r="B51" t="s">
        <v>127</v>
      </c>
      <c r="C51" s="12">
        <v>5</v>
      </c>
      <c r="D51" s="8">
        <v>4.3499999999999996</v>
      </c>
      <c r="E51" s="12">
        <v>4</v>
      </c>
      <c r="F51" s="8">
        <v>5.33</v>
      </c>
      <c r="G51" s="12">
        <v>1</v>
      </c>
      <c r="H51" s="8">
        <v>2.63</v>
      </c>
      <c r="I51" s="12">
        <v>0</v>
      </c>
    </row>
    <row r="52" spans="2:9" ht="15" customHeight="1" x14ac:dyDescent="0.2">
      <c r="B52" t="s">
        <v>147</v>
      </c>
      <c r="C52" s="12">
        <v>4</v>
      </c>
      <c r="D52" s="8">
        <v>3.48</v>
      </c>
      <c r="E52" s="12">
        <v>4</v>
      </c>
      <c r="F52" s="8">
        <v>5.33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218</v>
      </c>
      <c r="C53" s="12">
        <v>4</v>
      </c>
      <c r="D53" s="8">
        <v>3.48</v>
      </c>
      <c r="E53" s="12">
        <v>3</v>
      </c>
      <c r="F53" s="8">
        <v>4</v>
      </c>
      <c r="G53" s="12">
        <v>1</v>
      </c>
      <c r="H53" s="8">
        <v>2.63</v>
      </c>
      <c r="I53" s="12">
        <v>0</v>
      </c>
    </row>
    <row r="54" spans="2:9" ht="15" customHeight="1" x14ac:dyDescent="0.2">
      <c r="B54" t="s">
        <v>122</v>
      </c>
      <c r="C54" s="12">
        <v>2</v>
      </c>
      <c r="D54" s="8">
        <v>1.74</v>
      </c>
      <c r="E54" s="12">
        <v>1</v>
      </c>
      <c r="F54" s="8">
        <v>1.33</v>
      </c>
      <c r="G54" s="12">
        <v>1</v>
      </c>
      <c r="H54" s="8">
        <v>2.63</v>
      </c>
      <c r="I54" s="12">
        <v>0</v>
      </c>
    </row>
    <row r="55" spans="2:9" ht="15" customHeight="1" x14ac:dyDescent="0.2">
      <c r="B55" t="s">
        <v>189</v>
      </c>
      <c r="C55" s="12">
        <v>2</v>
      </c>
      <c r="D55" s="8">
        <v>1.74</v>
      </c>
      <c r="E55" s="12">
        <v>2</v>
      </c>
      <c r="F55" s="8">
        <v>2.67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192</v>
      </c>
      <c r="C56" s="12">
        <v>2</v>
      </c>
      <c r="D56" s="8">
        <v>1.74</v>
      </c>
      <c r="E56" s="12">
        <v>2</v>
      </c>
      <c r="F56" s="8">
        <v>2.67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183</v>
      </c>
      <c r="C57" s="12">
        <v>2</v>
      </c>
      <c r="D57" s="8">
        <v>1.74</v>
      </c>
      <c r="E57" s="12">
        <v>1</v>
      </c>
      <c r="F57" s="8">
        <v>1.33</v>
      </c>
      <c r="G57" s="12">
        <v>1</v>
      </c>
      <c r="H57" s="8">
        <v>2.63</v>
      </c>
      <c r="I57" s="12">
        <v>0</v>
      </c>
    </row>
    <row r="58" spans="2:9" ht="15" customHeight="1" x14ac:dyDescent="0.2">
      <c r="B58" t="s">
        <v>158</v>
      </c>
      <c r="C58" s="12">
        <v>2</v>
      </c>
      <c r="D58" s="8">
        <v>1.74</v>
      </c>
      <c r="E58" s="12">
        <v>1</v>
      </c>
      <c r="F58" s="8">
        <v>1.33</v>
      </c>
      <c r="G58" s="12">
        <v>1</v>
      </c>
      <c r="H58" s="8">
        <v>2.63</v>
      </c>
      <c r="I58" s="12">
        <v>0</v>
      </c>
    </row>
    <row r="59" spans="2:9" ht="15" customHeight="1" x14ac:dyDescent="0.2">
      <c r="B59" t="s">
        <v>221</v>
      </c>
      <c r="C59" s="12">
        <v>2</v>
      </c>
      <c r="D59" s="8">
        <v>1.74</v>
      </c>
      <c r="E59" s="12">
        <v>2</v>
      </c>
      <c r="F59" s="8">
        <v>2.67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222</v>
      </c>
      <c r="C60" s="12">
        <v>2</v>
      </c>
      <c r="D60" s="8">
        <v>1.74</v>
      </c>
      <c r="E60" s="12">
        <v>1</v>
      </c>
      <c r="F60" s="8">
        <v>1.33</v>
      </c>
      <c r="G60" s="12">
        <v>1</v>
      </c>
      <c r="H60" s="8">
        <v>2.63</v>
      </c>
      <c r="I60" s="12">
        <v>0</v>
      </c>
    </row>
    <row r="61" spans="2:9" ht="15" customHeight="1" x14ac:dyDescent="0.2">
      <c r="B61" t="s">
        <v>191</v>
      </c>
      <c r="C61" s="12">
        <v>2</v>
      </c>
      <c r="D61" s="8">
        <v>1.74</v>
      </c>
      <c r="E61" s="12">
        <v>2</v>
      </c>
      <c r="F61" s="8">
        <v>2.67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207</v>
      </c>
      <c r="C62" s="12">
        <v>2</v>
      </c>
      <c r="D62" s="8">
        <v>1.74</v>
      </c>
      <c r="E62" s="12">
        <v>2</v>
      </c>
      <c r="F62" s="8">
        <v>2.67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223</v>
      </c>
      <c r="C63" s="12">
        <v>2</v>
      </c>
      <c r="D63" s="8">
        <v>1.74</v>
      </c>
      <c r="E63" s="12">
        <v>0</v>
      </c>
      <c r="F63" s="8">
        <v>0</v>
      </c>
      <c r="G63" s="12">
        <v>2</v>
      </c>
      <c r="H63" s="8">
        <v>5.26</v>
      </c>
      <c r="I63" s="12">
        <v>0</v>
      </c>
    </row>
    <row r="64" spans="2:9" ht="15" customHeight="1" x14ac:dyDescent="0.2">
      <c r="B64" t="s">
        <v>150</v>
      </c>
      <c r="C64" s="12">
        <v>2</v>
      </c>
      <c r="D64" s="8">
        <v>1.74</v>
      </c>
      <c r="E64" s="12">
        <v>0</v>
      </c>
      <c r="F64" s="8">
        <v>0</v>
      </c>
      <c r="G64" s="12">
        <v>2</v>
      </c>
      <c r="H64" s="8">
        <v>5.26</v>
      </c>
      <c r="I64" s="12">
        <v>0</v>
      </c>
    </row>
    <row r="65" spans="2:9" ht="15" customHeight="1" x14ac:dyDescent="0.2">
      <c r="B65" t="s">
        <v>224</v>
      </c>
      <c r="C65" s="12">
        <v>2</v>
      </c>
      <c r="D65" s="8">
        <v>1.74</v>
      </c>
      <c r="E65" s="12">
        <v>2</v>
      </c>
      <c r="F65" s="8">
        <v>2.67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181</v>
      </c>
      <c r="C66" s="12">
        <v>2</v>
      </c>
      <c r="D66" s="8">
        <v>1.74</v>
      </c>
      <c r="E66" s="12">
        <v>2</v>
      </c>
      <c r="F66" s="8">
        <v>2.67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149</v>
      </c>
      <c r="C67" s="12">
        <v>2</v>
      </c>
      <c r="D67" s="8">
        <v>1.74</v>
      </c>
      <c r="E67" s="12">
        <v>2</v>
      </c>
      <c r="F67" s="8">
        <v>2.67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135</v>
      </c>
      <c r="C68" s="12">
        <v>2</v>
      </c>
      <c r="D68" s="8">
        <v>1.74</v>
      </c>
      <c r="E68" s="12">
        <v>2</v>
      </c>
      <c r="F68" s="8">
        <v>2.67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195</v>
      </c>
      <c r="C69" s="12">
        <v>2</v>
      </c>
      <c r="D69" s="8">
        <v>1.74</v>
      </c>
      <c r="E69" s="12">
        <v>0</v>
      </c>
      <c r="F69" s="8">
        <v>0</v>
      </c>
      <c r="G69" s="12">
        <v>2</v>
      </c>
      <c r="H69" s="8">
        <v>5.26</v>
      </c>
      <c r="I69" s="12">
        <v>0</v>
      </c>
    </row>
    <row r="70" spans="2:9" ht="15" customHeight="1" x14ac:dyDescent="0.2">
      <c r="B70" t="s">
        <v>137</v>
      </c>
      <c r="C70" s="12">
        <v>2</v>
      </c>
      <c r="D70" s="8">
        <v>1.74</v>
      </c>
      <c r="E70" s="12">
        <v>2</v>
      </c>
      <c r="F70" s="8">
        <v>2.67</v>
      </c>
      <c r="G70" s="12">
        <v>0</v>
      </c>
      <c r="H70" s="8">
        <v>0</v>
      </c>
      <c r="I70" s="12">
        <v>0</v>
      </c>
    </row>
    <row r="72" spans="2:9" ht="15" customHeight="1" x14ac:dyDescent="0.2">
      <c r="B72" t="s">
        <v>235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74828-5F30-475D-B1D5-117A26AE9089}">
  <sheetPr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276</v>
      </c>
    </row>
    <row r="4" spans="2:9" ht="33" customHeight="1" x14ac:dyDescent="0.2">
      <c r="B4" t="s">
        <v>231</v>
      </c>
      <c r="C4" s="10" t="s">
        <v>59</v>
      </c>
      <c r="D4" s="10" t="s">
        <v>60</v>
      </c>
      <c r="E4" s="10" t="s">
        <v>61</v>
      </c>
      <c r="F4" s="10" t="s">
        <v>62</v>
      </c>
      <c r="G4" s="10" t="s">
        <v>63</v>
      </c>
      <c r="H4" s="10" t="s">
        <v>64</v>
      </c>
      <c r="I4" s="10" t="s">
        <v>65</v>
      </c>
    </row>
    <row r="5" spans="2:9" ht="15" customHeight="1" x14ac:dyDescent="0.2">
      <c r="B5" t="s">
        <v>43</v>
      </c>
      <c r="C5" s="12">
        <v>1</v>
      </c>
      <c r="D5" s="8">
        <v>0.26</v>
      </c>
      <c r="E5" s="12">
        <v>0</v>
      </c>
      <c r="F5" s="8">
        <v>0</v>
      </c>
      <c r="G5" s="12">
        <v>1</v>
      </c>
      <c r="H5" s="8">
        <v>0.63</v>
      </c>
      <c r="I5" s="12">
        <v>0</v>
      </c>
    </row>
    <row r="6" spans="2:9" ht="15" customHeight="1" x14ac:dyDescent="0.2">
      <c r="B6" t="s">
        <v>44</v>
      </c>
      <c r="C6" s="12">
        <v>64</v>
      </c>
      <c r="D6" s="8">
        <v>16.37</v>
      </c>
      <c r="E6" s="12">
        <v>30</v>
      </c>
      <c r="F6" s="8">
        <v>13.57</v>
      </c>
      <c r="G6" s="12">
        <v>34</v>
      </c>
      <c r="H6" s="8">
        <v>21.38</v>
      </c>
      <c r="I6" s="12">
        <v>0</v>
      </c>
    </row>
    <row r="7" spans="2:9" ht="15" customHeight="1" x14ac:dyDescent="0.2">
      <c r="B7" t="s">
        <v>45</v>
      </c>
      <c r="C7" s="12">
        <v>43</v>
      </c>
      <c r="D7" s="8">
        <v>11</v>
      </c>
      <c r="E7" s="12">
        <v>20</v>
      </c>
      <c r="F7" s="8">
        <v>9.0500000000000007</v>
      </c>
      <c r="G7" s="12">
        <v>23</v>
      </c>
      <c r="H7" s="8">
        <v>14.47</v>
      </c>
      <c r="I7" s="12">
        <v>0</v>
      </c>
    </row>
    <row r="8" spans="2:9" ht="15" customHeight="1" x14ac:dyDescent="0.2">
      <c r="B8" t="s">
        <v>46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47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48</v>
      </c>
      <c r="C10" s="12">
        <v>3</v>
      </c>
      <c r="D10" s="8">
        <v>0.77</v>
      </c>
      <c r="E10" s="12">
        <v>0</v>
      </c>
      <c r="F10" s="8">
        <v>0</v>
      </c>
      <c r="G10" s="12">
        <v>3</v>
      </c>
      <c r="H10" s="8">
        <v>1.89</v>
      </c>
      <c r="I10" s="12">
        <v>0</v>
      </c>
    </row>
    <row r="11" spans="2:9" ht="15" customHeight="1" x14ac:dyDescent="0.2">
      <c r="B11" t="s">
        <v>49</v>
      </c>
      <c r="C11" s="12">
        <v>85</v>
      </c>
      <c r="D11" s="8">
        <v>21.74</v>
      </c>
      <c r="E11" s="12">
        <v>40</v>
      </c>
      <c r="F11" s="8">
        <v>18.100000000000001</v>
      </c>
      <c r="G11" s="12">
        <v>45</v>
      </c>
      <c r="H11" s="8">
        <v>28.3</v>
      </c>
      <c r="I11" s="12">
        <v>0</v>
      </c>
    </row>
    <row r="12" spans="2:9" ht="15" customHeight="1" x14ac:dyDescent="0.2">
      <c r="B12" t="s">
        <v>50</v>
      </c>
      <c r="C12" s="12">
        <v>4</v>
      </c>
      <c r="D12" s="8">
        <v>1.02</v>
      </c>
      <c r="E12" s="12">
        <v>2</v>
      </c>
      <c r="F12" s="8">
        <v>0.9</v>
      </c>
      <c r="G12" s="12">
        <v>2</v>
      </c>
      <c r="H12" s="8">
        <v>1.26</v>
      </c>
      <c r="I12" s="12">
        <v>0</v>
      </c>
    </row>
    <row r="13" spans="2:9" ht="15" customHeight="1" x14ac:dyDescent="0.2">
      <c r="B13" t="s">
        <v>51</v>
      </c>
      <c r="C13" s="12">
        <v>14</v>
      </c>
      <c r="D13" s="8">
        <v>3.58</v>
      </c>
      <c r="E13" s="12">
        <v>5</v>
      </c>
      <c r="F13" s="8">
        <v>2.2599999999999998</v>
      </c>
      <c r="G13" s="12">
        <v>9</v>
      </c>
      <c r="H13" s="8">
        <v>5.66</v>
      </c>
      <c r="I13" s="12">
        <v>0</v>
      </c>
    </row>
    <row r="14" spans="2:9" ht="15" customHeight="1" x14ac:dyDescent="0.2">
      <c r="B14" t="s">
        <v>52</v>
      </c>
      <c r="C14" s="12">
        <v>14</v>
      </c>
      <c r="D14" s="8">
        <v>3.58</v>
      </c>
      <c r="E14" s="12">
        <v>10</v>
      </c>
      <c r="F14" s="8">
        <v>4.5199999999999996</v>
      </c>
      <c r="G14" s="12">
        <v>4</v>
      </c>
      <c r="H14" s="8">
        <v>2.52</v>
      </c>
      <c r="I14" s="12">
        <v>0</v>
      </c>
    </row>
    <row r="15" spans="2:9" ht="15" customHeight="1" x14ac:dyDescent="0.2">
      <c r="B15" t="s">
        <v>53</v>
      </c>
      <c r="C15" s="12">
        <v>44</v>
      </c>
      <c r="D15" s="8">
        <v>11.25</v>
      </c>
      <c r="E15" s="12">
        <v>30</v>
      </c>
      <c r="F15" s="8">
        <v>13.57</v>
      </c>
      <c r="G15" s="12">
        <v>13</v>
      </c>
      <c r="H15" s="8">
        <v>8.18</v>
      </c>
      <c r="I15" s="12">
        <v>0</v>
      </c>
    </row>
    <row r="16" spans="2:9" ht="15" customHeight="1" x14ac:dyDescent="0.2">
      <c r="B16" t="s">
        <v>54</v>
      </c>
      <c r="C16" s="12">
        <v>54</v>
      </c>
      <c r="D16" s="8">
        <v>13.81</v>
      </c>
      <c r="E16" s="12">
        <v>48</v>
      </c>
      <c r="F16" s="8">
        <v>21.72</v>
      </c>
      <c r="G16" s="12">
        <v>6</v>
      </c>
      <c r="H16" s="8">
        <v>3.77</v>
      </c>
      <c r="I16" s="12">
        <v>0</v>
      </c>
    </row>
    <row r="17" spans="2:9" ht="15" customHeight="1" x14ac:dyDescent="0.2">
      <c r="B17" t="s">
        <v>55</v>
      </c>
      <c r="C17" s="12">
        <v>20</v>
      </c>
      <c r="D17" s="8">
        <v>5.12</v>
      </c>
      <c r="E17" s="12">
        <v>12</v>
      </c>
      <c r="F17" s="8">
        <v>5.43</v>
      </c>
      <c r="G17" s="12">
        <v>2</v>
      </c>
      <c r="H17" s="8">
        <v>1.26</v>
      </c>
      <c r="I17" s="12">
        <v>0</v>
      </c>
    </row>
    <row r="18" spans="2:9" ht="15" customHeight="1" x14ac:dyDescent="0.2">
      <c r="B18" t="s">
        <v>56</v>
      </c>
      <c r="C18" s="12">
        <v>22</v>
      </c>
      <c r="D18" s="8">
        <v>5.63</v>
      </c>
      <c r="E18" s="12">
        <v>11</v>
      </c>
      <c r="F18" s="8">
        <v>4.9800000000000004</v>
      </c>
      <c r="G18" s="12">
        <v>8</v>
      </c>
      <c r="H18" s="8">
        <v>5.03</v>
      </c>
      <c r="I18" s="12">
        <v>0</v>
      </c>
    </row>
    <row r="19" spans="2:9" ht="15" customHeight="1" x14ac:dyDescent="0.2">
      <c r="B19" t="s">
        <v>57</v>
      </c>
      <c r="C19" s="12">
        <v>23</v>
      </c>
      <c r="D19" s="8">
        <v>5.88</v>
      </c>
      <c r="E19" s="12">
        <v>13</v>
      </c>
      <c r="F19" s="8">
        <v>5.88</v>
      </c>
      <c r="G19" s="12">
        <v>9</v>
      </c>
      <c r="H19" s="8">
        <v>5.66</v>
      </c>
      <c r="I19" s="12">
        <v>0</v>
      </c>
    </row>
    <row r="20" spans="2:9" ht="15" customHeight="1" x14ac:dyDescent="0.2">
      <c r="B20" s="9" t="s">
        <v>232</v>
      </c>
      <c r="C20" s="12">
        <f>SUM(LTBL_21521[総数／事業所数])</f>
        <v>391</v>
      </c>
      <c r="E20" s="12">
        <f>SUBTOTAL(109,LTBL_21521[個人／事業所数])</f>
        <v>221</v>
      </c>
      <c r="G20" s="12">
        <f>SUBTOTAL(109,LTBL_21521[法人／事業所数])</f>
        <v>159</v>
      </c>
      <c r="I20" s="12">
        <f>SUBTOTAL(109,LTBL_21521[法人以外の団体／事業所数])</f>
        <v>0</v>
      </c>
    </row>
    <row r="21" spans="2:9" ht="15" customHeight="1" x14ac:dyDescent="0.2">
      <c r="E21" s="11">
        <f>LTBL_21521[[#Totals],[個人／事業所数]]/LTBL_21521[[#Totals],[総数／事業所数]]</f>
        <v>0.56521739130434778</v>
      </c>
      <c r="G21" s="11">
        <f>LTBL_21521[[#Totals],[法人／事業所数]]/LTBL_21521[[#Totals],[総数／事業所数]]</f>
        <v>0.40664961636828645</v>
      </c>
      <c r="I21" s="11">
        <f>LTBL_21521[[#Totals],[法人以外の団体／事業所数]]/LTBL_21521[[#Totals],[総数／事業所数]]</f>
        <v>0</v>
      </c>
    </row>
    <row r="23" spans="2:9" ht="33" customHeight="1" x14ac:dyDescent="0.2">
      <c r="B23" t="s">
        <v>233</v>
      </c>
      <c r="C23" s="10" t="s">
        <v>59</v>
      </c>
      <c r="D23" s="10" t="s">
        <v>60</v>
      </c>
      <c r="E23" s="10" t="s">
        <v>61</v>
      </c>
      <c r="F23" s="10" t="s">
        <v>62</v>
      </c>
      <c r="G23" s="10" t="s">
        <v>63</v>
      </c>
      <c r="H23" s="10" t="s">
        <v>64</v>
      </c>
      <c r="I23" s="10" t="s">
        <v>65</v>
      </c>
    </row>
    <row r="24" spans="2:9" ht="15" customHeight="1" x14ac:dyDescent="0.2">
      <c r="B24" t="s">
        <v>82</v>
      </c>
      <c r="C24" s="12">
        <v>47</v>
      </c>
      <c r="D24" s="8">
        <v>12.02</v>
      </c>
      <c r="E24" s="12">
        <v>44</v>
      </c>
      <c r="F24" s="8">
        <v>19.91</v>
      </c>
      <c r="G24" s="12">
        <v>3</v>
      </c>
      <c r="H24" s="8">
        <v>1.89</v>
      </c>
      <c r="I24" s="12">
        <v>0</v>
      </c>
    </row>
    <row r="25" spans="2:9" ht="15" customHeight="1" x14ac:dyDescent="0.2">
      <c r="B25" t="s">
        <v>66</v>
      </c>
      <c r="C25" s="12">
        <v>38</v>
      </c>
      <c r="D25" s="8">
        <v>9.7200000000000006</v>
      </c>
      <c r="E25" s="12">
        <v>14</v>
      </c>
      <c r="F25" s="8">
        <v>6.33</v>
      </c>
      <c r="G25" s="12">
        <v>24</v>
      </c>
      <c r="H25" s="8">
        <v>15.09</v>
      </c>
      <c r="I25" s="12">
        <v>0</v>
      </c>
    </row>
    <row r="26" spans="2:9" ht="15" customHeight="1" x14ac:dyDescent="0.2">
      <c r="B26" t="s">
        <v>81</v>
      </c>
      <c r="C26" s="12">
        <v>38</v>
      </c>
      <c r="D26" s="8">
        <v>9.7200000000000006</v>
      </c>
      <c r="E26" s="12">
        <v>29</v>
      </c>
      <c r="F26" s="8">
        <v>13.12</v>
      </c>
      <c r="G26" s="12">
        <v>9</v>
      </c>
      <c r="H26" s="8">
        <v>5.66</v>
      </c>
      <c r="I26" s="12">
        <v>0</v>
      </c>
    </row>
    <row r="27" spans="2:9" ht="15" customHeight="1" x14ac:dyDescent="0.2">
      <c r="B27" t="s">
        <v>77</v>
      </c>
      <c r="C27" s="12">
        <v>27</v>
      </c>
      <c r="D27" s="8">
        <v>6.91</v>
      </c>
      <c r="E27" s="12">
        <v>15</v>
      </c>
      <c r="F27" s="8">
        <v>6.79</v>
      </c>
      <c r="G27" s="12">
        <v>12</v>
      </c>
      <c r="H27" s="8">
        <v>7.55</v>
      </c>
      <c r="I27" s="12">
        <v>0</v>
      </c>
    </row>
    <row r="28" spans="2:9" ht="15" customHeight="1" x14ac:dyDescent="0.2">
      <c r="B28" t="s">
        <v>75</v>
      </c>
      <c r="C28" s="12">
        <v>21</v>
      </c>
      <c r="D28" s="8">
        <v>5.37</v>
      </c>
      <c r="E28" s="12">
        <v>10</v>
      </c>
      <c r="F28" s="8">
        <v>4.5199999999999996</v>
      </c>
      <c r="G28" s="12">
        <v>11</v>
      </c>
      <c r="H28" s="8">
        <v>6.92</v>
      </c>
      <c r="I28" s="12">
        <v>0</v>
      </c>
    </row>
    <row r="29" spans="2:9" ht="15" customHeight="1" x14ac:dyDescent="0.2">
      <c r="B29" t="s">
        <v>83</v>
      </c>
      <c r="C29" s="12">
        <v>20</v>
      </c>
      <c r="D29" s="8">
        <v>5.12</v>
      </c>
      <c r="E29" s="12">
        <v>12</v>
      </c>
      <c r="F29" s="8">
        <v>5.43</v>
      </c>
      <c r="G29" s="12">
        <v>2</v>
      </c>
      <c r="H29" s="8">
        <v>1.26</v>
      </c>
      <c r="I29" s="12">
        <v>0</v>
      </c>
    </row>
    <row r="30" spans="2:9" ht="15" customHeight="1" x14ac:dyDescent="0.2">
      <c r="B30" t="s">
        <v>67</v>
      </c>
      <c r="C30" s="12">
        <v>17</v>
      </c>
      <c r="D30" s="8">
        <v>4.3499999999999996</v>
      </c>
      <c r="E30" s="12">
        <v>12</v>
      </c>
      <c r="F30" s="8">
        <v>5.43</v>
      </c>
      <c r="G30" s="12">
        <v>5</v>
      </c>
      <c r="H30" s="8">
        <v>3.14</v>
      </c>
      <c r="I30" s="12">
        <v>0</v>
      </c>
    </row>
    <row r="31" spans="2:9" ht="15" customHeight="1" x14ac:dyDescent="0.2">
      <c r="B31" t="s">
        <v>76</v>
      </c>
      <c r="C31" s="12">
        <v>13</v>
      </c>
      <c r="D31" s="8">
        <v>3.32</v>
      </c>
      <c r="E31" s="12">
        <v>6</v>
      </c>
      <c r="F31" s="8">
        <v>2.71</v>
      </c>
      <c r="G31" s="12">
        <v>7</v>
      </c>
      <c r="H31" s="8">
        <v>4.4000000000000004</v>
      </c>
      <c r="I31" s="12">
        <v>0</v>
      </c>
    </row>
    <row r="32" spans="2:9" ht="15" customHeight="1" x14ac:dyDescent="0.2">
      <c r="B32" t="s">
        <v>84</v>
      </c>
      <c r="C32" s="12">
        <v>13</v>
      </c>
      <c r="D32" s="8">
        <v>3.32</v>
      </c>
      <c r="E32" s="12">
        <v>11</v>
      </c>
      <c r="F32" s="8">
        <v>4.9800000000000004</v>
      </c>
      <c r="G32" s="12">
        <v>2</v>
      </c>
      <c r="H32" s="8">
        <v>1.26</v>
      </c>
      <c r="I32" s="12">
        <v>0</v>
      </c>
    </row>
    <row r="33" spans="2:9" ht="15" customHeight="1" x14ac:dyDescent="0.2">
      <c r="B33" t="s">
        <v>74</v>
      </c>
      <c r="C33" s="12">
        <v>11</v>
      </c>
      <c r="D33" s="8">
        <v>2.81</v>
      </c>
      <c r="E33" s="12">
        <v>5</v>
      </c>
      <c r="F33" s="8">
        <v>2.2599999999999998</v>
      </c>
      <c r="G33" s="12">
        <v>6</v>
      </c>
      <c r="H33" s="8">
        <v>3.77</v>
      </c>
      <c r="I33" s="12">
        <v>0</v>
      </c>
    </row>
    <row r="34" spans="2:9" ht="15" customHeight="1" x14ac:dyDescent="0.2">
      <c r="B34" t="s">
        <v>85</v>
      </c>
      <c r="C34" s="12">
        <v>11</v>
      </c>
      <c r="D34" s="8">
        <v>2.81</v>
      </c>
      <c r="E34" s="12">
        <v>9</v>
      </c>
      <c r="F34" s="8">
        <v>4.07</v>
      </c>
      <c r="G34" s="12">
        <v>2</v>
      </c>
      <c r="H34" s="8">
        <v>1.26</v>
      </c>
      <c r="I34" s="12">
        <v>0</v>
      </c>
    </row>
    <row r="35" spans="2:9" ht="15" customHeight="1" x14ac:dyDescent="0.2">
      <c r="B35" t="s">
        <v>68</v>
      </c>
      <c r="C35" s="12">
        <v>9</v>
      </c>
      <c r="D35" s="8">
        <v>2.2999999999999998</v>
      </c>
      <c r="E35" s="12">
        <v>4</v>
      </c>
      <c r="F35" s="8">
        <v>1.81</v>
      </c>
      <c r="G35" s="12">
        <v>5</v>
      </c>
      <c r="H35" s="8">
        <v>3.14</v>
      </c>
      <c r="I35" s="12">
        <v>0</v>
      </c>
    </row>
    <row r="36" spans="2:9" ht="15" customHeight="1" x14ac:dyDescent="0.2">
      <c r="B36" t="s">
        <v>80</v>
      </c>
      <c r="C36" s="12">
        <v>9</v>
      </c>
      <c r="D36" s="8">
        <v>2.2999999999999998</v>
      </c>
      <c r="E36" s="12">
        <v>6</v>
      </c>
      <c r="F36" s="8">
        <v>2.71</v>
      </c>
      <c r="G36" s="12">
        <v>3</v>
      </c>
      <c r="H36" s="8">
        <v>1.89</v>
      </c>
      <c r="I36" s="12">
        <v>0</v>
      </c>
    </row>
    <row r="37" spans="2:9" ht="15" customHeight="1" x14ac:dyDescent="0.2">
      <c r="B37" t="s">
        <v>97</v>
      </c>
      <c r="C37" s="12">
        <v>9</v>
      </c>
      <c r="D37" s="8">
        <v>2.2999999999999998</v>
      </c>
      <c r="E37" s="12">
        <v>0</v>
      </c>
      <c r="F37" s="8">
        <v>0</v>
      </c>
      <c r="G37" s="12">
        <v>6</v>
      </c>
      <c r="H37" s="8">
        <v>3.77</v>
      </c>
      <c r="I37" s="12">
        <v>0</v>
      </c>
    </row>
    <row r="38" spans="2:9" ht="15" customHeight="1" x14ac:dyDescent="0.2">
      <c r="B38" t="s">
        <v>78</v>
      </c>
      <c r="C38" s="12">
        <v>7</v>
      </c>
      <c r="D38" s="8">
        <v>1.79</v>
      </c>
      <c r="E38" s="12">
        <v>3</v>
      </c>
      <c r="F38" s="8">
        <v>1.36</v>
      </c>
      <c r="G38" s="12">
        <v>4</v>
      </c>
      <c r="H38" s="8">
        <v>2.52</v>
      </c>
      <c r="I38" s="12">
        <v>0</v>
      </c>
    </row>
    <row r="39" spans="2:9" ht="15" customHeight="1" x14ac:dyDescent="0.2">
      <c r="B39" t="s">
        <v>89</v>
      </c>
      <c r="C39" s="12">
        <v>6</v>
      </c>
      <c r="D39" s="8">
        <v>1.53</v>
      </c>
      <c r="E39" s="12">
        <v>0</v>
      </c>
      <c r="F39" s="8">
        <v>0</v>
      </c>
      <c r="G39" s="12">
        <v>6</v>
      </c>
      <c r="H39" s="8">
        <v>3.77</v>
      </c>
      <c r="I39" s="12">
        <v>0</v>
      </c>
    </row>
    <row r="40" spans="2:9" ht="15" customHeight="1" x14ac:dyDescent="0.2">
      <c r="B40" t="s">
        <v>102</v>
      </c>
      <c r="C40" s="12">
        <v>6</v>
      </c>
      <c r="D40" s="8">
        <v>1.53</v>
      </c>
      <c r="E40" s="12">
        <v>1</v>
      </c>
      <c r="F40" s="8">
        <v>0.45</v>
      </c>
      <c r="G40" s="12">
        <v>5</v>
      </c>
      <c r="H40" s="8">
        <v>3.14</v>
      </c>
      <c r="I40" s="12">
        <v>0</v>
      </c>
    </row>
    <row r="41" spans="2:9" ht="15" customHeight="1" x14ac:dyDescent="0.2">
      <c r="B41" t="s">
        <v>100</v>
      </c>
      <c r="C41" s="12">
        <v>6</v>
      </c>
      <c r="D41" s="8">
        <v>1.53</v>
      </c>
      <c r="E41" s="12">
        <v>1</v>
      </c>
      <c r="F41" s="8">
        <v>0.45</v>
      </c>
      <c r="G41" s="12">
        <v>4</v>
      </c>
      <c r="H41" s="8">
        <v>2.52</v>
      </c>
      <c r="I41" s="12">
        <v>0</v>
      </c>
    </row>
    <row r="42" spans="2:9" ht="15" customHeight="1" x14ac:dyDescent="0.2">
      <c r="B42" t="s">
        <v>90</v>
      </c>
      <c r="C42" s="12">
        <v>6</v>
      </c>
      <c r="D42" s="8">
        <v>1.53</v>
      </c>
      <c r="E42" s="12">
        <v>3</v>
      </c>
      <c r="F42" s="8">
        <v>1.36</v>
      </c>
      <c r="G42" s="12">
        <v>3</v>
      </c>
      <c r="H42" s="8">
        <v>1.89</v>
      </c>
      <c r="I42" s="12">
        <v>0</v>
      </c>
    </row>
    <row r="43" spans="2:9" ht="15" customHeight="1" x14ac:dyDescent="0.2">
      <c r="B43" t="s">
        <v>93</v>
      </c>
      <c r="C43" s="12">
        <v>5</v>
      </c>
      <c r="D43" s="8">
        <v>1.28</v>
      </c>
      <c r="E43" s="12">
        <v>5</v>
      </c>
      <c r="F43" s="8">
        <v>2.2599999999999998</v>
      </c>
      <c r="G43" s="12">
        <v>0</v>
      </c>
      <c r="H43" s="8">
        <v>0</v>
      </c>
      <c r="I43" s="12">
        <v>0</v>
      </c>
    </row>
    <row r="44" spans="2:9" ht="15" customHeight="1" x14ac:dyDescent="0.2">
      <c r="B44" t="s">
        <v>98</v>
      </c>
      <c r="C44" s="12">
        <v>5</v>
      </c>
      <c r="D44" s="8">
        <v>1.28</v>
      </c>
      <c r="E44" s="12">
        <v>1</v>
      </c>
      <c r="F44" s="8">
        <v>0.45</v>
      </c>
      <c r="G44" s="12">
        <v>4</v>
      </c>
      <c r="H44" s="8">
        <v>2.52</v>
      </c>
      <c r="I44" s="12">
        <v>0</v>
      </c>
    </row>
    <row r="45" spans="2:9" ht="15" customHeight="1" x14ac:dyDescent="0.2">
      <c r="B45" t="s">
        <v>72</v>
      </c>
      <c r="C45" s="12">
        <v>5</v>
      </c>
      <c r="D45" s="8">
        <v>1.28</v>
      </c>
      <c r="E45" s="12">
        <v>1</v>
      </c>
      <c r="F45" s="8">
        <v>0.45</v>
      </c>
      <c r="G45" s="12">
        <v>4</v>
      </c>
      <c r="H45" s="8">
        <v>2.52</v>
      </c>
      <c r="I45" s="12">
        <v>0</v>
      </c>
    </row>
    <row r="46" spans="2:9" ht="15" customHeight="1" x14ac:dyDescent="0.2">
      <c r="B46" t="s">
        <v>79</v>
      </c>
      <c r="C46" s="12">
        <v>5</v>
      </c>
      <c r="D46" s="8">
        <v>1.28</v>
      </c>
      <c r="E46" s="12">
        <v>4</v>
      </c>
      <c r="F46" s="8">
        <v>1.81</v>
      </c>
      <c r="G46" s="12">
        <v>1</v>
      </c>
      <c r="H46" s="8">
        <v>0.63</v>
      </c>
      <c r="I46" s="12">
        <v>0</v>
      </c>
    </row>
    <row r="47" spans="2:9" ht="15" customHeight="1" x14ac:dyDescent="0.2">
      <c r="B47" t="s">
        <v>106</v>
      </c>
      <c r="C47" s="12">
        <v>5</v>
      </c>
      <c r="D47" s="8">
        <v>1.28</v>
      </c>
      <c r="E47" s="12">
        <v>3</v>
      </c>
      <c r="F47" s="8">
        <v>1.36</v>
      </c>
      <c r="G47" s="12">
        <v>2</v>
      </c>
      <c r="H47" s="8">
        <v>1.26</v>
      </c>
      <c r="I47" s="12">
        <v>0</v>
      </c>
    </row>
    <row r="50" spans="2:9" ht="33" customHeight="1" x14ac:dyDescent="0.2">
      <c r="B50" t="s">
        <v>234</v>
      </c>
      <c r="C50" s="10" t="s">
        <v>59</v>
      </c>
      <c r="D50" s="10" t="s">
        <v>60</v>
      </c>
      <c r="E50" s="10" t="s">
        <v>61</v>
      </c>
      <c r="F50" s="10" t="s">
        <v>62</v>
      </c>
      <c r="G50" s="10" t="s">
        <v>63</v>
      </c>
      <c r="H50" s="10" t="s">
        <v>64</v>
      </c>
      <c r="I50" s="10" t="s">
        <v>65</v>
      </c>
    </row>
    <row r="51" spans="2:9" ht="15" customHeight="1" x14ac:dyDescent="0.2">
      <c r="B51" t="s">
        <v>138</v>
      </c>
      <c r="C51" s="12">
        <v>24</v>
      </c>
      <c r="D51" s="8">
        <v>6.14</v>
      </c>
      <c r="E51" s="12">
        <v>24</v>
      </c>
      <c r="F51" s="8">
        <v>10.86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122</v>
      </c>
      <c r="C52" s="12">
        <v>17</v>
      </c>
      <c r="D52" s="8">
        <v>4.3499999999999996</v>
      </c>
      <c r="E52" s="12">
        <v>3</v>
      </c>
      <c r="F52" s="8">
        <v>1.36</v>
      </c>
      <c r="G52" s="12">
        <v>14</v>
      </c>
      <c r="H52" s="8">
        <v>8.81</v>
      </c>
      <c r="I52" s="12">
        <v>0</v>
      </c>
    </row>
    <row r="53" spans="2:9" ht="15" customHeight="1" x14ac:dyDescent="0.2">
      <c r="B53" t="s">
        <v>137</v>
      </c>
      <c r="C53" s="12">
        <v>17</v>
      </c>
      <c r="D53" s="8">
        <v>4.3499999999999996</v>
      </c>
      <c r="E53" s="12">
        <v>16</v>
      </c>
      <c r="F53" s="8">
        <v>7.24</v>
      </c>
      <c r="G53" s="12">
        <v>1</v>
      </c>
      <c r="H53" s="8">
        <v>0.63</v>
      </c>
      <c r="I53" s="12">
        <v>0</v>
      </c>
    </row>
    <row r="54" spans="2:9" ht="15" customHeight="1" x14ac:dyDescent="0.2">
      <c r="B54" t="s">
        <v>136</v>
      </c>
      <c r="C54" s="12">
        <v>14</v>
      </c>
      <c r="D54" s="8">
        <v>3.58</v>
      </c>
      <c r="E54" s="12">
        <v>11</v>
      </c>
      <c r="F54" s="8">
        <v>4.9800000000000004</v>
      </c>
      <c r="G54" s="12">
        <v>3</v>
      </c>
      <c r="H54" s="8">
        <v>1.89</v>
      </c>
      <c r="I54" s="12">
        <v>0</v>
      </c>
    </row>
    <row r="55" spans="2:9" ht="15" customHeight="1" x14ac:dyDescent="0.2">
      <c r="B55" t="s">
        <v>124</v>
      </c>
      <c r="C55" s="12">
        <v>11</v>
      </c>
      <c r="D55" s="8">
        <v>2.81</v>
      </c>
      <c r="E55" s="12">
        <v>7</v>
      </c>
      <c r="F55" s="8">
        <v>3.17</v>
      </c>
      <c r="G55" s="12">
        <v>4</v>
      </c>
      <c r="H55" s="8">
        <v>2.52</v>
      </c>
      <c r="I55" s="12">
        <v>0</v>
      </c>
    </row>
    <row r="56" spans="2:9" ht="15" customHeight="1" x14ac:dyDescent="0.2">
      <c r="B56" t="s">
        <v>139</v>
      </c>
      <c r="C56" s="12">
        <v>11</v>
      </c>
      <c r="D56" s="8">
        <v>2.81</v>
      </c>
      <c r="E56" s="12">
        <v>9</v>
      </c>
      <c r="F56" s="8">
        <v>4.07</v>
      </c>
      <c r="G56" s="12">
        <v>2</v>
      </c>
      <c r="H56" s="8">
        <v>1.26</v>
      </c>
      <c r="I56" s="12">
        <v>0</v>
      </c>
    </row>
    <row r="57" spans="2:9" ht="15" customHeight="1" x14ac:dyDescent="0.2">
      <c r="B57" t="s">
        <v>140</v>
      </c>
      <c r="C57" s="12">
        <v>11</v>
      </c>
      <c r="D57" s="8">
        <v>2.81</v>
      </c>
      <c r="E57" s="12">
        <v>9</v>
      </c>
      <c r="F57" s="8">
        <v>4.07</v>
      </c>
      <c r="G57" s="12">
        <v>2</v>
      </c>
      <c r="H57" s="8">
        <v>1.26</v>
      </c>
      <c r="I57" s="12">
        <v>0</v>
      </c>
    </row>
    <row r="58" spans="2:9" ht="15" customHeight="1" x14ac:dyDescent="0.2">
      <c r="B58" t="s">
        <v>141</v>
      </c>
      <c r="C58" s="12">
        <v>11</v>
      </c>
      <c r="D58" s="8">
        <v>2.81</v>
      </c>
      <c r="E58" s="12">
        <v>9</v>
      </c>
      <c r="F58" s="8">
        <v>4.07</v>
      </c>
      <c r="G58" s="12">
        <v>2</v>
      </c>
      <c r="H58" s="8">
        <v>1.26</v>
      </c>
      <c r="I58" s="12">
        <v>0</v>
      </c>
    </row>
    <row r="59" spans="2:9" ht="15" customHeight="1" x14ac:dyDescent="0.2">
      <c r="B59" t="s">
        <v>128</v>
      </c>
      <c r="C59" s="12">
        <v>9</v>
      </c>
      <c r="D59" s="8">
        <v>2.2999999999999998</v>
      </c>
      <c r="E59" s="12">
        <v>4</v>
      </c>
      <c r="F59" s="8">
        <v>1.81</v>
      </c>
      <c r="G59" s="12">
        <v>5</v>
      </c>
      <c r="H59" s="8">
        <v>3.14</v>
      </c>
      <c r="I59" s="12">
        <v>0</v>
      </c>
    </row>
    <row r="60" spans="2:9" ht="15" customHeight="1" x14ac:dyDescent="0.2">
      <c r="B60" t="s">
        <v>157</v>
      </c>
      <c r="C60" s="12">
        <v>8</v>
      </c>
      <c r="D60" s="8">
        <v>2.0499999999999998</v>
      </c>
      <c r="E60" s="12">
        <v>3</v>
      </c>
      <c r="F60" s="8">
        <v>1.36</v>
      </c>
      <c r="G60" s="12">
        <v>5</v>
      </c>
      <c r="H60" s="8">
        <v>3.14</v>
      </c>
      <c r="I60" s="12">
        <v>0</v>
      </c>
    </row>
    <row r="61" spans="2:9" ht="15" customHeight="1" x14ac:dyDescent="0.2">
      <c r="B61" t="s">
        <v>130</v>
      </c>
      <c r="C61" s="12">
        <v>8</v>
      </c>
      <c r="D61" s="8">
        <v>2.0499999999999998</v>
      </c>
      <c r="E61" s="12">
        <v>5</v>
      </c>
      <c r="F61" s="8">
        <v>2.2599999999999998</v>
      </c>
      <c r="G61" s="12">
        <v>3</v>
      </c>
      <c r="H61" s="8">
        <v>1.89</v>
      </c>
      <c r="I61" s="12">
        <v>0</v>
      </c>
    </row>
    <row r="62" spans="2:9" ht="15" customHeight="1" x14ac:dyDescent="0.2">
      <c r="B62" t="s">
        <v>127</v>
      </c>
      <c r="C62" s="12">
        <v>7</v>
      </c>
      <c r="D62" s="8">
        <v>1.79</v>
      </c>
      <c r="E62" s="12">
        <v>2</v>
      </c>
      <c r="F62" s="8">
        <v>0.9</v>
      </c>
      <c r="G62" s="12">
        <v>5</v>
      </c>
      <c r="H62" s="8">
        <v>3.14</v>
      </c>
      <c r="I62" s="12">
        <v>0</v>
      </c>
    </row>
    <row r="63" spans="2:9" ht="15" customHeight="1" x14ac:dyDescent="0.2">
      <c r="B63" t="s">
        <v>135</v>
      </c>
      <c r="C63" s="12">
        <v>7</v>
      </c>
      <c r="D63" s="8">
        <v>1.79</v>
      </c>
      <c r="E63" s="12">
        <v>7</v>
      </c>
      <c r="F63" s="8">
        <v>3.17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129</v>
      </c>
      <c r="C64" s="12">
        <v>6</v>
      </c>
      <c r="D64" s="8">
        <v>1.53</v>
      </c>
      <c r="E64" s="12">
        <v>4</v>
      </c>
      <c r="F64" s="8">
        <v>1.81</v>
      </c>
      <c r="G64" s="12">
        <v>2</v>
      </c>
      <c r="H64" s="8">
        <v>1.26</v>
      </c>
      <c r="I64" s="12">
        <v>0</v>
      </c>
    </row>
    <row r="65" spans="2:9" ht="15" customHeight="1" x14ac:dyDescent="0.2">
      <c r="B65" t="s">
        <v>167</v>
      </c>
      <c r="C65" s="12">
        <v>6</v>
      </c>
      <c r="D65" s="8">
        <v>1.53</v>
      </c>
      <c r="E65" s="12">
        <v>3</v>
      </c>
      <c r="F65" s="8">
        <v>1.36</v>
      </c>
      <c r="G65" s="12">
        <v>3</v>
      </c>
      <c r="H65" s="8">
        <v>1.89</v>
      </c>
      <c r="I65" s="12">
        <v>0</v>
      </c>
    </row>
    <row r="66" spans="2:9" ht="15" customHeight="1" x14ac:dyDescent="0.2">
      <c r="B66" t="s">
        <v>134</v>
      </c>
      <c r="C66" s="12">
        <v>6</v>
      </c>
      <c r="D66" s="8">
        <v>1.53</v>
      </c>
      <c r="E66" s="12">
        <v>4</v>
      </c>
      <c r="F66" s="8">
        <v>1.81</v>
      </c>
      <c r="G66" s="12">
        <v>2</v>
      </c>
      <c r="H66" s="8">
        <v>1.26</v>
      </c>
      <c r="I66" s="12">
        <v>0</v>
      </c>
    </row>
    <row r="67" spans="2:9" ht="15" customHeight="1" x14ac:dyDescent="0.2">
      <c r="B67" t="s">
        <v>144</v>
      </c>
      <c r="C67" s="12">
        <v>6</v>
      </c>
      <c r="D67" s="8">
        <v>1.53</v>
      </c>
      <c r="E67" s="12">
        <v>4</v>
      </c>
      <c r="F67" s="8">
        <v>1.81</v>
      </c>
      <c r="G67" s="12">
        <v>2</v>
      </c>
      <c r="H67" s="8">
        <v>1.26</v>
      </c>
      <c r="I67" s="12">
        <v>0</v>
      </c>
    </row>
    <row r="68" spans="2:9" ht="15" customHeight="1" x14ac:dyDescent="0.2">
      <c r="B68" t="s">
        <v>123</v>
      </c>
      <c r="C68" s="12">
        <v>5</v>
      </c>
      <c r="D68" s="8">
        <v>1.28</v>
      </c>
      <c r="E68" s="12">
        <v>3</v>
      </c>
      <c r="F68" s="8">
        <v>1.36</v>
      </c>
      <c r="G68" s="12">
        <v>2</v>
      </c>
      <c r="H68" s="8">
        <v>1.26</v>
      </c>
      <c r="I68" s="12">
        <v>0</v>
      </c>
    </row>
    <row r="69" spans="2:9" ht="15" customHeight="1" x14ac:dyDescent="0.2">
      <c r="B69" t="s">
        <v>190</v>
      </c>
      <c r="C69" s="12">
        <v>5</v>
      </c>
      <c r="D69" s="8">
        <v>1.28</v>
      </c>
      <c r="E69" s="12">
        <v>1</v>
      </c>
      <c r="F69" s="8">
        <v>0.45</v>
      </c>
      <c r="G69" s="12">
        <v>4</v>
      </c>
      <c r="H69" s="8">
        <v>2.52</v>
      </c>
      <c r="I69" s="12">
        <v>0</v>
      </c>
    </row>
    <row r="70" spans="2:9" ht="15" customHeight="1" x14ac:dyDescent="0.2">
      <c r="B70" t="s">
        <v>189</v>
      </c>
      <c r="C70" s="12">
        <v>5</v>
      </c>
      <c r="D70" s="8">
        <v>1.28</v>
      </c>
      <c r="E70" s="12">
        <v>4</v>
      </c>
      <c r="F70" s="8">
        <v>1.81</v>
      </c>
      <c r="G70" s="12">
        <v>1</v>
      </c>
      <c r="H70" s="8">
        <v>0.63</v>
      </c>
      <c r="I70" s="12">
        <v>0</v>
      </c>
    </row>
    <row r="71" spans="2:9" ht="15" customHeight="1" x14ac:dyDescent="0.2">
      <c r="B71" t="s">
        <v>158</v>
      </c>
      <c r="C71" s="12">
        <v>5</v>
      </c>
      <c r="D71" s="8">
        <v>1.28</v>
      </c>
      <c r="E71" s="12">
        <v>3</v>
      </c>
      <c r="F71" s="8">
        <v>1.36</v>
      </c>
      <c r="G71" s="12">
        <v>2</v>
      </c>
      <c r="H71" s="8">
        <v>1.26</v>
      </c>
      <c r="I71" s="12">
        <v>0</v>
      </c>
    </row>
    <row r="72" spans="2:9" ht="15" customHeight="1" x14ac:dyDescent="0.2">
      <c r="B72" t="s">
        <v>181</v>
      </c>
      <c r="C72" s="12">
        <v>5</v>
      </c>
      <c r="D72" s="8">
        <v>1.28</v>
      </c>
      <c r="E72" s="12">
        <v>2</v>
      </c>
      <c r="F72" s="8">
        <v>0.9</v>
      </c>
      <c r="G72" s="12">
        <v>3</v>
      </c>
      <c r="H72" s="8">
        <v>1.89</v>
      </c>
      <c r="I72" s="12">
        <v>0</v>
      </c>
    </row>
    <row r="73" spans="2:9" ht="15" customHeight="1" x14ac:dyDescent="0.2">
      <c r="B73" t="s">
        <v>195</v>
      </c>
      <c r="C73" s="12">
        <v>5</v>
      </c>
      <c r="D73" s="8">
        <v>1.28</v>
      </c>
      <c r="E73" s="12">
        <v>0</v>
      </c>
      <c r="F73" s="8">
        <v>0</v>
      </c>
      <c r="G73" s="12">
        <v>4</v>
      </c>
      <c r="H73" s="8">
        <v>2.52</v>
      </c>
      <c r="I73" s="12">
        <v>0</v>
      </c>
    </row>
    <row r="75" spans="2:9" ht="15" customHeight="1" x14ac:dyDescent="0.2">
      <c r="B75" t="s">
        <v>235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7CE74-2F42-484D-98D2-ECF4044FCA62}">
  <sheetPr>
    <pageSetUpPr fitToPage="1"/>
  </sheetPr>
  <dimension ref="B2:I8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277</v>
      </c>
    </row>
    <row r="4" spans="2:9" ht="33" customHeight="1" x14ac:dyDescent="0.2">
      <c r="B4" t="s">
        <v>231</v>
      </c>
      <c r="C4" s="10" t="s">
        <v>59</v>
      </c>
      <c r="D4" s="10" t="s">
        <v>60</v>
      </c>
      <c r="E4" s="10" t="s">
        <v>61</v>
      </c>
      <c r="F4" s="10" t="s">
        <v>62</v>
      </c>
      <c r="G4" s="10" t="s">
        <v>63</v>
      </c>
      <c r="H4" s="10" t="s">
        <v>64</v>
      </c>
      <c r="I4" s="10" t="s">
        <v>65</v>
      </c>
    </row>
    <row r="5" spans="2:9" ht="15" customHeight="1" x14ac:dyDescent="0.2">
      <c r="B5" t="s">
        <v>43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44</v>
      </c>
      <c r="C6" s="12">
        <v>10</v>
      </c>
      <c r="D6" s="8">
        <v>6.71</v>
      </c>
      <c r="E6" s="12">
        <v>6</v>
      </c>
      <c r="F6" s="8">
        <v>5.77</v>
      </c>
      <c r="G6" s="12">
        <v>4</v>
      </c>
      <c r="H6" s="8">
        <v>9.3000000000000007</v>
      </c>
      <c r="I6" s="12">
        <v>0</v>
      </c>
    </row>
    <row r="7" spans="2:9" ht="15" customHeight="1" x14ac:dyDescent="0.2">
      <c r="B7" t="s">
        <v>45</v>
      </c>
      <c r="C7" s="12">
        <v>8</v>
      </c>
      <c r="D7" s="8">
        <v>5.37</v>
      </c>
      <c r="E7" s="12">
        <v>3</v>
      </c>
      <c r="F7" s="8">
        <v>2.88</v>
      </c>
      <c r="G7" s="12">
        <v>4</v>
      </c>
      <c r="H7" s="8">
        <v>9.3000000000000007</v>
      </c>
      <c r="I7" s="12">
        <v>1</v>
      </c>
    </row>
    <row r="8" spans="2:9" ht="15" customHeight="1" x14ac:dyDescent="0.2">
      <c r="B8" t="s">
        <v>46</v>
      </c>
      <c r="C8" s="12">
        <v>2</v>
      </c>
      <c r="D8" s="8">
        <v>1.34</v>
      </c>
      <c r="E8" s="12">
        <v>0</v>
      </c>
      <c r="F8" s="8">
        <v>0</v>
      </c>
      <c r="G8" s="12">
        <v>1</v>
      </c>
      <c r="H8" s="8">
        <v>2.33</v>
      </c>
      <c r="I8" s="12">
        <v>0</v>
      </c>
    </row>
    <row r="9" spans="2:9" ht="15" customHeight="1" x14ac:dyDescent="0.2">
      <c r="B9" t="s">
        <v>47</v>
      </c>
      <c r="C9" s="12">
        <v>1</v>
      </c>
      <c r="D9" s="8">
        <v>0.67</v>
      </c>
      <c r="E9" s="12">
        <v>0</v>
      </c>
      <c r="F9" s="8">
        <v>0</v>
      </c>
      <c r="G9" s="12">
        <v>1</v>
      </c>
      <c r="H9" s="8">
        <v>2.33</v>
      </c>
      <c r="I9" s="12">
        <v>0</v>
      </c>
    </row>
    <row r="10" spans="2:9" ht="15" customHeight="1" x14ac:dyDescent="0.2">
      <c r="B10" t="s">
        <v>48</v>
      </c>
      <c r="C10" s="12">
        <v>1</v>
      </c>
      <c r="D10" s="8">
        <v>0.67</v>
      </c>
      <c r="E10" s="12">
        <v>0</v>
      </c>
      <c r="F10" s="8">
        <v>0</v>
      </c>
      <c r="G10" s="12">
        <v>1</v>
      </c>
      <c r="H10" s="8">
        <v>2.33</v>
      </c>
      <c r="I10" s="12">
        <v>0</v>
      </c>
    </row>
    <row r="11" spans="2:9" ht="15" customHeight="1" x14ac:dyDescent="0.2">
      <c r="B11" t="s">
        <v>49</v>
      </c>
      <c r="C11" s="12">
        <v>34</v>
      </c>
      <c r="D11" s="8">
        <v>22.82</v>
      </c>
      <c r="E11" s="12">
        <v>18</v>
      </c>
      <c r="F11" s="8">
        <v>17.309999999999999</v>
      </c>
      <c r="G11" s="12">
        <v>16</v>
      </c>
      <c r="H11" s="8">
        <v>37.21</v>
      </c>
      <c r="I11" s="12">
        <v>0</v>
      </c>
    </row>
    <row r="12" spans="2:9" ht="15" customHeight="1" x14ac:dyDescent="0.2">
      <c r="B12" t="s">
        <v>50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51</v>
      </c>
      <c r="C13" s="12">
        <v>0</v>
      </c>
      <c r="D13" s="8">
        <v>0</v>
      </c>
      <c r="E13" s="12">
        <v>0</v>
      </c>
      <c r="F13" s="8">
        <v>0</v>
      </c>
      <c r="G13" s="12">
        <v>0</v>
      </c>
      <c r="H13" s="8">
        <v>0</v>
      </c>
      <c r="I13" s="12">
        <v>0</v>
      </c>
    </row>
    <row r="14" spans="2:9" ht="15" customHeight="1" x14ac:dyDescent="0.2">
      <c r="B14" t="s">
        <v>52</v>
      </c>
      <c r="C14" s="12">
        <v>1</v>
      </c>
      <c r="D14" s="8">
        <v>0.67</v>
      </c>
      <c r="E14" s="12">
        <v>1</v>
      </c>
      <c r="F14" s="8">
        <v>0.96</v>
      </c>
      <c r="G14" s="12">
        <v>0</v>
      </c>
      <c r="H14" s="8">
        <v>0</v>
      </c>
      <c r="I14" s="12">
        <v>0</v>
      </c>
    </row>
    <row r="15" spans="2:9" ht="15" customHeight="1" x14ac:dyDescent="0.2">
      <c r="B15" t="s">
        <v>53</v>
      </c>
      <c r="C15" s="12">
        <v>69</v>
      </c>
      <c r="D15" s="8">
        <v>46.31</v>
      </c>
      <c r="E15" s="12">
        <v>63</v>
      </c>
      <c r="F15" s="8">
        <v>60.58</v>
      </c>
      <c r="G15" s="12">
        <v>6</v>
      </c>
      <c r="H15" s="8">
        <v>13.95</v>
      </c>
      <c r="I15" s="12">
        <v>0</v>
      </c>
    </row>
    <row r="16" spans="2:9" ht="15" customHeight="1" x14ac:dyDescent="0.2">
      <c r="B16" t="s">
        <v>54</v>
      </c>
      <c r="C16" s="12">
        <v>3</v>
      </c>
      <c r="D16" s="8">
        <v>2.0099999999999998</v>
      </c>
      <c r="E16" s="12">
        <v>3</v>
      </c>
      <c r="F16" s="8">
        <v>2.88</v>
      </c>
      <c r="G16" s="12">
        <v>0</v>
      </c>
      <c r="H16" s="8">
        <v>0</v>
      </c>
      <c r="I16" s="12">
        <v>0</v>
      </c>
    </row>
    <row r="17" spans="2:9" ht="15" customHeight="1" x14ac:dyDescent="0.2">
      <c r="B17" t="s">
        <v>55</v>
      </c>
      <c r="C17" s="12">
        <v>8</v>
      </c>
      <c r="D17" s="8">
        <v>5.37</v>
      </c>
      <c r="E17" s="12">
        <v>4</v>
      </c>
      <c r="F17" s="8">
        <v>3.85</v>
      </c>
      <c r="G17" s="12">
        <v>4</v>
      </c>
      <c r="H17" s="8">
        <v>9.3000000000000007</v>
      </c>
      <c r="I17" s="12">
        <v>0</v>
      </c>
    </row>
    <row r="18" spans="2:9" ht="15" customHeight="1" x14ac:dyDescent="0.2">
      <c r="B18" t="s">
        <v>56</v>
      </c>
      <c r="C18" s="12">
        <v>6</v>
      </c>
      <c r="D18" s="8">
        <v>4.03</v>
      </c>
      <c r="E18" s="12">
        <v>2</v>
      </c>
      <c r="F18" s="8">
        <v>1.92</v>
      </c>
      <c r="G18" s="12">
        <v>4</v>
      </c>
      <c r="H18" s="8">
        <v>9.3000000000000007</v>
      </c>
      <c r="I18" s="12">
        <v>0</v>
      </c>
    </row>
    <row r="19" spans="2:9" ht="15" customHeight="1" x14ac:dyDescent="0.2">
      <c r="B19" t="s">
        <v>57</v>
      </c>
      <c r="C19" s="12">
        <v>6</v>
      </c>
      <c r="D19" s="8">
        <v>4.03</v>
      </c>
      <c r="E19" s="12">
        <v>4</v>
      </c>
      <c r="F19" s="8">
        <v>3.85</v>
      </c>
      <c r="G19" s="12">
        <v>2</v>
      </c>
      <c r="H19" s="8">
        <v>4.6500000000000004</v>
      </c>
      <c r="I19" s="12">
        <v>0</v>
      </c>
    </row>
    <row r="20" spans="2:9" ht="15" customHeight="1" x14ac:dyDescent="0.2">
      <c r="B20" s="9" t="s">
        <v>232</v>
      </c>
      <c r="C20" s="12">
        <f>SUM(LTBL_21604[総数／事業所数])</f>
        <v>149</v>
      </c>
      <c r="E20" s="12">
        <f>SUBTOTAL(109,LTBL_21604[個人／事業所数])</f>
        <v>104</v>
      </c>
      <c r="G20" s="12">
        <f>SUBTOTAL(109,LTBL_21604[法人／事業所数])</f>
        <v>43</v>
      </c>
      <c r="I20" s="12">
        <f>SUBTOTAL(109,LTBL_21604[法人以外の団体／事業所数])</f>
        <v>1</v>
      </c>
    </row>
    <row r="21" spans="2:9" ht="15" customHeight="1" x14ac:dyDescent="0.2">
      <c r="E21" s="11">
        <f>LTBL_21604[[#Totals],[個人／事業所数]]/LTBL_21604[[#Totals],[総数／事業所数]]</f>
        <v>0.69798657718120805</v>
      </c>
      <c r="G21" s="11">
        <f>LTBL_21604[[#Totals],[法人／事業所数]]/LTBL_21604[[#Totals],[総数／事業所数]]</f>
        <v>0.28859060402684567</v>
      </c>
      <c r="I21" s="11">
        <f>LTBL_21604[[#Totals],[法人以外の団体／事業所数]]/LTBL_21604[[#Totals],[総数／事業所数]]</f>
        <v>6.7114093959731542E-3</v>
      </c>
    </row>
    <row r="23" spans="2:9" ht="33" customHeight="1" x14ac:dyDescent="0.2">
      <c r="B23" t="s">
        <v>233</v>
      </c>
      <c r="C23" s="10" t="s">
        <v>59</v>
      </c>
      <c r="D23" s="10" t="s">
        <v>60</v>
      </c>
      <c r="E23" s="10" t="s">
        <v>61</v>
      </c>
      <c r="F23" s="10" t="s">
        <v>62</v>
      </c>
      <c r="G23" s="10" t="s">
        <v>63</v>
      </c>
      <c r="H23" s="10" t="s">
        <v>64</v>
      </c>
      <c r="I23" s="10" t="s">
        <v>65</v>
      </c>
    </row>
    <row r="24" spans="2:9" ht="15" customHeight="1" x14ac:dyDescent="0.2">
      <c r="B24" t="s">
        <v>95</v>
      </c>
      <c r="C24" s="12">
        <v>36</v>
      </c>
      <c r="D24" s="8">
        <v>24.16</v>
      </c>
      <c r="E24" s="12">
        <v>33</v>
      </c>
      <c r="F24" s="8">
        <v>31.73</v>
      </c>
      <c r="G24" s="12">
        <v>3</v>
      </c>
      <c r="H24" s="8">
        <v>6.98</v>
      </c>
      <c r="I24" s="12">
        <v>0</v>
      </c>
    </row>
    <row r="25" spans="2:9" ht="15" customHeight="1" x14ac:dyDescent="0.2">
      <c r="B25" t="s">
        <v>81</v>
      </c>
      <c r="C25" s="12">
        <v>30</v>
      </c>
      <c r="D25" s="8">
        <v>20.13</v>
      </c>
      <c r="E25" s="12">
        <v>27</v>
      </c>
      <c r="F25" s="8">
        <v>25.96</v>
      </c>
      <c r="G25" s="12">
        <v>3</v>
      </c>
      <c r="H25" s="8">
        <v>6.98</v>
      </c>
      <c r="I25" s="12">
        <v>0</v>
      </c>
    </row>
    <row r="26" spans="2:9" ht="15" customHeight="1" x14ac:dyDescent="0.2">
      <c r="B26" t="s">
        <v>75</v>
      </c>
      <c r="C26" s="12">
        <v>19</v>
      </c>
      <c r="D26" s="8">
        <v>12.75</v>
      </c>
      <c r="E26" s="12">
        <v>9</v>
      </c>
      <c r="F26" s="8">
        <v>8.65</v>
      </c>
      <c r="G26" s="12">
        <v>10</v>
      </c>
      <c r="H26" s="8">
        <v>23.26</v>
      </c>
      <c r="I26" s="12">
        <v>0</v>
      </c>
    </row>
    <row r="27" spans="2:9" ht="15" customHeight="1" x14ac:dyDescent="0.2">
      <c r="B27" t="s">
        <v>77</v>
      </c>
      <c r="C27" s="12">
        <v>11</v>
      </c>
      <c r="D27" s="8">
        <v>7.38</v>
      </c>
      <c r="E27" s="12">
        <v>6</v>
      </c>
      <c r="F27" s="8">
        <v>5.77</v>
      </c>
      <c r="G27" s="12">
        <v>5</v>
      </c>
      <c r="H27" s="8">
        <v>11.63</v>
      </c>
      <c r="I27" s="12">
        <v>0</v>
      </c>
    </row>
    <row r="28" spans="2:9" ht="15" customHeight="1" x14ac:dyDescent="0.2">
      <c r="B28" t="s">
        <v>83</v>
      </c>
      <c r="C28" s="12">
        <v>8</v>
      </c>
      <c r="D28" s="8">
        <v>5.37</v>
      </c>
      <c r="E28" s="12">
        <v>4</v>
      </c>
      <c r="F28" s="8">
        <v>3.85</v>
      </c>
      <c r="G28" s="12">
        <v>4</v>
      </c>
      <c r="H28" s="8">
        <v>9.3000000000000007</v>
      </c>
      <c r="I28" s="12">
        <v>0</v>
      </c>
    </row>
    <row r="29" spans="2:9" ht="15" customHeight="1" x14ac:dyDescent="0.2">
      <c r="B29" t="s">
        <v>66</v>
      </c>
      <c r="C29" s="12">
        <v>7</v>
      </c>
      <c r="D29" s="8">
        <v>4.7</v>
      </c>
      <c r="E29" s="12">
        <v>5</v>
      </c>
      <c r="F29" s="8">
        <v>4.8099999999999996</v>
      </c>
      <c r="G29" s="12">
        <v>2</v>
      </c>
      <c r="H29" s="8">
        <v>4.6500000000000004</v>
      </c>
      <c r="I29" s="12">
        <v>0</v>
      </c>
    </row>
    <row r="30" spans="2:9" ht="15" customHeight="1" x14ac:dyDescent="0.2">
      <c r="B30" t="s">
        <v>91</v>
      </c>
      <c r="C30" s="12">
        <v>3</v>
      </c>
      <c r="D30" s="8">
        <v>2.0099999999999998</v>
      </c>
      <c r="E30" s="12">
        <v>2</v>
      </c>
      <c r="F30" s="8">
        <v>1.92</v>
      </c>
      <c r="G30" s="12">
        <v>0</v>
      </c>
      <c r="H30" s="8">
        <v>0</v>
      </c>
      <c r="I30" s="12">
        <v>1</v>
      </c>
    </row>
    <row r="31" spans="2:9" ht="15" customHeight="1" x14ac:dyDescent="0.2">
      <c r="B31" t="s">
        <v>100</v>
      </c>
      <c r="C31" s="12">
        <v>3</v>
      </c>
      <c r="D31" s="8">
        <v>2.0099999999999998</v>
      </c>
      <c r="E31" s="12">
        <v>3</v>
      </c>
      <c r="F31" s="8">
        <v>2.88</v>
      </c>
      <c r="G31" s="12">
        <v>0</v>
      </c>
      <c r="H31" s="8">
        <v>0</v>
      </c>
      <c r="I31" s="12">
        <v>0</v>
      </c>
    </row>
    <row r="32" spans="2:9" ht="15" customHeight="1" x14ac:dyDescent="0.2">
      <c r="B32" t="s">
        <v>82</v>
      </c>
      <c r="C32" s="12">
        <v>3</v>
      </c>
      <c r="D32" s="8">
        <v>2.0099999999999998</v>
      </c>
      <c r="E32" s="12">
        <v>3</v>
      </c>
      <c r="F32" s="8">
        <v>2.88</v>
      </c>
      <c r="G32" s="12">
        <v>0</v>
      </c>
      <c r="H32" s="8">
        <v>0</v>
      </c>
      <c r="I32" s="12">
        <v>0</v>
      </c>
    </row>
    <row r="33" spans="2:9" ht="15" customHeight="1" x14ac:dyDescent="0.2">
      <c r="B33" t="s">
        <v>84</v>
      </c>
      <c r="C33" s="12">
        <v>3</v>
      </c>
      <c r="D33" s="8">
        <v>2.0099999999999998</v>
      </c>
      <c r="E33" s="12">
        <v>2</v>
      </c>
      <c r="F33" s="8">
        <v>1.92</v>
      </c>
      <c r="G33" s="12">
        <v>1</v>
      </c>
      <c r="H33" s="8">
        <v>2.33</v>
      </c>
      <c r="I33" s="12">
        <v>0</v>
      </c>
    </row>
    <row r="34" spans="2:9" ht="15" customHeight="1" x14ac:dyDescent="0.2">
      <c r="B34" t="s">
        <v>97</v>
      </c>
      <c r="C34" s="12">
        <v>3</v>
      </c>
      <c r="D34" s="8">
        <v>2.0099999999999998</v>
      </c>
      <c r="E34" s="12">
        <v>0</v>
      </c>
      <c r="F34" s="8">
        <v>0</v>
      </c>
      <c r="G34" s="12">
        <v>3</v>
      </c>
      <c r="H34" s="8">
        <v>6.98</v>
      </c>
      <c r="I34" s="12">
        <v>0</v>
      </c>
    </row>
    <row r="35" spans="2:9" ht="15" customHeight="1" x14ac:dyDescent="0.2">
      <c r="B35" t="s">
        <v>85</v>
      </c>
      <c r="C35" s="12">
        <v>3</v>
      </c>
      <c r="D35" s="8">
        <v>2.0099999999999998</v>
      </c>
      <c r="E35" s="12">
        <v>3</v>
      </c>
      <c r="F35" s="8">
        <v>2.88</v>
      </c>
      <c r="G35" s="12">
        <v>0</v>
      </c>
      <c r="H35" s="8">
        <v>0</v>
      </c>
      <c r="I35" s="12">
        <v>0</v>
      </c>
    </row>
    <row r="36" spans="2:9" ht="15" customHeight="1" x14ac:dyDescent="0.2">
      <c r="B36" t="s">
        <v>67</v>
      </c>
      <c r="C36" s="12">
        <v>2</v>
      </c>
      <c r="D36" s="8">
        <v>1.34</v>
      </c>
      <c r="E36" s="12">
        <v>1</v>
      </c>
      <c r="F36" s="8">
        <v>0.96</v>
      </c>
      <c r="G36" s="12">
        <v>1</v>
      </c>
      <c r="H36" s="8">
        <v>2.33</v>
      </c>
      <c r="I36" s="12">
        <v>0</v>
      </c>
    </row>
    <row r="37" spans="2:9" ht="15" customHeight="1" x14ac:dyDescent="0.2">
      <c r="B37" t="s">
        <v>70</v>
      </c>
      <c r="C37" s="12">
        <v>2</v>
      </c>
      <c r="D37" s="8">
        <v>1.34</v>
      </c>
      <c r="E37" s="12">
        <v>0</v>
      </c>
      <c r="F37" s="8">
        <v>0</v>
      </c>
      <c r="G37" s="12">
        <v>2</v>
      </c>
      <c r="H37" s="8">
        <v>4.6500000000000004</v>
      </c>
      <c r="I37" s="12">
        <v>0</v>
      </c>
    </row>
    <row r="38" spans="2:9" ht="15" customHeight="1" x14ac:dyDescent="0.2">
      <c r="B38" t="s">
        <v>76</v>
      </c>
      <c r="C38" s="12">
        <v>2</v>
      </c>
      <c r="D38" s="8">
        <v>1.34</v>
      </c>
      <c r="E38" s="12">
        <v>2</v>
      </c>
      <c r="F38" s="8">
        <v>1.92</v>
      </c>
      <c r="G38" s="12">
        <v>0</v>
      </c>
      <c r="H38" s="8">
        <v>0</v>
      </c>
      <c r="I38" s="12">
        <v>0</v>
      </c>
    </row>
    <row r="39" spans="2:9" ht="15" customHeight="1" x14ac:dyDescent="0.2">
      <c r="B39" t="s">
        <v>68</v>
      </c>
      <c r="C39" s="12">
        <v>1</v>
      </c>
      <c r="D39" s="8">
        <v>0.67</v>
      </c>
      <c r="E39" s="12">
        <v>0</v>
      </c>
      <c r="F39" s="8">
        <v>0</v>
      </c>
      <c r="G39" s="12">
        <v>1</v>
      </c>
      <c r="H39" s="8">
        <v>2.33</v>
      </c>
      <c r="I39" s="12">
        <v>0</v>
      </c>
    </row>
    <row r="40" spans="2:9" ht="15" customHeight="1" x14ac:dyDescent="0.2">
      <c r="B40" t="s">
        <v>107</v>
      </c>
      <c r="C40" s="12">
        <v>1</v>
      </c>
      <c r="D40" s="8">
        <v>0.67</v>
      </c>
      <c r="E40" s="12">
        <v>0</v>
      </c>
      <c r="F40" s="8">
        <v>0</v>
      </c>
      <c r="G40" s="12">
        <v>1</v>
      </c>
      <c r="H40" s="8">
        <v>2.33</v>
      </c>
      <c r="I40" s="12">
        <v>0</v>
      </c>
    </row>
    <row r="41" spans="2:9" ht="15" customHeight="1" x14ac:dyDescent="0.2">
      <c r="B41" t="s">
        <v>93</v>
      </c>
      <c r="C41" s="12">
        <v>1</v>
      </c>
      <c r="D41" s="8">
        <v>0.67</v>
      </c>
      <c r="E41" s="12">
        <v>1</v>
      </c>
      <c r="F41" s="8">
        <v>0.96</v>
      </c>
      <c r="G41" s="12">
        <v>0</v>
      </c>
      <c r="H41" s="8">
        <v>0</v>
      </c>
      <c r="I41" s="12">
        <v>0</v>
      </c>
    </row>
    <row r="42" spans="2:9" ht="15" customHeight="1" x14ac:dyDescent="0.2">
      <c r="B42" t="s">
        <v>116</v>
      </c>
      <c r="C42" s="12">
        <v>1</v>
      </c>
      <c r="D42" s="8">
        <v>0.67</v>
      </c>
      <c r="E42" s="12">
        <v>0</v>
      </c>
      <c r="F42" s="8">
        <v>0</v>
      </c>
      <c r="G42" s="12">
        <v>1</v>
      </c>
      <c r="H42" s="8">
        <v>2.33</v>
      </c>
      <c r="I42" s="12">
        <v>0</v>
      </c>
    </row>
    <row r="43" spans="2:9" ht="15" customHeight="1" x14ac:dyDescent="0.2">
      <c r="B43" t="s">
        <v>114</v>
      </c>
      <c r="C43" s="12">
        <v>1</v>
      </c>
      <c r="D43" s="8">
        <v>0.67</v>
      </c>
      <c r="E43" s="12">
        <v>0</v>
      </c>
      <c r="F43" s="8">
        <v>0</v>
      </c>
      <c r="G43" s="12">
        <v>1</v>
      </c>
      <c r="H43" s="8">
        <v>2.33</v>
      </c>
      <c r="I43" s="12">
        <v>0</v>
      </c>
    </row>
    <row r="44" spans="2:9" ht="15" customHeight="1" x14ac:dyDescent="0.2">
      <c r="B44" t="s">
        <v>115</v>
      </c>
      <c r="C44" s="12">
        <v>1</v>
      </c>
      <c r="D44" s="8">
        <v>0.67</v>
      </c>
      <c r="E44" s="12">
        <v>0</v>
      </c>
      <c r="F44" s="8">
        <v>0</v>
      </c>
      <c r="G44" s="12">
        <v>0</v>
      </c>
      <c r="H44" s="8">
        <v>0</v>
      </c>
      <c r="I44" s="12">
        <v>0</v>
      </c>
    </row>
    <row r="45" spans="2:9" ht="15" customHeight="1" x14ac:dyDescent="0.2">
      <c r="B45" t="s">
        <v>117</v>
      </c>
      <c r="C45" s="12">
        <v>1</v>
      </c>
      <c r="D45" s="8">
        <v>0.67</v>
      </c>
      <c r="E45" s="12">
        <v>0</v>
      </c>
      <c r="F45" s="8">
        <v>0</v>
      </c>
      <c r="G45" s="12">
        <v>1</v>
      </c>
      <c r="H45" s="8">
        <v>2.33</v>
      </c>
      <c r="I45" s="12">
        <v>0</v>
      </c>
    </row>
    <row r="46" spans="2:9" ht="15" customHeight="1" x14ac:dyDescent="0.2">
      <c r="B46" t="s">
        <v>118</v>
      </c>
      <c r="C46" s="12">
        <v>1</v>
      </c>
      <c r="D46" s="8">
        <v>0.67</v>
      </c>
      <c r="E46" s="12">
        <v>0</v>
      </c>
      <c r="F46" s="8">
        <v>0</v>
      </c>
      <c r="G46" s="12">
        <v>1</v>
      </c>
      <c r="H46" s="8">
        <v>2.33</v>
      </c>
      <c r="I46" s="12">
        <v>0</v>
      </c>
    </row>
    <row r="47" spans="2:9" ht="15" customHeight="1" x14ac:dyDescent="0.2">
      <c r="B47" t="s">
        <v>105</v>
      </c>
      <c r="C47" s="12">
        <v>1</v>
      </c>
      <c r="D47" s="8">
        <v>0.67</v>
      </c>
      <c r="E47" s="12">
        <v>0</v>
      </c>
      <c r="F47" s="8">
        <v>0</v>
      </c>
      <c r="G47" s="12">
        <v>1</v>
      </c>
      <c r="H47" s="8">
        <v>2.33</v>
      </c>
      <c r="I47" s="12">
        <v>0</v>
      </c>
    </row>
    <row r="48" spans="2:9" ht="15" customHeight="1" x14ac:dyDescent="0.2">
      <c r="B48" t="s">
        <v>73</v>
      </c>
      <c r="C48" s="12">
        <v>1</v>
      </c>
      <c r="D48" s="8">
        <v>0.67</v>
      </c>
      <c r="E48" s="12">
        <v>1</v>
      </c>
      <c r="F48" s="8">
        <v>0.96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79</v>
      </c>
      <c r="C49" s="12">
        <v>1</v>
      </c>
      <c r="D49" s="8">
        <v>0.67</v>
      </c>
      <c r="E49" s="12">
        <v>1</v>
      </c>
      <c r="F49" s="8">
        <v>0.96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106</v>
      </c>
      <c r="C50" s="12">
        <v>1</v>
      </c>
      <c r="D50" s="8">
        <v>0.67</v>
      </c>
      <c r="E50" s="12">
        <v>1</v>
      </c>
      <c r="F50" s="8">
        <v>0.96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119</v>
      </c>
      <c r="C51" s="12">
        <v>1</v>
      </c>
      <c r="D51" s="8">
        <v>0.67</v>
      </c>
      <c r="E51" s="12">
        <v>0</v>
      </c>
      <c r="F51" s="8">
        <v>0</v>
      </c>
      <c r="G51" s="12">
        <v>1</v>
      </c>
      <c r="H51" s="8">
        <v>2.33</v>
      </c>
      <c r="I51" s="12">
        <v>0</v>
      </c>
    </row>
    <row r="52" spans="2:9" ht="15" customHeight="1" x14ac:dyDescent="0.2">
      <c r="B52" t="s">
        <v>88</v>
      </c>
      <c r="C52" s="12">
        <v>1</v>
      </c>
      <c r="D52" s="8">
        <v>0.67</v>
      </c>
      <c r="E52" s="12">
        <v>0</v>
      </c>
      <c r="F52" s="8">
        <v>0</v>
      </c>
      <c r="G52" s="12">
        <v>1</v>
      </c>
      <c r="H52" s="8">
        <v>2.33</v>
      </c>
      <c r="I52" s="12">
        <v>0</v>
      </c>
    </row>
    <row r="55" spans="2:9" ht="33" customHeight="1" x14ac:dyDescent="0.2">
      <c r="B55" t="s">
        <v>234</v>
      </c>
      <c r="C55" s="10" t="s">
        <v>59</v>
      </c>
      <c r="D55" s="10" t="s">
        <v>60</v>
      </c>
      <c r="E55" s="10" t="s">
        <v>61</v>
      </c>
      <c r="F55" s="10" t="s">
        <v>62</v>
      </c>
      <c r="G55" s="10" t="s">
        <v>63</v>
      </c>
      <c r="H55" s="10" t="s">
        <v>64</v>
      </c>
      <c r="I55" s="10" t="s">
        <v>65</v>
      </c>
    </row>
    <row r="56" spans="2:9" ht="15" customHeight="1" x14ac:dyDescent="0.2">
      <c r="B56" t="s">
        <v>225</v>
      </c>
      <c r="C56" s="12">
        <v>21</v>
      </c>
      <c r="D56" s="8">
        <v>14.09</v>
      </c>
      <c r="E56" s="12">
        <v>18</v>
      </c>
      <c r="F56" s="8">
        <v>17.309999999999999</v>
      </c>
      <c r="G56" s="12">
        <v>3</v>
      </c>
      <c r="H56" s="8">
        <v>6.98</v>
      </c>
      <c r="I56" s="12">
        <v>0</v>
      </c>
    </row>
    <row r="57" spans="2:9" ht="15" customHeight="1" x14ac:dyDescent="0.2">
      <c r="B57" t="s">
        <v>149</v>
      </c>
      <c r="C57" s="12">
        <v>15</v>
      </c>
      <c r="D57" s="8">
        <v>10.07</v>
      </c>
      <c r="E57" s="12">
        <v>15</v>
      </c>
      <c r="F57" s="8">
        <v>14.42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167</v>
      </c>
      <c r="C58" s="12">
        <v>9</v>
      </c>
      <c r="D58" s="8">
        <v>6.04</v>
      </c>
      <c r="E58" s="12">
        <v>8</v>
      </c>
      <c r="F58" s="8">
        <v>7.69</v>
      </c>
      <c r="G58" s="12">
        <v>1</v>
      </c>
      <c r="H58" s="8">
        <v>2.33</v>
      </c>
      <c r="I58" s="12">
        <v>0</v>
      </c>
    </row>
    <row r="59" spans="2:9" ht="15" customHeight="1" x14ac:dyDescent="0.2">
      <c r="B59" t="s">
        <v>136</v>
      </c>
      <c r="C59" s="12">
        <v>9</v>
      </c>
      <c r="D59" s="8">
        <v>6.04</v>
      </c>
      <c r="E59" s="12">
        <v>9</v>
      </c>
      <c r="F59" s="8">
        <v>8.65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148</v>
      </c>
      <c r="C60" s="12">
        <v>7</v>
      </c>
      <c r="D60" s="8">
        <v>4.7</v>
      </c>
      <c r="E60" s="12">
        <v>5</v>
      </c>
      <c r="F60" s="8">
        <v>4.8099999999999996</v>
      </c>
      <c r="G60" s="12">
        <v>2</v>
      </c>
      <c r="H60" s="8">
        <v>4.6500000000000004</v>
      </c>
      <c r="I60" s="12">
        <v>0</v>
      </c>
    </row>
    <row r="61" spans="2:9" ht="15" customHeight="1" x14ac:dyDescent="0.2">
      <c r="B61" t="s">
        <v>127</v>
      </c>
      <c r="C61" s="12">
        <v>7</v>
      </c>
      <c r="D61" s="8">
        <v>4.7</v>
      </c>
      <c r="E61" s="12">
        <v>2</v>
      </c>
      <c r="F61" s="8">
        <v>1.92</v>
      </c>
      <c r="G61" s="12">
        <v>5</v>
      </c>
      <c r="H61" s="8">
        <v>11.63</v>
      </c>
      <c r="I61" s="12">
        <v>0</v>
      </c>
    </row>
    <row r="62" spans="2:9" ht="15" customHeight="1" x14ac:dyDescent="0.2">
      <c r="B62" t="s">
        <v>226</v>
      </c>
      <c r="C62" s="12">
        <v>6</v>
      </c>
      <c r="D62" s="8">
        <v>4.03</v>
      </c>
      <c r="E62" s="12">
        <v>6</v>
      </c>
      <c r="F62" s="8">
        <v>5.77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184</v>
      </c>
      <c r="C63" s="12">
        <v>6</v>
      </c>
      <c r="D63" s="8">
        <v>4.03</v>
      </c>
      <c r="E63" s="12">
        <v>3</v>
      </c>
      <c r="F63" s="8">
        <v>2.88</v>
      </c>
      <c r="G63" s="12">
        <v>3</v>
      </c>
      <c r="H63" s="8">
        <v>6.98</v>
      </c>
      <c r="I63" s="12">
        <v>0</v>
      </c>
    </row>
    <row r="64" spans="2:9" ht="15" customHeight="1" x14ac:dyDescent="0.2">
      <c r="B64" t="s">
        <v>130</v>
      </c>
      <c r="C64" s="12">
        <v>5</v>
      </c>
      <c r="D64" s="8">
        <v>3.36</v>
      </c>
      <c r="E64" s="12">
        <v>4</v>
      </c>
      <c r="F64" s="8">
        <v>3.85</v>
      </c>
      <c r="G64" s="12">
        <v>1</v>
      </c>
      <c r="H64" s="8">
        <v>2.33</v>
      </c>
      <c r="I64" s="12">
        <v>0</v>
      </c>
    </row>
    <row r="65" spans="2:9" ht="15" customHeight="1" x14ac:dyDescent="0.2">
      <c r="B65" t="s">
        <v>190</v>
      </c>
      <c r="C65" s="12">
        <v>4</v>
      </c>
      <c r="D65" s="8">
        <v>2.68</v>
      </c>
      <c r="E65" s="12">
        <v>4</v>
      </c>
      <c r="F65" s="8">
        <v>3.85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181</v>
      </c>
      <c r="C66" s="12">
        <v>4</v>
      </c>
      <c r="D66" s="8">
        <v>2.68</v>
      </c>
      <c r="E66" s="12">
        <v>2</v>
      </c>
      <c r="F66" s="8">
        <v>1.92</v>
      </c>
      <c r="G66" s="12">
        <v>2</v>
      </c>
      <c r="H66" s="8">
        <v>4.6500000000000004</v>
      </c>
      <c r="I66" s="12">
        <v>0</v>
      </c>
    </row>
    <row r="67" spans="2:9" ht="15" customHeight="1" x14ac:dyDescent="0.2">
      <c r="B67" t="s">
        <v>170</v>
      </c>
      <c r="C67" s="12">
        <v>3</v>
      </c>
      <c r="D67" s="8">
        <v>2.0099999999999998</v>
      </c>
      <c r="E67" s="12">
        <v>1</v>
      </c>
      <c r="F67" s="8">
        <v>0.96</v>
      </c>
      <c r="G67" s="12">
        <v>2</v>
      </c>
      <c r="H67" s="8">
        <v>4.6500000000000004</v>
      </c>
      <c r="I67" s="12">
        <v>0</v>
      </c>
    </row>
    <row r="68" spans="2:9" ht="15" customHeight="1" x14ac:dyDescent="0.2">
      <c r="B68" t="s">
        <v>228</v>
      </c>
      <c r="C68" s="12">
        <v>3</v>
      </c>
      <c r="D68" s="8">
        <v>2.0099999999999998</v>
      </c>
      <c r="E68" s="12">
        <v>3</v>
      </c>
      <c r="F68" s="8">
        <v>2.88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141</v>
      </c>
      <c r="C69" s="12">
        <v>3</v>
      </c>
      <c r="D69" s="8">
        <v>2.0099999999999998</v>
      </c>
      <c r="E69" s="12">
        <v>3</v>
      </c>
      <c r="F69" s="8">
        <v>2.88</v>
      </c>
      <c r="G69" s="12">
        <v>0</v>
      </c>
      <c r="H69" s="8">
        <v>0</v>
      </c>
      <c r="I69" s="12">
        <v>0</v>
      </c>
    </row>
    <row r="70" spans="2:9" ht="15" customHeight="1" x14ac:dyDescent="0.2">
      <c r="B70" t="s">
        <v>123</v>
      </c>
      <c r="C70" s="12">
        <v>2</v>
      </c>
      <c r="D70" s="8">
        <v>1.34</v>
      </c>
      <c r="E70" s="12">
        <v>1</v>
      </c>
      <c r="F70" s="8">
        <v>0.96</v>
      </c>
      <c r="G70" s="12">
        <v>1</v>
      </c>
      <c r="H70" s="8">
        <v>2.33</v>
      </c>
      <c r="I70" s="12">
        <v>0</v>
      </c>
    </row>
    <row r="71" spans="2:9" ht="15" customHeight="1" x14ac:dyDescent="0.2">
      <c r="B71" t="s">
        <v>216</v>
      </c>
      <c r="C71" s="12">
        <v>2</v>
      </c>
      <c r="D71" s="8">
        <v>1.34</v>
      </c>
      <c r="E71" s="12">
        <v>2</v>
      </c>
      <c r="F71" s="8">
        <v>1.92</v>
      </c>
      <c r="G71" s="12">
        <v>0</v>
      </c>
      <c r="H71" s="8">
        <v>0</v>
      </c>
      <c r="I71" s="12">
        <v>0</v>
      </c>
    </row>
    <row r="72" spans="2:9" ht="15" customHeight="1" x14ac:dyDescent="0.2">
      <c r="B72" t="s">
        <v>128</v>
      </c>
      <c r="C72" s="12">
        <v>2</v>
      </c>
      <c r="D72" s="8">
        <v>1.34</v>
      </c>
      <c r="E72" s="12">
        <v>2</v>
      </c>
      <c r="F72" s="8">
        <v>1.92</v>
      </c>
      <c r="G72" s="12">
        <v>0</v>
      </c>
      <c r="H72" s="8">
        <v>0</v>
      </c>
      <c r="I72" s="12">
        <v>0</v>
      </c>
    </row>
    <row r="73" spans="2:9" ht="15" customHeight="1" x14ac:dyDescent="0.2">
      <c r="B73" t="s">
        <v>129</v>
      </c>
      <c r="C73" s="12">
        <v>2</v>
      </c>
      <c r="D73" s="8">
        <v>1.34</v>
      </c>
      <c r="E73" s="12">
        <v>0</v>
      </c>
      <c r="F73" s="8">
        <v>0</v>
      </c>
      <c r="G73" s="12">
        <v>2</v>
      </c>
      <c r="H73" s="8">
        <v>4.6500000000000004</v>
      </c>
      <c r="I73" s="12">
        <v>0</v>
      </c>
    </row>
    <row r="74" spans="2:9" ht="15" customHeight="1" x14ac:dyDescent="0.2">
      <c r="B74" t="s">
        <v>134</v>
      </c>
      <c r="C74" s="12">
        <v>2</v>
      </c>
      <c r="D74" s="8">
        <v>1.34</v>
      </c>
      <c r="E74" s="12">
        <v>2</v>
      </c>
      <c r="F74" s="8">
        <v>1.92</v>
      </c>
      <c r="G74" s="12">
        <v>0</v>
      </c>
      <c r="H74" s="8">
        <v>0</v>
      </c>
      <c r="I74" s="12">
        <v>0</v>
      </c>
    </row>
    <row r="75" spans="2:9" ht="15" customHeight="1" x14ac:dyDescent="0.2">
      <c r="B75" t="s">
        <v>135</v>
      </c>
      <c r="C75" s="12">
        <v>2</v>
      </c>
      <c r="D75" s="8">
        <v>1.34</v>
      </c>
      <c r="E75" s="12">
        <v>2</v>
      </c>
      <c r="F75" s="8">
        <v>1.92</v>
      </c>
      <c r="G75" s="12">
        <v>0</v>
      </c>
      <c r="H75" s="8">
        <v>0</v>
      </c>
      <c r="I75" s="12">
        <v>0</v>
      </c>
    </row>
    <row r="76" spans="2:9" ht="15" customHeight="1" x14ac:dyDescent="0.2">
      <c r="B76" t="s">
        <v>227</v>
      </c>
      <c r="C76" s="12">
        <v>2</v>
      </c>
      <c r="D76" s="8">
        <v>1.34</v>
      </c>
      <c r="E76" s="12">
        <v>0</v>
      </c>
      <c r="F76" s="8">
        <v>0</v>
      </c>
      <c r="G76" s="12">
        <v>2</v>
      </c>
      <c r="H76" s="8">
        <v>4.6500000000000004</v>
      </c>
      <c r="I76" s="12">
        <v>0</v>
      </c>
    </row>
    <row r="77" spans="2:9" ht="15" customHeight="1" x14ac:dyDescent="0.2">
      <c r="B77" t="s">
        <v>140</v>
      </c>
      <c r="C77" s="12">
        <v>2</v>
      </c>
      <c r="D77" s="8">
        <v>1.34</v>
      </c>
      <c r="E77" s="12">
        <v>2</v>
      </c>
      <c r="F77" s="8">
        <v>1.92</v>
      </c>
      <c r="G77" s="12">
        <v>0</v>
      </c>
      <c r="H77" s="8">
        <v>0</v>
      </c>
      <c r="I77" s="12">
        <v>0</v>
      </c>
    </row>
    <row r="78" spans="2:9" ht="15" customHeight="1" x14ac:dyDescent="0.2">
      <c r="B78" t="s">
        <v>196</v>
      </c>
      <c r="C78" s="12">
        <v>2</v>
      </c>
      <c r="D78" s="8">
        <v>1.34</v>
      </c>
      <c r="E78" s="12">
        <v>0</v>
      </c>
      <c r="F78" s="8">
        <v>0</v>
      </c>
      <c r="G78" s="12">
        <v>2</v>
      </c>
      <c r="H78" s="8">
        <v>4.6500000000000004</v>
      </c>
      <c r="I78" s="12">
        <v>0</v>
      </c>
    </row>
    <row r="80" spans="2:9" ht="15" customHeight="1" x14ac:dyDescent="0.2">
      <c r="B80" t="s">
        <v>235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AE2B7-F14E-4D52-A801-6560ED8CDD49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230</v>
      </c>
    </row>
    <row r="4" spans="2:9" ht="33" customHeight="1" x14ac:dyDescent="0.2">
      <c r="B4" t="s">
        <v>231</v>
      </c>
      <c r="C4" s="10" t="s">
        <v>59</v>
      </c>
      <c r="D4" s="10" t="s">
        <v>60</v>
      </c>
      <c r="E4" s="10" t="s">
        <v>61</v>
      </c>
      <c r="F4" s="10" t="s">
        <v>62</v>
      </c>
      <c r="G4" s="10" t="s">
        <v>63</v>
      </c>
      <c r="H4" s="10" t="s">
        <v>64</v>
      </c>
      <c r="I4" s="10" t="s">
        <v>65</v>
      </c>
    </row>
    <row r="5" spans="2:9" ht="15" customHeight="1" x14ac:dyDescent="0.2">
      <c r="B5" t="s">
        <v>43</v>
      </c>
      <c r="C5" s="12">
        <v>24</v>
      </c>
      <c r="D5" s="8">
        <v>0.04</v>
      </c>
      <c r="E5" s="12">
        <v>6</v>
      </c>
      <c r="F5" s="8">
        <v>0.02</v>
      </c>
      <c r="G5" s="12">
        <v>18</v>
      </c>
      <c r="H5" s="8">
        <v>7.0000000000000007E-2</v>
      </c>
      <c r="I5" s="12">
        <v>0</v>
      </c>
    </row>
    <row r="6" spans="2:9" ht="15" customHeight="1" x14ac:dyDescent="0.2">
      <c r="B6" t="s">
        <v>44</v>
      </c>
      <c r="C6" s="12">
        <v>8117</v>
      </c>
      <c r="D6" s="8">
        <v>14.42</v>
      </c>
      <c r="E6" s="12">
        <v>3189</v>
      </c>
      <c r="F6" s="8">
        <v>10.15</v>
      </c>
      <c r="G6" s="12">
        <v>4928</v>
      </c>
      <c r="H6" s="8">
        <v>20.34</v>
      </c>
      <c r="I6" s="12">
        <v>0</v>
      </c>
    </row>
    <row r="7" spans="2:9" ht="15" customHeight="1" x14ac:dyDescent="0.2">
      <c r="B7" t="s">
        <v>45</v>
      </c>
      <c r="C7" s="12">
        <v>8108</v>
      </c>
      <c r="D7" s="8">
        <v>14.4</v>
      </c>
      <c r="E7" s="12">
        <v>3858</v>
      </c>
      <c r="F7" s="8">
        <v>12.28</v>
      </c>
      <c r="G7" s="12">
        <v>4239</v>
      </c>
      <c r="H7" s="8">
        <v>17.5</v>
      </c>
      <c r="I7" s="12">
        <v>10</v>
      </c>
    </row>
    <row r="8" spans="2:9" ht="15" customHeight="1" x14ac:dyDescent="0.2">
      <c r="B8" t="s">
        <v>46</v>
      </c>
      <c r="C8" s="12">
        <v>108</v>
      </c>
      <c r="D8" s="8">
        <v>0.19</v>
      </c>
      <c r="E8" s="12">
        <v>6</v>
      </c>
      <c r="F8" s="8">
        <v>0.02</v>
      </c>
      <c r="G8" s="12">
        <v>89</v>
      </c>
      <c r="H8" s="8">
        <v>0.37</v>
      </c>
      <c r="I8" s="12">
        <v>1</v>
      </c>
    </row>
    <row r="9" spans="2:9" ht="15" customHeight="1" x14ac:dyDescent="0.2">
      <c r="B9" t="s">
        <v>47</v>
      </c>
      <c r="C9" s="12">
        <v>345</v>
      </c>
      <c r="D9" s="8">
        <v>0.61</v>
      </c>
      <c r="E9" s="12">
        <v>36</v>
      </c>
      <c r="F9" s="8">
        <v>0.11</v>
      </c>
      <c r="G9" s="12">
        <v>308</v>
      </c>
      <c r="H9" s="8">
        <v>1.27</v>
      </c>
      <c r="I9" s="12">
        <v>1</v>
      </c>
    </row>
    <row r="10" spans="2:9" ht="15" customHeight="1" x14ac:dyDescent="0.2">
      <c r="B10" t="s">
        <v>48</v>
      </c>
      <c r="C10" s="12">
        <v>438</v>
      </c>
      <c r="D10" s="8">
        <v>0.78</v>
      </c>
      <c r="E10" s="12">
        <v>110</v>
      </c>
      <c r="F10" s="8">
        <v>0.35</v>
      </c>
      <c r="G10" s="12">
        <v>315</v>
      </c>
      <c r="H10" s="8">
        <v>1.3</v>
      </c>
      <c r="I10" s="12">
        <v>12</v>
      </c>
    </row>
    <row r="11" spans="2:9" ht="15" customHeight="1" x14ac:dyDescent="0.2">
      <c r="B11" t="s">
        <v>49</v>
      </c>
      <c r="C11" s="12">
        <v>12414</v>
      </c>
      <c r="D11" s="8">
        <v>22.05</v>
      </c>
      <c r="E11" s="12">
        <v>6176</v>
      </c>
      <c r="F11" s="8">
        <v>19.649999999999999</v>
      </c>
      <c r="G11" s="12">
        <v>6203</v>
      </c>
      <c r="H11" s="8">
        <v>25.6</v>
      </c>
      <c r="I11" s="12">
        <v>35</v>
      </c>
    </row>
    <row r="12" spans="2:9" ht="15" customHeight="1" x14ac:dyDescent="0.2">
      <c r="B12" t="s">
        <v>50</v>
      </c>
      <c r="C12" s="12">
        <v>388</v>
      </c>
      <c r="D12" s="8">
        <v>0.69</v>
      </c>
      <c r="E12" s="12">
        <v>59</v>
      </c>
      <c r="F12" s="8">
        <v>0.19</v>
      </c>
      <c r="G12" s="12">
        <v>326</v>
      </c>
      <c r="H12" s="8">
        <v>1.35</v>
      </c>
      <c r="I12" s="12">
        <v>2</v>
      </c>
    </row>
    <row r="13" spans="2:9" ht="15" customHeight="1" x14ac:dyDescent="0.2">
      <c r="B13" t="s">
        <v>51</v>
      </c>
      <c r="C13" s="12">
        <v>4064</v>
      </c>
      <c r="D13" s="8">
        <v>7.22</v>
      </c>
      <c r="E13" s="12">
        <v>1858</v>
      </c>
      <c r="F13" s="8">
        <v>5.91</v>
      </c>
      <c r="G13" s="12">
        <v>2190</v>
      </c>
      <c r="H13" s="8">
        <v>9.0399999999999991</v>
      </c>
      <c r="I13" s="12">
        <v>8</v>
      </c>
    </row>
    <row r="14" spans="2:9" ht="15" customHeight="1" x14ac:dyDescent="0.2">
      <c r="B14" t="s">
        <v>52</v>
      </c>
      <c r="C14" s="12">
        <v>2675</v>
      </c>
      <c r="D14" s="8">
        <v>4.75</v>
      </c>
      <c r="E14" s="12">
        <v>1487</v>
      </c>
      <c r="F14" s="8">
        <v>4.7300000000000004</v>
      </c>
      <c r="G14" s="12">
        <v>1140</v>
      </c>
      <c r="H14" s="8">
        <v>4.71</v>
      </c>
      <c r="I14" s="12">
        <v>5</v>
      </c>
    </row>
    <row r="15" spans="2:9" ht="15" customHeight="1" x14ac:dyDescent="0.2">
      <c r="B15" t="s">
        <v>53</v>
      </c>
      <c r="C15" s="12">
        <v>6682</v>
      </c>
      <c r="D15" s="8">
        <v>11.87</v>
      </c>
      <c r="E15" s="12">
        <v>5585</v>
      </c>
      <c r="F15" s="8">
        <v>17.77</v>
      </c>
      <c r="G15" s="12">
        <v>1065</v>
      </c>
      <c r="H15" s="8">
        <v>4.4000000000000004</v>
      </c>
      <c r="I15" s="12">
        <v>9</v>
      </c>
    </row>
    <row r="16" spans="2:9" ht="15" customHeight="1" x14ac:dyDescent="0.2">
      <c r="B16" t="s">
        <v>54</v>
      </c>
      <c r="C16" s="12">
        <v>6243</v>
      </c>
      <c r="D16" s="8">
        <v>11.09</v>
      </c>
      <c r="E16" s="12">
        <v>4990</v>
      </c>
      <c r="F16" s="8">
        <v>15.88</v>
      </c>
      <c r="G16" s="12">
        <v>1222</v>
      </c>
      <c r="H16" s="8">
        <v>5.04</v>
      </c>
      <c r="I16" s="12">
        <v>3</v>
      </c>
    </row>
    <row r="17" spans="2:9" ht="15" customHeight="1" x14ac:dyDescent="0.2">
      <c r="B17" t="s">
        <v>55</v>
      </c>
      <c r="C17" s="12">
        <v>2193</v>
      </c>
      <c r="D17" s="8">
        <v>3.89</v>
      </c>
      <c r="E17" s="12">
        <v>1401</v>
      </c>
      <c r="F17" s="8">
        <v>4.46</v>
      </c>
      <c r="G17" s="12">
        <v>564</v>
      </c>
      <c r="H17" s="8">
        <v>2.33</v>
      </c>
      <c r="I17" s="12">
        <v>6</v>
      </c>
    </row>
    <row r="18" spans="2:9" ht="15" customHeight="1" x14ac:dyDescent="0.2">
      <c r="B18" t="s">
        <v>56</v>
      </c>
      <c r="C18" s="12">
        <v>2590</v>
      </c>
      <c r="D18" s="8">
        <v>4.5999999999999996</v>
      </c>
      <c r="E18" s="12">
        <v>1799</v>
      </c>
      <c r="F18" s="8">
        <v>5.72</v>
      </c>
      <c r="G18" s="12">
        <v>677</v>
      </c>
      <c r="H18" s="8">
        <v>2.79</v>
      </c>
      <c r="I18" s="12">
        <v>11</v>
      </c>
    </row>
    <row r="19" spans="2:9" ht="15" customHeight="1" x14ac:dyDescent="0.2">
      <c r="B19" t="s">
        <v>57</v>
      </c>
      <c r="C19" s="12">
        <v>1919</v>
      </c>
      <c r="D19" s="8">
        <v>3.41</v>
      </c>
      <c r="E19" s="12">
        <v>868</v>
      </c>
      <c r="F19" s="8">
        <v>2.76</v>
      </c>
      <c r="G19" s="12">
        <v>943</v>
      </c>
      <c r="H19" s="8">
        <v>3.89</v>
      </c>
      <c r="I19" s="12">
        <v>51</v>
      </c>
    </row>
    <row r="20" spans="2:9" ht="15" customHeight="1" x14ac:dyDescent="0.2">
      <c r="B20" s="9" t="s">
        <v>232</v>
      </c>
      <c r="C20" s="12">
        <f>SUM(LTBL_21000[総数／事業所数])</f>
        <v>56308</v>
      </c>
      <c r="E20" s="12">
        <f>SUBTOTAL(109,LTBL_21000[個人／事業所数])</f>
        <v>31428</v>
      </c>
      <c r="G20" s="12">
        <f>SUBTOTAL(109,LTBL_21000[法人／事業所数])</f>
        <v>24227</v>
      </c>
      <c r="I20" s="12">
        <f>SUBTOTAL(109,LTBL_21000[法人以外の団体／事業所数])</f>
        <v>154</v>
      </c>
    </row>
    <row r="21" spans="2:9" ht="15" customHeight="1" x14ac:dyDescent="0.2">
      <c r="E21" s="11">
        <f>LTBL_21000[[#Totals],[個人／事業所数]]/LTBL_21000[[#Totals],[総数／事業所数]]</f>
        <v>0.55814449101371033</v>
      </c>
      <c r="G21" s="11">
        <f>LTBL_21000[[#Totals],[法人／事業所数]]/LTBL_21000[[#Totals],[総数／事業所数]]</f>
        <v>0.43025857782197913</v>
      </c>
      <c r="I21" s="11">
        <f>LTBL_21000[[#Totals],[法人以外の団体／事業所数]]/LTBL_21000[[#Totals],[総数／事業所数]]</f>
        <v>2.7349577324714074E-3</v>
      </c>
    </row>
    <row r="23" spans="2:9" ht="33" customHeight="1" x14ac:dyDescent="0.2">
      <c r="B23" t="s">
        <v>233</v>
      </c>
      <c r="C23" s="10" t="s">
        <v>59</v>
      </c>
      <c r="D23" s="10" t="s">
        <v>60</v>
      </c>
      <c r="E23" s="10" t="s">
        <v>61</v>
      </c>
      <c r="F23" s="10" t="s">
        <v>62</v>
      </c>
      <c r="G23" s="10" t="s">
        <v>63</v>
      </c>
      <c r="H23" s="10" t="s">
        <v>64</v>
      </c>
      <c r="I23" s="10" t="s">
        <v>65</v>
      </c>
    </row>
    <row r="24" spans="2:9" ht="15" customHeight="1" x14ac:dyDescent="0.2">
      <c r="B24" t="s">
        <v>81</v>
      </c>
      <c r="C24" s="12">
        <v>5810</v>
      </c>
      <c r="D24" s="8">
        <v>10.32</v>
      </c>
      <c r="E24" s="12">
        <v>5115</v>
      </c>
      <c r="F24" s="8">
        <v>16.28</v>
      </c>
      <c r="G24" s="12">
        <v>691</v>
      </c>
      <c r="H24" s="8">
        <v>2.85</v>
      </c>
      <c r="I24" s="12">
        <v>4</v>
      </c>
    </row>
    <row r="25" spans="2:9" ht="15" customHeight="1" x14ac:dyDescent="0.2">
      <c r="B25" t="s">
        <v>82</v>
      </c>
      <c r="C25" s="12">
        <v>5313</v>
      </c>
      <c r="D25" s="8">
        <v>9.44</v>
      </c>
      <c r="E25" s="12">
        <v>4603</v>
      </c>
      <c r="F25" s="8">
        <v>14.65</v>
      </c>
      <c r="G25" s="12">
        <v>710</v>
      </c>
      <c r="H25" s="8">
        <v>2.93</v>
      </c>
      <c r="I25" s="12">
        <v>0</v>
      </c>
    </row>
    <row r="26" spans="2:9" ht="15" customHeight="1" x14ac:dyDescent="0.2">
      <c r="B26" t="s">
        <v>66</v>
      </c>
      <c r="C26" s="12">
        <v>3611</v>
      </c>
      <c r="D26" s="8">
        <v>6.41</v>
      </c>
      <c r="E26" s="12">
        <v>1104</v>
      </c>
      <c r="F26" s="8">
        <v>3.51</v>
      </c>
      <c r="G26" s="12">
        <v>2507</v>
      </c>
      <c r="H26" s="8">
        <v>10.35</v>
      </c>
      <c r="I26" s="12">
        <v>0</v>
      </c>
    </row>
    <row r="27" spans="2:9" ht="15" customHeight="1" x14ac:dyDescent="0.2">
      <c r="B27" t="s">
        <v>77</v>
      </c>
      <c r="C27" s="12">
        <v>3544</v>
      </c>
      <c r="D27" s="8">
        <v>6.29</v>
      </c>
      <c r="E27" s="12">
        <v>1905</v>
      </c>
      <c r="F27" s="8">
        <v>6.06</v>
      </c>
      <c r="G27" s="12">
        <v>1636</v>
      </c>
      <c r="H27" s="8">
        <v>6.75</v>
      </c>
      <c r="I27" s="12">
        <v>3</v>
      </c>
    </row>
    <row r="28" spans="2:9" ht="15" customHeight="1" x14ac:dyDescent="0.2">
      <c r="B28" t="s">
        <v>78</v>
      </c>
      <c r="C28" s="12">
        <v>3335</v>
      </c>
      <c r="D28" s="8">
        <v>5.92</v>
      </c>
      <c r="E28" s="12">
        <v>1705</v>
      </c>
      <c r="F28" s="8">
        <v>5.43</v>
      </c>
      <c r="G28" s="12">
        <v>1615</v>
      </c>
      <c r="H28" s="8">
        <v>6.67</v>
      </c>
      <c r="I28" s="12">
        <v>7</v>
      </c>
    </row>
    <row r="29" spans="2:9" ht="15" customHeight="1" x14ac:dyDescent="0.2">
      <c r="B29" t="s">
        <v>67</v>
      </c>
      <c r="C29" s="12">
        <v>2761</v>
      </c>
      <c r="D29" s="8">
        <v>4.9000000000000004</v>
      </c>
      <c r="E29" s="12">
        <v>1467</v>
      </c>
      <c r="F29" s="8">
        <v>4.67</v>
      </c>
      <c r="G29" s="12">
        <v>1294</v>
      </c>
      <c r="H29" s="8">
        <v>5.34</v>
      </c>
      <c r="I29" s="12">
        <v>0</v>
      </c>
    </row>
    <row r="30" spans="2:9" ht="15" customHeight="1" x14ac:dyDescent="0.2">
      <c r="B30" t="s">
        <v>83</v>
      </c>
      <c r="C30" s="12">
        <v>2193</v>
      </c>
      <c r="D30" s="8">
        <v>3.89</v>
      </c>
      <c r="E30" s="12">
        <v>1401</v>
      </c>
      <c r="F30" s="8">
        <v>4.46</v>
      </c>
      <c r="G30" s="12">
        <v>564</v>
      </c>
      <c r="H30" s="8">
        <v>2.33</v>
      </c>
      <c r="I30" s="12">
        <v>6</v>
      </c>
    </row>
    <row r="31" spans="2:9" ht="15" customHeight="1" x14ac:dyDescent="0.2">
      <c r="B31" t="s">
        <v>75</v>
      </c>
      <c r="C31" s="12">
        <v>2118</v>
      </c>
      <c r="D31" s="8">
        <v>3.76</v>
      </c>
      <c r="E31" s="12">
        <v>1480</v>
      </c>
      <c r="F31" s="8">
        <v>4.71</v>
      </c>
      <c r="G31" s="12">
        <v>632</v>
      </c>
      <c r="H31" s="8">
        <v>2.61</v>
      </c>
      <c r="I31" s="12">
        <v>6</v>
      </c>
    </row>
    <row r="32" spans="2:9" ht="15" customHeight="1" x14ac:dyDescent="0.2">
      <c r="B32" t="s">
        <v>76</v>
      </c>
      <c r="C32" s="12">
        <v>2006</v>
      </c>
      <c r="D32" s="8">
        <v>3.56</v>
      </c>
      <c r="E32" s="12">
        <v>1199</v>
      </c>
      <c r="F32" s="8">
        <v>3.82</v>
      </c>
      <c r="G32" s="12">
        <v>807</v>
      </c>
      <c r="H32" s="8">
        <v>3.33</v>
      </c>
      <c r="I32" s="12">
        <v>0</v>
      </c>
    </row>
    <row r="33" spans="2:9" ht="15" customHeight="1" x14ac:dyDescent="0.2">
      <c r="B33" t="s">
        <v>84</v>
      </c>
      <c r="C33" s="12">
        <v>1926</v>
      </c>
      <c r="D33" s="8">
        <v>3.42</v>
      </c>
      <c r="E33" s="12">
        <v>1791</v>
      </c>
      <c r="F33" s="8">
        <v>5.7</v>
      </c>
      <c r="G33" s="12">
        <v>133</v>
      </c>
      <c r="H33" s="8">
        <v>0.55000000000000004</v>
      </c>
      <c r="I33" s="12">
        <v>0</v>
      </c>
    </row>
    <row r="34" spans="2:9" ht="15" customHeight="1" x14ac:dyDescent="0.2">
      <c r="B34" t="s">
        <v>68</v>
      </c>
      <c r="C34" s="12">
        <v>1745</v>
      </c>
      <c r="D34" s="8">
        <v>3.1</v>
      </c>
      <c r="E34" s="12">
        <v>618</v>
      </c>
      <c r="F34" s="8">
        <v>1.97</v>
      </c>
      <c r="G34" s="12">
        <v>1127</v>
      </c>
      <c r="H34" s="8">
        <v>4.6500000000000004</v>
      </c>
      <c r="I34" s="12">
        <v>0</v>
      </c>
    </row>
    <row r="35" spans="2:9" ht="15" customHeight="1" x14ac:dyDescent="0.2">
      <c r="B35" t="s">
        <v>79</v>
      </c>
      <c r="C35" s="12">
        <v>1421</v>
      </c>
      <c r="D35" s="8">
        <v>2.52</v>
      </c>
      <c r="E35" s="12">
        <v>991</v>
      </c>
      <c r="F35" s="8">
        <v>3.15</v>
      </c>
      <c r="G35" s="12">
        <v>426</v>
      </c>
      <c r="H35" s="8">
        <v>1.76</v>
      </c>
      <c r="I35" s="12">
        <v>4</v>
      </c>
    </row>
    <row r="36" spans="2:9" ht="15" customHeight="1" x14ac:dyDescent="0.2">
      <c r="B36" t="s">
        <v>74</v>
      </c>
      <c r="C36" s="12">
        <v>1317</v>
      </c>
      <c r="D36" s="8">
        <v>2.34</v>
      </c>
      <c r="E36" s="12">
        <v>723</v>
      </c>
      <c r="F36" s="8">
        <v>2.2999999999999998</v>
      </c>
      <c r="G36" s="12">
        <v>593</v>
      </c>
      <c r="H36" s="8">
        <v>2.4500000000000002</v>
      </c>
      <c r="I36" s="12">
        <v>1</v>
      </c>
    </row>
    <row r="37" spans="2:9" ht="15" customHeight="1" x14ac:dyDescent="0.2">
      <c r="B37" t="s">
        <v>69</v>
      </c>
      <c r="C37" s="12">
        <v>1205</v>
      </c>
      <c r="D37" s="8">
        <v>2.14</v>
      </c>
      <c r="E37" s="12">
        <v>731</v>
      </c>
      <c r="F37" s="8">
        <v>2.33</v>
      </c>
      <c r="G37" s="12">
        <v>474</v>
      </c>
      <c r="H37" s="8">
        <v>1.96</v>
      </c>
      <c r="I37" s="12">
        <v>0</v>
      </c>
    </row>
    <row r="38" spans="2:9" ht="15" customHeight="1" x14ac:dyDescent="0.2">
      <c r="B38" t="s">
        <v>80</v>
      </c>
      <c r="C38" s="12">
        <v>1160</v>
      </c>
      <c r="D38" s="8">
        <v>2.06</v>
      </c>
      <c r="E38" s="12">
        <v>491</v>
      </c>
      <c r="F38" s="8">
        <v>1.56</v>
      </c>
      <c r="G38" s="12">
        <v>635</v>
      </c>
      <c r="H38" s="8">
        <v>2.62</v>
      </c>
      <c r="I38" s="12">
        <v>1</v>
      </c>
    </row>
    <row r="39" spans="2:9" ht="15" customHeight="1" x14ac:dyDescent="0.2">
      <c r="B39" t="s">
        <v>70</v>
      </c>
      <c r="C39" s="12">
        <v>1134</v>
      </c>
      <c r="D39" s="8">
        <v>2.0099999999999998</v>
      </c>
      <c r="E39" s="12">
        <v>537</v>
      </c>
      <c r="F39" s="8">
        <v>1.71</v>
      </c>
      <c r="G39" s="12">
        <v>596</v>
      </c>
      <c r="H39" s="8">
        <v>2.46</v>
      </c>
      <c r="I39" s="12">
        <v>1</v>
      </c>
    </row>
    <row r="40" spans="2:9" ht="15" customHeight="1" x14ac:dyDescent="0.2">
      <c r="B40" t="s">
        <v>71</v>
      </c>
      <c r="C40" s="12">
        <v>1050</v>
      </c>
      <c r="D40" s="8">
        <v>1.86</v>
      </c>
      <c r="E40" s="12">
        <v>517</v>
      </c>
      <c r="F40" s="8">
        <v>1.65</v>
      </c>
      <c r="G40" s="12">
        <v>533</v>
      </c>
      <c r="H40" s="8">
        <v>2.2000000000000002</v>
      </c>
      <c r="I40" s="12">
        <v>0</v>
      </c>
    </row>
    <row r="41" spans="2:9" ht="15" customHeight="1" x14ac:dyDescent="0.2">
      <c r="B41" t="s">
        <v>73</v>
      </c>
      <c r="C41" s="12">
        <v>916</v>
      </c>
      <c r="D41" s="8">
        <v>1.63</v>
      </c>
      <c r="E41" s="12">
        <v>310</v>
      </c>
      <c r="F41" s="8">
        <v>0.99</v>
      </c>
      <c r="G41" s="12">
        <v>583</v>
      </c>
      <c r="H41" s="8">
        <v>2.41</v>
      </c>
      <c r="I41" s="12">
        <v>23</v>
      </c>
    </row>
    <row r="42" spans="2:9" ht="15" customHeight="1" x14ac:dyDescent="0.2">
      <c r="B42" t="s">
        <v>85</v>
      </c>
      <c r="C42" s="12">
        <v>737</v>
      </c>
      <c r="D42" s="8">
        <v>1.31</v>
      </c>
      <c r="E42" s="12">
        <v>546</v>
      </c>
      <c r="F42" s="8">
        <v>1.74</v>
      </c>
      <c r="G42" s="12">
        <v>191</v>
      </c>
      <c r="H42" s="8">
        <v>0.79</v>
      </c>
      <c r="I42" s="12">
        <v>0</v>
      </c>
    </row>
    <row r="43" spans="2:9" ht="15" customHeight="1" x14ac:dyDescent="0.2">
      <c r="B43" t="s">
        <v>72</v>
      </c>
      <c r="C43" s="12">
        <v>711</v>
      </c>
      <c r="D43" s="8">
        <v>1.26</v>
      </c>
      <c r="E43" s="12">
        <v>226</v>
      </c>
      <c r="F43" s="8">
        <v>0.72</v>
      </c>
      <c r="G43" s="12">
        <v>485</v>
      </c>
      <c r="H43" s="8">
        <v>2</v>
      </c>
      <c r="I43" s="12">
        <v>0</v>
      </c>
    </row>
    <row r="46" spans="2:9" ht="33" customHeight="1" x14ac:dyDescent="0.2">
      <c r="B46" t="s">
        <v>234</v>
      </c>
      <c r="C46" s="10" t="s">
        <v>59</v>
      </c>
      <c r="D46" s="10" t="s">
        <v>60</v>
      </c>
      <c r="E46" s="10" t="s">
        <v>61</v>
      </c>
      <c r="F46" s="10" t="s">
        <v>62</v>
      </c>
      <c r="G46" s="10" t="s">
        <v>63</v>
      </c>
      <c r="H46" s="10" t="s">
        <v>64</v>
      </c>
      <c r="I46" s="10" t="s">
        <v>65</v>
      </c>
    </row>
    <row r="47" spans="2:9" ht="15" customHeight="1" x14ac:dyDescent="0.2">
      <c r="B47" t="s">
        <v>138</v>
      </c>
      <c r="C47" s="12">
        <v>2735</v>
      </c>
      <c r="D47" s="8">
        <v>4.8600000000000003</v>
      </c>
      <c r="E47" s="12">
        <v>2498</v>
      </c>
      <c r="F47" s="8">
        <v>7.95</v>
      </c>
      <c r="G47" s="12">
        <v>237</v>
      </c>
      <c r="H47" s="8">
        <v>0.98</v>
      </c>
      <c r="I47" s="12">
        <v>0</v>
      </c>
    </row>
    <row r="48" spans="2:9" ht="15" customHeight="1" x14ac:dyDescent="0.2">
      <c r="B48" t="s">
        <v>136</v>
      </c>
      <c r="C48" s="12">
        <v>1942</v>
      </c>
      <c r="D48" s="8">
        <v>3.45</v>
      </c>
      <c r="E48" s="12">
        <v>1798</v>
      </c>
      <c r="F48" s="8">
        <v>5.72</v>
      </c>
      <c r="G48" s="12">
        <v>140</v>
      </c>
      <c r="H48" s="8">
        <v>0.57999999999999996</v>
      </c>
      <c r="I48" s="12">
        <v>4</v>
      </c>
    </row>
    <row r="49" spans="2:9" ht="15" customHeight="1" x14ac:dyDescent="0.2">
      <c r="B49" t="s">
        <v>132</v>
      </c>
      <c r="C49" s="12">
        <v>1912</v>
      </c>
      <c r="D49" s="8">
        <v>3.4</v>
      </c>
      <c r="E49" s="12">
        <v>1196</v>
      </c>
      <c r="F49" s="8">
        <v>3.81</v>
      </c>
      <c r="G49" s="12">
        <v>708</v>
      </c>
      <c r="H49" s="8">
        <v>2.92</v>
      </c>
      <c r="I49" s="12">
        <v>5</v>
      </c>
    </row>
    <row r="50" spans="2:9" ht="15" customHeight="1" x14ac:dyDescent="0.2">
      <c r="B50" t="s">
        <v>137</v>
      </c>
      <c r="C50" s="12">
        <v>1530</v>
      </c>
      <c r="D50" s="8">
        <v>2.72</v>
      </c>
      <c r="E50" s="12">
        <v>1481</v>
      </c>
      <c r="F50" s="8">
        <v>4.71</v>
      </c>
      <c r="G50" s="12">
        <v>49</v>
      </c>
      <c r="H50" s="8">
        <v>0.2</v>
      </c>
      <c r="I50" s="12">
        <v>0</v>
      </c>
    </row>
    <row r="51" spans="2:9" ht="15" customHeight="1" x14ac:dyDescent="0.2">
      <c r="B51" t="s">
        <v>140</v>
      </c>
      <c r="C51" s="12">
        <v>1530</v>
      </c>
      <c r="D51" s="8">
        <v>2.72</v>
      </c>
      <c r="E51" s="12">
        <v>1458</v>
      </c>
      <c r="F51" s="8">
        <v>4.6399999999999997</v>
      </c>
      <c r="G51" s="12">
        <v>72</v>
      </c>
      <c r="H51" s="8">
        <v>0.3</v>
      </c>
      <c r="I51" s="12">
        <v>0</v>
      </c>
    </row>
    <row r="52" spans="2:9" ht="15" customHeight="1" x14ac:dyDescent="0.2">
      <c r="B52" t="s">
        <v>134</v>
      </c>
      <c r="C52" s="12">
        <v>1358</v>
      </c>
      <c r="D52" s="8">
        <v>2.41</v>
      </c>
      <c r="E52" s="12">
        <v>1097</v>
      </c>
      <c r="F52" s="8">
        <v>3.49</v>
      </c>
      <c r="G52" s="12">
        <v>261</v>
      </c>
      <c r="H52" s="8">
        <v>1.08</v>
      </c>
      <c r="I52" s="12">
        <v>0</v>
      </c>
    </row>
    <row r="53" spans="2:9" ht="15" customHeight="1" x14ac:dyDescent="0.2">
      <c r="B53" t="s">
        <v>128</v>
      </c>
      <c r="C53" s="12">
        <v>1296</v>
      </c>
      <c r="D53" s="8">
        <v>2.2999999999999998</v>
      </c>
      <c r="E53" s="12">
        <v>723</v>
      </c>
      <c r="F53" s="8">
        <v>2.2999999999999998</v>
      </c>
      <c r="G53" s="12">
        <v>573</v>
      </c>
      <c r="H53" s="8">
        <v>2.37</v>
      </c>
      <c r="I53" s="12">
        <v>0</v>
      </c>
    </row>
    <row r="54" spans="2:9" ht="15" customHeight="1" x14ac:dyDescent="0.2">
      <c r="B54" t="s">
        <v>122</v>
      </c>
      <c r="C54" s="12">
        <v>1218</v>
      </c>
      <c r="D54" s="8">
        <v>2.16</v>
      </c>
      <c r="E54" s="12">
        <v>253</v>
      </c>
      <c r="F54" s="8">
        <v>0.81</v>
      </c>
      <c r="G54" s="12">
        <v>965</v>
      </c>
      <c r="H54" s="8">
        <v>3.98</v>
      </c>
      <c r="I54" s="12">
        <v>0</v>
      </c>
    </row>
    <row r="55" spans="2:9" ht="15" customHeight="1" x14ac:dyDescent="0.2">
      <c r="B55" t="s">
        <v>139</v>
      </c>
      <c r="C55" s="12">
        <v>1148</v>
      </c>
      <c r="D55" s="8">
        <v>2.04</v>
      </c>
      <c r="E55" s="12">
        <v>924</v>
      </c>
      <c r="F55" s="8">
        <v>2.94</v>
      </c>
      <c r="G55" s="12">
        <v>221</v>
      </c>
      <c r="H55" s="8">
        <v>0.91</v>
      </c>
      <c r="I55" s="12">
        <v>3</v>
      </c>
    </row>
    <row r="56" spans="2:9" ht="15" customHeight="1" x14ac:dyDescent="0.2">
      <c r="B56" t="s">
        <v>130</v>
      </c>
      <c r="C56" s="12">
        <v>1008</v>
      </c>
      <c r="D56" s="8">
        <v>1.79</v>
      </c>
      <c r="E56" s="12">
        <v>657</v>
      </c>
      <c r="F56" s="8">
        <v>2.09</v>
      </c>
      <c r="G56" s="12">
        <v>350</v>
      </c>
      <c r="H56" s="8">
        <v>1.44</v>
      </c>
      <c r="I56" s="12">
        <v>1</v>
      </c>
    </row>
    <row r="57" spans="2:9" ht="15" customHeight="1" x14ac:dyDescent="0.2">
      <c r="B57" t="s">
        <v>124</v>
      </c>
      <c r="C57" s="12">
        <v>981</v>
      </c>
      <c r="D57" s="8">
        <v>1.74</v>
      </c>
      <c r="E57" s="12">
        <v>498</v>
      </c>
      <c r="F57" s="8">
        <v>1.58</v>
      </c>
      <c r="G57" s="12">
        <v>483</v>
      </c>
      <c r="H57" s="8">
        <v>1.99</v>
      </c>
      <c r="I57" s="12">
        <v>0</v>
      </c>
    </row>
    <row r="58" spans="2:9" ht="15" customHeight="1" x14ac:dyDescent="0.2">
      <c r="B58" t="s">
        <v>123</v>
      </c>
      <c r="C58" s="12">
        <v>890</v>
      </c>
      <c r="D58" s="8">
        <v>1.58</v>
      </c>
      <c r="E58" s="12">
        <v>211</v>
      </c>
      <c r="F58" s="8">
        <v>0.67</v>
      </c>
      <c r="G58" s="12">
        <v>679</v>
      </c>
      <c r="H58" s="8">
        <v>2.8</v>
      </c>
      <c r="I58" s="12">
        <v>0</v>
      </c>
    </row>
    <row r="59" spans="2:9" ht="15" customHeight="1" x14ac:dyDescent="0.2">
      <c r="B59" t="s">
        <v>125</v>
      </c>
      <c r="C59" s="12">
        <v>855</v>
      </c>
      <c r="D59" s="8">
        <v>1.52</v>
      </c>
      <c r="E59" s="12">
        <v>336</v>
      </c>
      <c r="F59" s="8">
        <v>1.07</v>
      </c>
      <c r="G59" s="12">
        <v>519</v>
      </c>
      <c r="H59" s="8">
        <v>2.14</v>
      </c>
      <c r="I59" s="12">
        <v>0</v>
      </c>
    </row>
    <row r="60" spans="2:9" ht="15" customHeight="1" x14ac:dyDescent="0.2">
      <c r="B60" t="s">
        <v>135</v>
      </c>
      <c r="C60" s="12">
        <v>843</v>
      </c>
      <c r="D60" s="8">
        <v>1.5</v>
      </c>
      <c r="E60" s="12">
        <v>788</v>
      </c>
      <c r="F60" s="8">
        <v>2.5099999999999998</v>
      </c>
      <c r="G60" s="12">
        <v>55</v>
      </c>
      <c r="H60" s="8">
        <v>0.23</v>
      </c>
      <c r="I60" s="12">
        <v>0</v>
      </c>
    </row>
    <row r="61" spans="2:9" ht="15" customHeight="1" x14ac:dyDescent="0.2">
      <c r="B61" t="s">
        <v>129</v>
      </c>
      <c r="C61" s="12">
        <v>771</v>
      </c>
      <c r="D61" s="8">
        <v>1.37</v>
      </c>
      <c r="E61" s="12">
        <v>333</v>
      </c>
      <c r="F61" s="8">
        <v>1.06</v>
      </c>
      <c r="G61" s="12">
        <v>438</v>
      </c>
      <c r="H61" s="8">
        <v>1.81</v>
      </c>
      <c r="I61" s="12">
        <v>0</v>
      </c>
    </row>
    <row r="62" spans="2:9" ht="15" customHeight="1" x14ac:dyDescent="0.2">
      <c r="B62" t="s">
        <v>131</v>
      </c>
      <c r="C62" s="12">
        <v>771</v>
      </c>
      <c r="D62" s="8">
        <v>1.37</v>
      </c>
      <c r="E62" s="12">
        <v>205</v>
      </c>
      <c r="F62" s="8">
        <v>0.65</v>
      </c>
      <c r="G62" s="12">
        <v>565</v>
      </c>
      <c r="H62" s="8">
        <v>2.33</v>
      </c>
      <c r="I62" s="12">
        <v>0</v>
      </c>
    </row>
    <row r="63" spans="2:9" ht="15" customHeight="1" x14ac:dyDescent="0.2">
      <c r="B63" t="s">
        <v>133</v>
      </c>
      <c r="C63" s="12">
        <v>762</v>
      </c>
      <c r="D63" s="8">
        <v>1.35</v>
      </c>
      <c r="E63" s="12">
        <v>295</v>
      </c>
      <c r="F63" s="8">
        <v>0.94</v>
      </c>
      <c r="G63" s="12">
        <v>442</v>
      </c>
      <c r="H63" s="8">
        <v>1.82</v>
      </c>
      <c r="I63" s="12">
        <v>1</v>
      </c>
    </row>
    <row r="64" spans="2:9" ht="15" customHeight="1" x14ac:dyDescent="0.2">
      <c r="B64" t="s">
        <v>126</v>
      </c>
      <c r="C64" s="12">
        <v>739</v>
      </c>
      <c r="D64" s="8">
        <v>1.31</v>
      </c>
      <c r="E64" s="12">
        <v>445</v>
      </c>
      <c r="F64" s="8">
        <v>1.42</v>
      </c>
      <c r="G64" s="12">
        <v>294</v>
      </c>
      <c r="H64" s="8">
        <v>1.21</v>
      </c>
      <c r="I64" s="12">
        <v>0</v>
      </c>
    </row>
    <row r="65" spans="2:9" ht="15" customHeight="1" x14ac:dyDescent="0.2">
      <c r="B65" t="s">
        <v>141</v>
      </c>
      <c r="C65" s="12">
        <v>735</v>
      </c>
      <c r="D65" s="8">
        <v>1.31</v>
      </c>
      <c r="E65" s="12">
        <v>546</v>
      </c>
      <c r="F65" s="8">
        <v>1.74</v>
      </c>
      <c r="G65" s="12">
        <v>189</v>
      </c>
      <c r="H65" s="8">
        <v>0.78</v>
      </c>
      <c r="I65" s="12">
        <v>0</v>
      </c>
    </row>
    <row r="66" spans="2:9" ht="15" customHeight="1" x14ac:dyDescent="0.2">
      <c r="B66" t="s">
        <v>127</v>
      </c>
      <c r="C66" s="12">
        <v>715</v>
      </c>
      <c r="D66" s="8">
        <v>1.27</v>
      </c>
      <c r="E66" s="12">
        <v>458</v>
      </c>
      <c r="F66" s="8">
        <v>1.46</v>
      </c>
      <c r="G66" s="12">
        <v>256</v>
      </c>
      <c r="H66" s="8">
        <v>1.06</v>
      </c>
      <c r="I66" s="12">
        <v>1</v>
      </c>
    </row>
    <row r="68" spans="2:9" ht="15" customHeight="1" x14ac:dyDescent="0.2">
      <c r="B68" t="s">
        <v>235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B213F-0602-40E8-BBFF-7DAB84979E84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236</v>
      </c>
    </row>
    <row r="4" spans="2:9" ht="33" customHeight="1" x14ac:dyDescent="0.2">
      <c r="B4" t="s">
        <v>231</v>
      </c>
      <c r="C4" s="10" t="s">
        <v>59</v>
      </c>
      <c r="D4" s="10" t="s">
        <v>60</v>
      </c>
      <c r="E4" s="10" t="s">
        <v>61</v>
      </c>
      <c r="F4" s="10" t="s">
        <v>62</v>
      </c>
      <c r="G4" s="10" t="s">
        <v>63</v>
      </c>
      <c r="H4" s="10" t="s">
        <v>64</v>
      </c>
      <c r="I4" s="10" t="s">
        <v>65</v>
      </c>
    </row>
    <row r="5" spans="2:9" ht="15" customHeight="1" x14ac:dyDescent="0.2">
      <c r="B5" t="s">
        <v>43</v>
      </c>
      <c r="C5" s="12">
        <v>2</v>
      </c>
      <c r="D5" s="8">
        <v>0.02</v>
      </c>
      <c r="E5" s="12">
        <v>0</v>
      </c>
      <c r="F5" s="8">
        <v>0</v>
      </c>
      <c r="G5" s="12">
        <v>2</v>
      </c>
      <c r="H5" s="8">
        <v>0.04</v>
      </c>
      <c r="I5" s="12">
        <v>0</v>
      </c>
    </row>
    <row r="6" spans="2:9" ht="15" customHeight="1" x14ac:dyDescent="0.2">
      <c r="B6" t="s">
        <v>44</v>
      </c>
      <c r="C6" s="12">
        <v>1281</v>
      </c>
      <c r="D6" s="8">
        <v>10.91</v>
      </c>
      <c r="E6" s="12">
        <v>301</v>
      </c>
      <c r="F6" s="8">
        <v>5.03</v>
      </c>
      <c r="G6" s="12">
        <v>980</v>
      </c>
      <c r="H6" s="8">
        <v>17.29</v>
      </c>
      <c r="I6" s="12">
        <v>0</v>
      </c>
    </row>
    <row r="7" spans="2:9" ht="15" customHeight="1" x14ac:dyDescent="0.2">
      <c r="B7" t="s">
        <v>45</v>
      </c>
      <c r="C7" s="12">
        <v>1061</v>
      </c>
      <c r="D7" s="8">
        <v>9.0299999999999994</v>
      </c>
      <c r="E7" s="12">
        <v>457</v>
      </c>
      <c r="F7" s="8">
        <v>7.63</v>
      </c>
      <c r="G7" s="12">
        <v>603</v>
      </c>
      <c r="H7" s="8">
        <v>10.64</v>
      </c>
      <c r="I7" s="12">
        <v>0</v>
      </c>
    </row>
    <row r="8" spans="2:9" ht="15" customHeight="1" x14ac:dyDescent="0.2">
      <c r="B8" t="s">
        <v>46</v>
      </c>
      <c r="C8" s="12">
        <v>10</v>
      </c>
      <c r="D8" s="8">
        <v>0.09</v>
      </c>
      <c r="E8" s="12">
        <v>0</v>
      </c>
      <c r="F8" s="8">
        <v>0</v>
      </c>
      <c r="G8" s="12">
        <v>10</v>
      </c>
      <c r="H8" s="8">
        <v>0.18</v>
      </c>
      <c r="I8" s="12">
        <v>0</v>
      </c>
    </row>
    <row r="9" spans="2:9" ht="15" customHeight="1" x14ac:dyDescent="0.2">
      <c r="B9" t="s">
        <v>47</v>
      </c>
      <c r="C9" s="12">
        <v>94</v>
      </c>
      <c r="D9" s="8">
        <v>0.8</v>
      </c>
      <c r="E9" s="12">
        <v>6</v>
      </c>
      <c r="F9" s="8">
        <v>0.1</v>
      </c>
      <c r="G9" s="12">
        <v>87</v>
      </c>
      <c r="H9" s="8">
        <v>1.54</v>
      </c>
      <c r="I9" s="12">
        <v>1</v>
      </c>
    </row>
    <row r="10" spans="2:9" ht="15" customHeight="1" x14ac:dyDescent="0.2">
      <c r="B10" t="s">
        <v>48</v>
      </c>
      <c r="C10" s="12">
        <v>56</v>
      </c>
      <c r="D10" s="8">
        <v>0.48</v>
      </c>
      <c r="E10" s="12">
        <v>10</v>
      </c>
      <c r="F10" s="8">
        <v>0.17</v>
      </c>
      <c r="G10" s="12">
        <v>45</v>
      </c>
      <c r="H10" s="8">
        <v>0.79</v>
      </c>
      <c r="I10" s="12">
        <v>1</v>
      </c>
    </row>
    <row r="11" spans="2:9" ht="15" customHeight="1" x14ac:dyDescent="0.2">
      <c r="B11" t="s">
        <v>49</v>
      </c>
      <c r="C11" s="12">
        <v>2670</v>
      </c>
      <c r="D11" s="8">
        <v>22.73</v>
      </c>
      <c r="E11" s="12">
        <v>1106</v>
      </c>
      <c r="F11" s="8">
        <v>18.48</v>
      </c>
      <c r="G11" s="12">
        <v>1563</v>
      </c>
      <c r="H11" s="8">
        <v>27.58</v>
      </c>
      <c r="I11" s="12">
        <v>1</v>
      </c>
    </row>
    <row r="12" spans="2:9" ht="15" customHeight="1" x14ac:dyDescent="0.2">
      <c r="B12" t="s">
        <v>50</v>
      </c>
      <c r="C12" s="12">
        <v>109</v>
      </c>
      <c r="D12" s="8">
        <v>0.93</v>
      </c>
      <c r="E12" s="12">
        <v>11</v>
      </c>
      <c r="F12" s="8">
        <v>0.18</v>
      </c>
      <c r="G12" s="12">
        <v>98</v>
      </c>
      <c r="H12" s="8">
        <v>1.73</v>
      </c>
      <c r="I12" s="12">
        <v>0</v>
      </c>
    </row>
    <row r="13" spans="2:9" ht="15" customHeight="1" x14ac:dyDescent="0.2">
      <c r="B13" t="s">
        <v>51</v>
      </c>
      <c r="C13" s="12">
        <v>1469</v>
      </c>
      <c r="D13" s="8">
        <v>12.51</v>
      </c>
      <c r="E13" s="12">
        <v>695</v>
      </c>
      <c r="F13" s="8">
        <v>11.61</v>
      </c>
      <c r="G13" s="12">
        <v>773</v>
      </c>
      <c r="H13" s="8">
        <v>13.64</v>
      </c>
      <c r="I13" s="12">
        <v>1</v>
      </c>
    </row>
    <row r="14" spans="2:9" ht="15" customHeight="1" x14ac:dyDescent="0.2">
      <c r="B14" t="s">
        <v>52</v>
      </c>
      <c r="C14" s="12">
        <v>729</v>
      </c>
      <c r="D14" s="8">
        <v>6.21</v>
      </c>
      <c r="E14" s="12">
        <v>355</v>
      </c>
      <c r="F14" s="8">
        <v>5.93</v>
      </c>
      <c r="G14" s="12">
        <v>363</v>
      </c>
      <c r="H14" s="8">
        <v>6.41</v>
      </c>
      <c r="I14" s="12">
        <v>3</v>
      </c>
    </row>
    <row r="15" spans="2:9" ht="15" customHeight="1" x14ac:dyDescent="0.2">
      <c r="B15" t="s">
        <v>53</v>
      </c>
      <c r="C15" s="12">
        <v>1475</v>
      </c>
      <c r="D15" s="8">
        <v>12.56</v>
      </c>
      <c r="E15" s="12">
        <v>1241</v>
      </c>
      <c r="F15" s="8">
        <v>20.73</v>
      </c>
      <c r="G15" s="12">
        <v>234</v>
      </c>
      <c r="H15" s="8">
        <v>4.13</v>
      </c>
      <c r="I15" s="12">
        <v>0</v>
      </c>
    </row>
    <row r="16" spans="2:9" ht="15" customHeight="1" x14ac:dyDescent="0.2">
      <c r="B16" t="s">
        <v>54</v>
      </c>
      <c r="C16" s="12">
        <v>1326</v>
      </c>
      <c r="D16" s="8">
        <v>11.29</v>
      </c>
      <c r="E16" s="12">
        <v>1025</v>
      </c>
      <c r="F16" s="8">
        <v>17.12</v>
      </c>
      <c r="G16" s="12">
        <v>299</v>
      </c>
      <c r="H16" s="8">
        <v>5.28</v>
      </c>
      <c r="I16" s="12">
        <v>0</v>
      </c>
    </row>
    <row r="17" spans="2:9" ht="15" customHeight="1" x14ac:dyDescent="0.2">
      <c r="B17" t="s">
        <v>55</v>
      </c>
      <c r="C17" s="12">
        <v>431</v>
      </c>
      <c r="D17" s="8">
        <v>3.67</v>
      </c>
      <c r="E17" s="12">
        <v>212</v>
      </c>
      <c r="F17" s="8">
        <v>3.54</v>
      </c>
      <c r="G17" s="12">
        <v>163</v>
      </c>
      <c r="H17" s="8">
        <v>2.88</v>
      </c>
      <c r="I17" s="12">
        <v>0</v>
      </c>
    </row>
    <row r="18" spans="2:9" ht="15" customHeight="1" x14ac:dyDescent="0.2">
      <c r="B18" t="s">
        <v>56</v>
      </c>
      <c r="C18" s="12">
        <v>582</v>
      </c>
      <c r="D18" s="8">
        <v>4.95</v>
      </c>
      <c r="E18" s="12">
        <v>394</v>
      </c>
      <c r="F18" s="8">
        <v>6.58</v>
      </c>
      <c r="G18" s="12">
        <v>181</v>
      </c>
      <c r="H18" s="8">
        <v>3.19</v>
      </c>
      <c r="I18" s="12">
        <v>3</v>
      </c>
    </row>
    <row r="19" spans="2:9" ht="15" customHeight="1" x14ac:dyDescent="0.2">
      <c r="B19" t="s">
        <v>57</v>
      </c>
      <c r="C19" s="12">
        <v>451</v>
      </c>
      <c r="D19" s="8">
        <v>3.84</v>
      </c>
      <c r="E19" s="12">
        <v>173</v>
      </c>
      <c r="F19" s="8">
        <v>2.89</v>
      </c>
      <c r="G19" s="12">
        <v>266</v>
      </c>
      <c r="H19" s="8">
        <v>4.6900000000000004</v>
      </c>
      <c r="I19" s="12">
        <v>10</v>
      </c>
    </row>
    <row r="20" spans="2:9" ht="15" customHeight="1" x14ac:dyDescent="0.2">
      <c r="B20" s="9" t="s">
        <v>232</v>
      </c>
      <c r="C20" s="12">
        <f>SUM(LTBL_21201[総数／事業所数])</f>
        <v>11746</v>
      </c>
      <c r="E20" s="12">
        <f>SUBTOTAL(109,LTBL_21201[個人／事業所数])</f>
        <v>5986</v>
      </c>
      <c r="G20" s="12">
        <f>SUBTOTAL(109,LTBL_21201[法人／事業所数])</f>
        <v>5667</v>
      </c>
      <c r="I20" s="12">
        <f>SUBTOTAL(109,LTBL_21201[法人以外の団体／事業所数])</f>
        <v>20</v>
      </c>
    </row>
    <row r="21" spans="2:9" ht="15" customHeight="1" x14ac:dyDescent="0.2">
      <c r="E21" s="11">
        <f>LTBL_21201[[#Totals],[個人／事業所数]]/LTBL_21201[[#Totals],[総数／事業所数]]</f>
        <v>0.50962029627107097</v>
      </c>
      <c r="G21" s="11">
        <f>LTBL_21201[[#Totals],[法人／事業所数]]/LTBL_21201[[#Totals],[総数／事業所数]]</f>
        <v>0.4824621147624723</v>
      </c>
      <c r="I21" s="11">
        <f>LTBL_21201[[#Totals],[法人以外の団体／事業所数]]/LTBL_21201[[#Totals],[総数／事業所数]]</f>
        <v>1.7027073046143367E-3</v>
      </c>
    </row>
    <row r="23" spans="2:9" ht="33" customHeight="1" x14ac:dyDescent="0.2">
      <c r="B23" t="s">
        <v>233</v>
      </c>
      <c r="C23" s="10" t="s">
        <v>59</v>
      </c>
      <c r="D23" s="10" t="s">
        <v>60</v>
      </c>
      <c r="E23" s="10" t="s">
        <v>61</v>
      </c>
      <c r="F23" s="10" t="s">
        <v>62</v>
      </c>
      <c r="G23" s="10" t="s">
        <v>63</v>
      </c>
      <c r="H23" s="10" t="s">
        <v>64</v>
      </c>
      <c r="I23" s="10" t="s">
        <v>65</v>
      </c>
    </row>
    <row r="24" spans="2:9" ht="15" customHeight="1" x14ac:dyDescent="0.2">
      <c r="B24" t="s">
        <v>81</v>
      </c>
      <c r="C24" s="12">
        <v>1392</v>
      </c>
      <c r="D24" s="8">
        <v>11.85</v>
      </c>
      <c r="E24" s="12">
        <v>1216</v>
      </c>
      <c r="F24" s="8">
        <v>20.309999999999999</v>
      </c>
      <c r="G24" s="12">
        <v>176</v>
      </c>
      <c r="H24" s="8">
        <v>3.11</v>
      </c>
      <c r="I24" s="12">
        <v>0</v>
      </c>
    </row>
    <row r="25" spans="2:9" ht="15" customHeight="1" x14ac:dyDescent="0.2">
      <c r="B25" t="s">
        <v>78</v>
      </c>
      <c r="C25" s="12">
        <v>1275</v>
      </c>
      <c r="D25" s="8">
        <v>10.85</v>
      </c>
      <c r="E25" s="12">
        <v>659</v>
      </c>
      <c r="F25" s="8">
        <v>11.01</v>
      </c>
      <c r="G25" s="12">
        <v>615</v>
      </c>
      <c r="H25" s="8">
        <v>10.85</v>
      </c>
      <c r="I25" s="12">
        <v>1</v>
      </c>
    </row>
    <row r="26" spans="2:9" ht="15" customHeight="1" x14ac:dyDescent="0.2">
      <c r="B26" t="s">
        <v>82</v>
      </c>
      <c r="C26" s="12">
        <v>1131</v>
      </c>
      <c r="D26" s="8">
        <v>9.6300000000000008</v>
      </c>
      <c r="E26" s="12">
        <v>947</v>
      </c>
      <c r="F26" s="8">
        <v>15.82</v>
      </c>
      <c r="G26" s="12">
        <v>184</v>
      </c>
      <c r="H26" s="8">
        <v>3.25</v>
      </c>
      <c r="I26" s="12">
        <v>0</v>
      </c>
    </row>
    <row r="27" spans="2:9" ht="15" customHeight="1" x14ac:dyDescent="0.2">
      <c r="B27" t="s">
        <v>77</v>
      </c>
      <c r="C27" s="12">
        <v>687</v>
      </c>
      <c r="D27" s="8">
        <v>5.85</v>
      </c>
      <c r="E27" s="12">
        <v>325</v>
      </c>
      <c r="F27" s="8">
        <v>5.43</v>
      </c>
      <c r="G27" s="12">
        <v>362</v>
      </c>
      <c r="H27" s="8">
        <v>6.39</v>
      </c>
      <c r="I27" s="12">
        <v>0</v>
      </c>
    </row>
    <row r="28" spans="2:9" ht="15" customHeight="1" x14ac:dyDescent="0.2">
      <c r="B28" t="s">
        <v>66</v>
      </c>
      <c r="C28" s="12">
        <v>509</v>
      </c>
      <c r="D28" s="8">
        <v>4.33</v>
      </c>
      <c r="E28" s="12">
        <v>80</v>
      </c>
      <c r="F28" s="8">
        <v>1.34</v>
      </c>
      <c r="G28" s="12">
        <v>429</v>
      </c>
      <c r="H28" s="8">
        <v>7.57</v>
      </c>
      <c r="I28" s="12">
        <v>0</v>
      </c>
    </row>
    <row r="29" spans="2:9" ht="15" customHeight="1" x14ac:dyDescent="0.2">
      <c r="B29" t="s">
        <v>79</v>
      </c>
      <c r="C29" s="12">
        <v>449</v>
      </c>
      <c r="D29" s="8">
        <v>3.82</v>
      </c>
      <c r="E29" s="12">
        <v>265</v>
      </c>
      <c r="F29" s="8">
        <v>4.43</v>
      </c>
      <c r="G29" s="12">
        <v>181</v>
      </c>
      <c r="H29" s="8">
        <v>3.19</v>
      </c>
      <c r="I29" s="12">
        <v>3</v>
      </c>
    </row>
    <row r="30" spans="2:9" ht="15" customHeight="1" x14ac:dyDescent="0.2">
      <c r="B30" t="s">
        <v>67</v>
      </c>
      <c r="C30" s="12">
        <v>435</v>
      </c>
      <c r="D30" s="8">
        <v>3.7</v>
      </c>
      <c r="E30" s="12">
        <v>135</v>
      </c>
      <c r="F30" s="8">
        <v>2.2599999999999998</v>
      </c>
      <c r="G30" s="12">
        <v>300</v>
      </c>
      <c r="H30" s="8">
        <v>5.29</v>
      </c>
      <c r="I30" s="12">
        <v>0</v>
      </c>
    </row>
    <row r="31" spans="2:9" ht="15" customHeight="1" x14ac:dyDescent="0.2">
      <c r="B31" t="s">
        <v>84</v>
      </c>
      <c r="C31" s="12">
        <v>432</v>
      </c>
      <c r="D31" s="8">
        <v>3.68</v>
      </c>
      <c r="E31" s="12">
        <v>392</v>
      </c>
      <c r="F31" s="8">
        <v>6.55</v>
      </c>
      <c r="G31" s="12">
        <v>40</v>
      </c>
      <c r="H31" s="8">
        <v>0.71</v>
      </c>
      <c r="I31" s="12">
        <v>0</v>
      </c>
    </row>
    <row r="32" spans="2:9" ht="15" customHeight="1" x14ac:dyDescent="0.2">
      <c r="B32" t="s">
        <v>83</v>
      </c>
      <c r="C32" s="12">
        <v>431</v>
      </c>
      <c r="D32" s="8">
        <v>3.67</v>
      </c>
      <c r="E32" s="12">
        <v>212</v>
      </c>
      <c r="F32" s="8">
        <v>3.54</v>
      </c>
      <c r="G32" s="12">
        <v>163</v>
      </c>
      <c r="H32" s="8">
        <v>2.88</v>
      </c>
      <c r="I32" s="12">
        <v>0</v>
      </c>
    </row>
    <row r="33" spans="2:9" ht="15" customHeight="1" x14ac:dyDescent="0.2">
      <c r="B33" t="s">
        <v>76</v>
      </c>
      <c r="C33" s="12">
        <v>372</v>
      </c>
      <c r="D33" s="8">
        <v>3.17</v>
      </c>
      <c r="E33" s="12">
        <v>213</v>
      </c>
      <c r="F33" s="8">
        <v>3.56</v>
      </c>
      <c r="G33" s="12">
        <v>159</v>
      </c>
      <c r="H33" s="8">
        <v>2.81</v>
      </c>
      <c r="I33" s="12">
        <v>0</v>
      </c>
    </row>
    <row r="34" spans="2:9" ht="15" customHeight="1" x14ac:dyDescent="0.2">
      <c r="B34" t="s">
        <v>69</v>
      </c>
      <c r="C34" s="12">
        <v>356</v>
      </c>
      <c r="D34" s="8">
        <v>3.03</v>
      </c>
      <c r="E34" s="12">
        <v>197</v>
      </c>
      <c r="F34" s="8">
        <v>3.29</v>
      </c>
      <c r="G34" s="12">
        <v>159</v>
      </c>
      <c r="H34" s="8">
        <v>2.81</v>
      </c>
      <c r="I34" s="12">
        <v>0</v>
      </c>
    </row>
    <row r="35" spans="2:9" ht="15" customHeight="1" x14ac:dyDescent="0.2">
      <c r="B35" t="s">
        <v>75</v>
      </c>
      <c r="C35" s="12">
        <v>338</v>
      </c>
      <c r="D35" s="8">
        <v>2.88</v>
      </c>
      <c r="E35" s="12">
        <v>217</v>
      </c>
      <c r="F35" s="8">
        <v>3.63</v>
      </c>
      <c r="G35" s="12">
        <v>121</v>
      </c>
      <c r="H35" s="8">
        <v>2.14</v>
      </c>
      <c r="I35" s="12">
        <v>0</v>
      </c>
    </row>
    <row r="36" spans="2:9" ht="15" customHeight="1" x14ac:dyDescent="0.2">
      <c r="B36" t="s">
        <v>68</v>
      </c>
      <c r="C36" s="12">
        <v>337</v>
      </c>
      <c r="D36" s="8">
        <v>2.87</v>
      </c>
      <c r="E36" s="12">
        <v>86</v>
      </c>
      <c r="F36" s="8">
        <v>1.44</v>
      </c>
      <c r="G36" s="12">
        <v>251</v>
      </c>
      <c r="H36" s="8">
        <v>4.43</v>
      </c>
      <c r="I36" s="12">
        <v>0</v>
      </c>
    </row>
    <row r="37" spans="2:9" ht="15" customHeight="1" x14ac:dyDescent="0.2">
      <c r="B37" t="s">
        <v>74</v>
      </c>
      <c r="C37" s="12">
        <v>302</v>
      </c>
      <c r="D37" s="8">
        <v>2.57</v>
      </c>
      <c r="E37" s="12">
        <v>155</v>
      </c>
      <c r="F37" s="8">
        <v>2.59</v>
      </c>
      <c r="G37" s="12">
        <v>147</v>
      </c>
      <c r="H37" s="8">
        <v>2.59</v>
      </c>
      <c r="I37" s="12">
        <v>0</v>
      </c>
    </row>
    <row r="38" spans="2:9" ht="15" customHeight="1" x14ac:dyDescent="0.2">
      <c r="B38" t="s">
        <v>80</v>
      </c>
      <c r="C38" s="12">
        <v>251</v>
      </c>
      <c r="D38" s="8">
        <v>2.14</v>
      </c>
      <c r="E38" s="12">
        <v>89</v>
      </c>
      <c r="F38" s="8">
        <v>1.49</v>
      </c>
      <c r="G38" s="12">
        <v>155</v>
      </c>
      <c r="H38" s="8">
        <v>2.74</v>
      </c>
      <c r="I38" s="12">
        <v>0</v>
      </c>
    </row>
    <row r="39" spans="2:9" ht="15" customHeight="1" x14ac:dyDescent="0.2">
      <c r="B39" t="s">
        <v>86</v>
      </c>
      <c r="C39" s="12">
        <v>219</v>
      </c>
      <c r="D39" s="8">
        <v>1.86</v>
      </c>
      <c r="E39" s="12">
        <v>54</v>
      </c>
      <c r="F39" s="8">
        <v>0.9</v>
      </c>
      <c r="G39" s="12">
        <v>165</v>
      </c>
      <c r="H39" s="8">
        <v>2.91</v>
      </c>
      <c r="I39" s="12">
        <v>0</v>
      </c>
    </row>
    <row r="40" spans="2:9" ht="15" customHeight="1" x14ac:dyDescent="0.2">
      <c r="B40" t="s">
        <v>73</v>
      </c>
      <c r="C40" s="12">
        <v>194</v>
      </c>
      <c r="D40" s="8">
        <v>1.65</v>
      </c>
      <c r="E40" s="12">
        <v>43</v>
      </c>
      <c r="F40" s="8">
        <v>0.72</v>
      </c>
      <c r="G40" s="12">
        <v>151</v>
      </c>
      <c r="H40" s="8">
        <v>2.66</v>
      </c>
      <c r="I40" s="12">
        <v>0</v>
      </c>
    </row>
    <row r="41" spans="2:9" ht="15" customHeight="1" x14ac:dyDescent="0.2">
      <c r="B41" t="s">
        <v>87</v>
      </c>
      <c r="C41" s="12">
        <v>175</v>
      </c>
      <c r="D41" s="8">
        <v>1.49</v>
      </c>
      <c r="E41" s="12">
        <v>16</v>
      </c>
      <c r="F41" s="8">
        <v>0.27</v>
      </c>
      <c r="G41" s="12">
        <v>159</v>
      </c>
      <c r="H41" s="8">
        <v>2.81</v>
      </c>
      <c r="I41" s="12">
        <v>0</v>
      </c>
    </row>
    <row r="42" spans="2:9" ht="15" customHeight="1" x14ac:dyDescent="0.2">
      <c r="B42" t="s">
        <v>88</v>
      </c>
      <c r="C42" s="12">
        <v>158</v>
      </c>
      <c r="D42" s="8">
        <v>1.35</v>
      </c>
      <c r="E42" s="12">
        <v>41</v>
      </c>
      <c r="F42" s="8">
        <v>0.68</v>
      </c>
      <c r="G42" s="12">
        <v>111</v>
      </c>
      <c r="H42" s="8">
        <v>1.96</v>
      </c>
      <c r="I42" s="12">
        <v>6</v>
      </c>
    </row>
    <row r="43" spans="2:9" ht="15" customHeight="1" x14ac:dyDescent="0.2">
      <c r="B43" t="s">
        <v>85</v>
      </c>
      <c r="C43" s="12">
        <v>151</v>
      </c>
      <c r="D43" s="8">
        <v>1.29</v>
      </c>
      <c r="E43" s="12">
        <v>101</v>
      </c>
      <c r="F43" s="8">
        <v>1.69</v>
      </c>
      <c r="G43" s="12">
        <v>50</v>
      </c>
      <c r="H43" s="8">
        <v>0.88</v>
      </c>
      <c r="I43" s="12">
        <v>0</v>
      </c>
    </row>
    <row r="46" spans="2:9" ht="33" customHeight="1" x14ac:dyDescent="0.2">
      <c r="B46" t="s">
        <v>234</v>
      </c>
      <c r="C46" s="10" t="s">
        <v>59</v>
      </c>
      <c r="D46" s="10" t="s">
        <v>60</v>
      </c>
      <c r="E46" s="10" t="s">
        <v>61</v>
      </c>
      <c r="F46" s="10" t="s">
        <v>62</v>
      </c>
      <c r="G46" s="10" t="s">
        <v>63</v>
      </c>
      <c r="H46" s="10" t="s">
        <v>64</v>
      </c>
      <c r="I46" s="10" t="s">
        <v>65</v>
      </c>
    </row>
    <row r="47" spans="2:9" ht="15" customHeight="1" x14ac:dyDescent="0.2">
      <c r="B47" t="s">
        <v>132</v>
      </c>
      <c r="C47" s="12">
        <v>724</v>
      </c>
      <c r="D47" s="8">
        <v>6.16</v>
      </c>
      <c r="E47" s="12">
        <v>474</v>
      </c>
      <c r="F47" s="8">
        <v>7.92</v>
      </c>
      <c r="G47" s="12">
        <v>250</v>
      </c>
      <c r="H47" s="8">
        <v>4.41</v>
      </c>
      <c r="I47" s="12">
        <v>0</v>
      </c>
    </row>
    <row r="48" spans="2:9" ht="15" customHeight="1" x14ac:dyDescent="0.2">
      <c r="B48" t="s">
        <v>138</v>
      </c>
      <c r="C48" s="12">
        <v>561</v>
      </c>
      <c r="D48" s="8">
        <v>4.78</v>
      </c>
      <c r="E48" s="12">
        <v>510</v>
      </c>
      <c r="F48" s="8">
        <v>8.52</v>
      </c>
      <c r="G48" s="12">
        <v>51</v>
      </c>
      <c r="H48" s="8">
        <v>0.9</v>
      </c>
      <c r="I48" s="12">
        <v>0</v>
      </c>
    </row>
    <row r="49" spans="2:9" ht="15" customHeight="1" x14ac:dyDescent="0.2">
      <c r="B49" t="s">
        <v>136</v>
      </c>
      <c r="C49" s="12">
        <v>427</v>
      </c>
      <c r="D49" s="8">
        <v>3.64</v>
      </c>
      <c r="E49" s="12">
        <v>396</v>
      </c>
      <c r="F49" s="8">
        <v>6.62</v>
      </c>
      <c r="G49" s="12">
        <v>31</v>
      </c>
      <c r="H49" s="8">
        <v>0.55000000000000004</v>
      </c>
      <c r="I49" s="12">
        <v>0</v>
      </c>
    </row>
    <row r="50" spans="2:9" ht="15" customHeight="1" x14ac:dyDescent="0.2">
      <c r="B50" t="s">
        <v>134</v>
      </c>
      <c r="C50" s="12">
        <v>335</v>
      </c>
      <c r="D50" s="8">
        <v>2.85</v>
      </c>
      <c r="E50" s="12">
        <v>272</v>
      </c>
      <c r="F50" s="8">
        <v>4.54</v>
      </c>
      <c r="G50" s="12">
        <v>63</v>
      </c>
      <c r="H50" s="8">
        <v>1.1100000000000001</v>
      </c>
      <c r="I50" s="12">
        <v>0</v>
      </c>
    </row>
    <row r="51" spans="2:9" ht="15" customHeight="1" x14ac:dyDescent="0.2">
      <c r="B51" t="s">
        <v>140</v>
      </c>
      <c r="C51" s="12">
        <v>326</v>
      </c>
      <c r="D51" s="8">
        <v>2.78</v>
      </c>
      <c r="E51" s="12">
        <v>304</v>
      </c>
      <c r="F51" s="8">
        <v>5.08</v>
      </c>
      <c r="G51" s="12">
        <v>22</v>
      </c>
      <c r="H51" s="8">
        <v>0.39</v>
      </c>
      <c r="I51" s="12">
        <v>0</v>
      </c>
    </row>
    <row r="52" spans="2:9" ht="15" customHeight="1" x14ac:dyDescent="0.2">
      <c r="B52" t="s">
        <v>131</v>
      </c>
      <c r="C52" s="12">
        <v>301</v>
      </c>
      <c r="D52" s="8">
        <v>2.56</v>
      </c>
      <c r="E52" s="12">
        <v>83</v>
      </c>
      <c r="F52" s="8">
        <v>1.39</v>
      </c>
      <c r="G52" s="12">
        <v>218</v>
      </c>
      <c r="H52" s="8">
        <v>3.85</v>
      </c>
      <c r="I52" s="12">
        <v>0</v>
      </c>
    </row>
    <row r="53" spans="2:9" ht="15" customHeight="1" x14ac:dyDescent="0.2">
      <c r="B53" t="s">
        <v>137</v>
      </c>
      <c r="C53" s="12">
        <v>286</v>
      </c>
      <c r="D53" s="8">
        <v>2.4300000000000002</v>
      </c>
      <c r="E53" s="12">
        <v>276</v>
      </c>
      <c r="F53" s="8">
        <v>4.6100000000000003</v>
      </c>
      <c r="G53" s="12">
        <v>10</v>
      </c>
      <c r="H53" s="8">
        <v>0.18</v>
      </c>
      <c r="I53" s="12">
        <v>0</v>
      </c>
    </row>
    <row r="54" spans="2:9" ht="15" customHeight="1" x14ac:dyDescent="0.2">
      <c r="B54" t="s">
        <v>130</v>
      </c>
      <c r="C54" s="12">
        <v>222</v>
      </c>
      <c r="D54" s="8">
        <v>1.89</v>
      </c>
      <c r="E54" s="12">
        <v>127</v>
      </c>
      <c r="F54" s="8">
        <v>2.12</v>
      </c>
      <c r="G54" s="12">
        <v>95</v>
      </c>
      <c r="H54" s="8">
        <v>1.68</v>
      </c>
      <c r="I54" s="12">
        <v>0</v>
      </c>
    </row>
    <row r="55" spans="2:9" ht="15" customHeight="1" x14ac:dyDescent="0.2">
      <c r="B55" t="s">
        <v>142</v>
      </c>
      <c r="C55" s="12">
        <v>214</v>
      </c>
      <c r="D55" s="8">
        <v>1.82</v>
      </c>
      <c r="E55" s="12">
        <v>111</v>
      </c>
      <c r="F55" s="8">
        <v>1.85</v>
      </c>
      <c r="G55" s="12">
        <v>103</v>
      </c>
      <c r="H55" s="8">
        <v>1.82</v>
      </c>
      <c r="I55" s="12">
        <v>0</v>
      </c>
    </row>
    <row r="56" spans="2:9" ht="15" customHeight="1" x14ac:dyDescent="0.2">
      <c r="B56" t="s">
        <v>128</v>
      </c>
      <c r="C56" s="12">
        <v>212</v>
      </c>
      <c r="D56" s="8">
        <v>1.8</v>
      </c>
      <c r="E56" s="12">
        <v>105</v>
      </c>
      <c r="F56" s="8">
        <v>1.75</v>
      </c>
      <c r="G56" s="12">
        <v>107</v>
      </c>
      <c r="H56" s="8">
        <v>1.89</v>
      </c>
      <c r="I56" s="12">
        <v>0</v>
      </c>
    </row>
    <row r="57" spans="2:9" ht="15" customHeight="1" x14ac:dyDescent="0.2">
      <c r="B57" t="s">
        <v>135</v>
      </c>
      <c r="C57" s="12">
        <v>209</v>
      </c>
      <c r="D57" s="8">
        <v>1.78</v>
      </c>
      <c r="E57" s="12">
        <v>190</v>
      </c>
      <c r="F57" s="8">
        <v>3.17</v>
      </c>
      <c r="G57" s="12">
        <v>19</v>
      </c>
      <c r="H57" s="8">
        <v>0.34</v>
      </c>
      <c r="I57" s="12">
        <v>0</v>
      </c>
    </row>
    <row r="58" spans="2:9" ht="15" customHeight="1" x14ac:dyDescent="0.2">
      <c r="B58" t="s">
        <v>143</v>
      </c>
      <c r="C58" s="12">
        <v>209</v>
      </c>
      <c r="D58" s="8">
        <v>1.78</v>
      </c>
      <c r="E58" s="12">
        <v>191</v>
      </c>
      <c r="F58" s="8">
        <v>3.19</v>
      </c>
      <c r="G58" s="12">
        <v>18</v>
      </c>
      <c r="H58" s="8">
        <v>0.32</v>
      </c>
      <c r="I58" s="12">
        <v>0</v>
      </c>
    </row>
    <row r="59" spans="2:9" ht="15" customHeight="1" x14ac:dyDescent="0.2">
      <c r="B59" t="s">
        <v>139</v>
      </c>
      <c r="C59" s="12">
        <v>193</v>
      </c>
      <c r="D59" s="8">
        <v>1.64</v>
      </c>
      <c r="E59" s="12">
        <v>135</v>
      </c>
      <c r="F59" s="8">
        <v>2.2599999999999998</v>
      </c>
      <c r="G59" s="12">
        <v>58</v>
      </c>
      <c r="H59" s="8">
        <v>1.02</v>
      </c>
      <c r="I59" s="12">
        <v>0</v>
      </c>
    </row>
    <row r="60" spans="2:9" ht="15" customHeight="1" x14ac:dyDescent="0.2">
      <c r="B60" t="s">
        <v>133</v>
      </c>
      <c r="C60" s="12">
        <v>175</v>
      </c>
      <c r="D60" s="8">
        <v>1.49</v>
      </c>
      <c r="E60" s="12">
        <v>52</v>
      </c>
      <c r="F60" s="8">
        <v>0.87</v>
      </c>
      <c r="G60" s="12">
        <v>119</v>
      </c>
      <c r="H60" s="8">
        <v>2.1</v>
      </c>
      <c r="I60" s="12">
        <v>0</v>
      </c>
    </row>
    <row r="61" spans="2:9" ht="15" customHeight="1" x14ac:dyDescent="0.2">
      <c r="B61" t="s">
        <v>129</v>
      </c>
      <c r="C61" s="12">
        <v>174</v>
      </c>
      <c r="D61" s="8">
        <v>1.48</v>
      </c>
      <c r="E61" s="12">
        <v>64</v>
      </c>
      <c r="F61" s="8">
        <v>1.07</v>
      </c>
      <c r="G61" s="12">
        <v>110</v>
      </c>
      <c r="H61" s="8">
        <v>1.94</v>
      </c>
      <c r="I61" s="12">
        <v>0</v>
      </c>
    </row>
    <row r="62" spans="2:9" ht="15" customHeight="1" x14ac:dyDescent="0.2">
      <c r="B62" t="s">
        <v>123</v>
      </c>
      <c r="C62" s="12">
        <v>165</v>
      </c>
      <c r="D62" s="8">
        <v>1.4</v>
      </c>
      <c r="E62" s="12">
        <v>18</v>
      </c>
      <c r="F62" s="8">
        <v>0.3</v>
      </c>
      <c r="G62" s="12">
        <v>147</v>
      </c>
      <c r="H62" s="8">
        <v>2.59</v>
      </c>
      <c r="I62" s="12">
        <v>0</v>
      </c>
    </row>
    <row r="63" spans="2:9" ht="15" customHeight="1" x14ac:dyDescent="0.2">
      <c r="B63" t="s">
        <v>125</v>
      </c>
      <c r="C63" s="12">
        <v>165</v>
      </c>
      <c r="D63" s="8">
        <v>1.4</v>
      </c>
      <c r="E63" s="12">
        <v>49</v>
      </c>
      <c r="F63" s="8">
        <v>0.82</v>
      </c>
      <c r="G63" s="12">
        <v>116</v>
      </c>
      <c r="H63" s="8">
        <v>2.0499999999999998</v>
      </c>
      <c r="I63" s="12">
        <v>0</v>
      </c>
    </row>
    <row r="64" spans="2:9" ht="15" customHeight="1" x14ac:dyDescent="0.2">
      <c r="B64" t="s">
        <v>144</v>
      </c>
      <c r="C64" s="12">
        <v>163</v>
      </c>
      <c r="D64" s="8">
        <v>1.39</v>
      </c>
      <c r="E64" s="12">
        <v>102</v>
      </c>
      <c r="F64" s="8">
        <v>1.7</v>
      </c>
      <c r="G64" s="12">
        <v>61</v>
      </c>
      <c r="H64" s="8">
        <v>1.08</v>
      </c>
      <c r="I64" s="12">
        <v>0</v>
      </c>
    </row>
    <row r="65" spans="2:9" ht="15" customHeight="1" x14ac:dyDescent="0.2">
      <c r="B65" t="s">
        <v>141</v>
      </c>
      <c r="C65" s="12">
        <v>151</v>
      </c>
      <c r="D65" s="8">
        <v>1.29</v>
      </c>
      <c r="E65" s="12">
        <v>101</v>
      </c>
      <c r="F65" s="8">
        <v>1.69</v>
      </c>
      <c r="G65" s="12">
        <v>50</v>
      </c>
      <c r="H65" s="8">
        <v>0.88</v>
      </c>
      <c r="I65" s="12">
        <v>0</v>
      </c>
    </row>
    <row r="66" spans="2:9" ht="15" customHeight="1" x14ac:dyDescent="0.2">
      <c r="B66" t="s">
        <v>145</v>
      </c>
      <c r="C66" s="12">
        <v>150</v>
      </c>
      <c r="D66" s="8">
        <v>1.28</v>
      </c>
      <c r="E66" s="12">
        <v>76</v>
      </c>
      <c r="F66" s="8">
        <v>1.27</v>
      </c>
      <c r="G66" s="12">
        <v>74</v>
      </c>
      <c r="H66" s="8">
        <v>1.31</v>
      </c>
      <c r="I66" s="12">
        <v>0</v>
      </c>
    </row>
    <row r="68" spans="2:9" ht="15" customHeight="1" x14ac:dyDescent="0.2">
      <c r="B68" t="s">
        <v>235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6D777-B8A3-4672-89BD-4D85AB3C4F36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237</v>
      </c>
    </row>
    <row r="4" spans="2:9" ht="33" customHeight="1" x14ac:dyDescent="0.2">
      <c r="B4" t="s">
        <v>231</v>
      </c>
      <c r="C4" s="10" t="s">
        <v>59</v>
      </c>
      <c r="D4" s="10" t="s">
        <v>60</v>
      </c>
      <c r="E4" s="10" t="s">
        <v>61</v>
      </c>
      <c r="F4" s="10" t="s">
        <v>62</v>
      </c>
      <c r="G4" s="10" t="s">
        <v>63</v>
      </c>
      <c r="H4" s="10" t="s">
        <v>64</v>
      </c>
      <c r="I4" s="10" t="s">
        <v>65</v>
      </c>
    </row>
    <row r="5" spans="2:9" ht="15" customHeight="1" x14ac:dyDescent="0.2">
      <c r="B5" t="s">
        <v>43</v>
      </c>
      <c r="C5" s="12">
        <v>1</v>
      </c>
      <c r="D5" s="8">
        <v>0.02</v>
      </c>
      <c r="E5" s="12">
        <v>0</v>
      </c>
      <c r="F5" s="8">
        <v>0</v>
      </c>
      <c r="G5" s="12">
        <v>1</v>
      </c>
      <c r="H5" s="8">
        <v>0.05</v>
      </c>
      <c r="I5" s="12">
        <v>0</v>
      </c>
    </row>
    <row r="6" spans="2:9" ht="15" customHeight="1" x14ac:dyDescent="0.2">
      <c r="B6" t="s">
        <v>44</v>
      </c>
      <c r="C6" s="12">
        <v>486</v>
      </c>
      <c r="D6" s="8">
        <v>11.96</v>
      </c>
      <c r="E6" s="12">
        <v>167</v>
      </c>
      <c r="F6" s="8">
        <v>7.6</v>
      </c>
      <c r="G6" s="12">
        <v>319</v>
      </c>
      <c r="H6" s="8">
        <v>17.47</v>
      </c>
      <c r="I6" s="12">
        <v>0</v>
      </c>
    </row>
    <row r="7" spans="2:9" ht="15" customHeight="1" x14ac:dyDescent="0.2">
      <c r="B7" t="s">
        <v>45</v>
      </c>
      <c r="C7" s="12">
        <v>457</v>
      </c>
      <c r="D7" s="8">
        <v>11.24</v>
      </c>
      <c r="E7" s="12">
        <v>193</v>
      </c>
      <c r="F7" s="8">
        <v>8.7799999999999994</v>
      </c>
      <c r="G7" s="12">
        <v>264</v>
      </c>
      <c r="H7" s="8">
        <v>14.46</v>
      </c>
      <c r="I7" s="12">
        <v>0</v>
      </c>
    </row>
    <row r="8" spans="2:9" ht="15" customHeight="1" x14ac:dyDescent="0.2">
      <c r="B8" t="s">
        <v>46</v>
      </c>
      <c r="C8" s="12">
        <v>3</v>
      </c>
      <c r="D8" s="8">
        <v>7.0000000000000007E-2</v>
      </c>
      <c r="E8" s="12">
        <v>0</v>
      </c>
      <c r="F8" s="8">
        <v>0</v>
      </c>
      <c r="G8" s="12">
        <v>3</v>
      </c>
      <c r="H8" s="8">
        <v>0.16</v>
      </c>
      <c r="I8" s="12">
        <v>0</v>
      </c>
    </row>
    <row r="9" spans="2:9" ht="15" customHeight="1" x14ac:dyDescent="0.2">
      <c r="B9" t="s">
        <v>47</v>
      </c>
      <c r="C9" s="12">
        <v>47</v>
      </c>
      <c r="D9" s="8">
        <v>1.1599999999999999</v>
      </c>
      <c r="E9" s="12">
        <v>1</v>
      </c>
      <c r="F9" s="8">
        <v>0.05</v>
      </c>
      <c r="G9" s="12">
        <v>46</v>
      </c>
      <c r="H9" s="8">
        <v>2.52</v>
      </c>
      <c r="I9" s="12">
        <v>0</v>
      </c>
    </row>
    <row r="10" spans="2:9" ht="15" customHeight="1" x14ac:dyDescent="0.2">
      <c r="B10" t="s">
        <v>48</v>
      </c>
      <c r="C10" s="12">
        <v>23</v>
      </c>
      <c r="D10" s="8">
        <v>0.56999999999999995</v>
      </c>
      <c r="E10" s="12">
        <v>4</v>
      </c>
      <c r="F10" s="8">
        <v>0.18</v>
      </c>
      <c r="G10" s="12">
        <v>19</v>
      </c>
      <c r="H10" s="8">
        <v>1.04</v>
      </c>
      <c r="I10" s="12">
        <v>0</v>
      </c>
    </row>
    <row r="11" spans="2:9" ht="15" customHeight="1" x14ac:dyDescent="0.2">
      <c r="B11" t="s">
        <v>49</v>
      </c>
      <c r="C11" s="12">
        <v>966</v>
      </c>
      <c r="D11" s="8">
        <v>23.76</v>
      </c>
      <c r="E11" s="12">
        <v>447</v>
      </c>
      <c r="F11" s="8">
        <v>20.350000000000001</v>
      </c>
      <c r="G11" s="12">
        <v>511</v>
      </c>
      <c r="H11" s="8">
        <v>27.98</v>
      </c>
      <c r="I11" s="12">
        <v>8</v>
      </c>
    </row>
    <row r="12" spans="2:9" ht="15" customHeight="1" x14ac:dyDescent="0.2">
      <c r="B12" t="s">
        <v>50</v>
      </c>
      <c r="C12" s="12">
        <v>32</v>
      </c>
      <c r="D12" s="8">
        <v>0.79</v>
      </c>
      <c r="E12" s="12">
        <v>5</v>
      </c>
      <c r="F12" s="8">
        <v>0.23</v>
      </c>
      <c r="G12" s="12">
        <v>27</v>
      </c>
      <c r="H12" s="8">
        <v>1.48</v>
      </c>
      <c r="I12" s="12">
        <v>0</v>
      </c>
    </row>
    <row r="13" spans="2:9" ht="15" customHeight="1" x14ac:dyDescent="0.2">
      <c r="B13" t="s">
        <v>51</v>
      </c>
      <c r="C13" s="12">
        <v>385</v>
      </c>
      <c r="D13" s="8">
        <v>9.4700000000000006</v>
      </c>
      <c r="E13" s="12">
        <v>189</v>
      </c>
      <c r="F13" s="8">
        <v>8.6</v>
      </c>
      <c r="G13" s="12">
        <v>191</v>
      </c>
      <c r="H13" s="8">
        <v>10.46</v>
      </c>
      <c r="I13" s="12">
        <v>4</v>
      </c>
    </row>
    <row r="14" spans="2:9" ht="15" customHeight="1" x14ac:dyDescent="0.2">
      <c r="B14" t="s">
        <v>52</v>
      </c>
      <c r="C14" s="12">
        <v>233</v>
      </c>
      <c r="D14" s="8">
        <v>5.73</v>
      </c>
      <c r="E14" s="12">
        <v>145</v>
      </c>
      <c r="F14" s="8">
        <v>6.6</v>
      </c>
      <c r="G14" s="12">
        <v>85</v>
      </c>
      <c r="H14" s="8">
        <v>4.6500000000000004</v>
      </c>
      <c r="I14" s="12">
        <v>1</v>
      </c>
    </row>
    <row r="15" spans="2:9" ht="15" customHeight="1" x14ac:dyDescent="0.2">
      <c r="B15" t="s">
        <v>53</v>
      </c>
      <c r="C15" s="12">
        <v>416</v>
      </c>
      <c r="D15" s="8">
        <v>10.23</v>
      </c>
      <c r="E15" s="12">
        <v>352</v>
      </c>
      <c r="F15" s="8">
        <v>16.02</v>
      </c>
      <c r="G15" s="12">
        <v>64</v>
      </c>
      <c r="H15" s="8">
        <v>3.5</v>
      </c>
      <c r="I15" s="12">
        <v>0</v>
      </c>
    </row>
    <row r="16" spans="2:9" ht="15" customHeight="1" x14ac:dyDescent="0.2">
      <c r="B16" t="s">
        <v>54</v>
      </c>
      <c r="C16" s="12">
        <v>500</v>
      </c>
      <c r="D16" s="8">
        <v>12.3</v>
      </c>
      <c r="E16" s="12">
        <v>394</v>
      </c>
      <c r="F16" s="8">
        <v>17.93</v>
      </c>
      <c r="G16" s="12">
        <v>104</v>
      </c>
      <c r="H16" s="8">
        <v>5.7</v>
      </c>
      <c r="I16" s="12">
        <v>0</v>
      </c>
    </row>
    <row r="17" spans="2:9" ht="15" customHeight="1" x14ac:dyDescent="0.2">
      <c r="B17" t="s">
        <v>55</v>
      </c>
      <c r="C17" s="12">
        <v>180</v>
      </c>
      <c r="D17" s="8">
        <v>4.43</v>
      </c>
      <c r="E17" s="12">
        <v>111</v>
      </c>
      <c r="F17" s="8">
        <v>5.05</v>
      </c>
      <c r="G17" s="12">
        <v>57</v>
      </c>
      <c r="H17" s="8">
        <v>3.12</v>
      </c>
      <c r="I17" s="12">
        <v>1</v>
      </c>
    </row>
    <row r="18" spans="2:9" ht="15" customHeight="1" x14ac:dyDescent="0.2">
      <c r="B18" t="s">
        <v>56</v>
      </c>
      <c r="C18" s="12">
        <v>188</v>
      </c>
      <c r="D18" s="8">
        <v>4.62</v>
      </c>
      <c r="E18" s="12">
        <v>136</v>
      </c>
      <c r="F18" s="8">
        <v>6.19</v>
      </c>
      <c r="G18" s="12">
        <v>49</v>
      </c>
      <c r="H18" s="8">
        <v>2.68</v>
      </c>
      <c r="I18" s="12">
        <v>2</v>
      </c>
    </row>
    <row r="19" spans="2:9" ht="15" customHeight="1" x14ac:dyDescent="0.2">
      <c r="B19" t="s">
        <v>57</v>
      </c>
      <c r="C19" s="12">
        <v>148</v>
      </c>
      <c r="D19" s="8">
        <v>3.64</v>
      </c>
      <c r="E19" s="12">
        <v>53</v>
      </c>
      <c r="F19" s="8">
        <v>2.41</v>
      </c>
      <c r="G19" s="12">
        <v>86</v>
      </c>
      <c r="H19" s="8">
        <v>4.71</v>
      </c>
      <c r="I19" s="12">
        <v>7</v>
      </c>
    </row>
    <row r="20" spans="2:9" ht="15" customHeight="1" x14ac:dyDescent="0.2">
      <c r="B20" s="9" t="s">
        <v>232</v>
      </c>
      <c r="C20" s="12">
        <f>SUM(LTBL_21202[総数／事業所数])</f>
        <v>4065</v>
      </c>
      <c r="E20" s="12">
        <f>SUBTOTAL(109,LTBL_21202[個人／事業所数])</f>
        <v>2197</v>
      </c>
      <c r="G20" s="12">
        <f>SUBTOTAL(109,LTBL_21202[法人／事業所数])</f>
        <v>1826</v>
      </c>
      <c r="I20" s="12">
        <f>SUBTOTAL(109,LTBL_21202[法人以外の団体／事業所数])</f>
        <v>23</v>
      </c>
    </row>
    <row r="21" spans="2:9" ht="15" customHeight="1" x14ac:dyDescent="0.2">
      <c r="E21" s="11">
        <f>LTBL_21202[[#Totals],[個人／事業所数]]/LTBL_21202[[#Totals],[総数／事業所数]]</f>
        <v>0.54046740467404675</v>
      </c>
      <c r="G21" s="11">
        <f>LTBL_21202[[#Totals],[法人／事業所数]]/LTBL_21202[[#Totals],[総数／事業所数]]</f>
        <v>0.44920049200492007</v>
      </c>
      <c r="I21" s="11">
        <f>LTBL_21202[[#Totals],[法人以外の団体／事業所数]]/LTBL_21202[[#Totals],[総数／事業所数]]</f>
        <v>5.6580565805658053E-3</v>
      </c>
    </row>
    <row r="23" spans="2:9" ht="33" customHeight="1" x14ac:dyDescent="0.2">
      <c r="B23" t="s">
        <v>233</v>
      </c>
      <c r="C23" s="10" t="s">
        <v>59</v>
      </c>
      <c r="D23" s="10" t="s">
        <v>60</v>
      </c>
      <c r="E23" s="10" t="s">
        <v>61</v>
      </c>
      <c r="F23" s="10" t="s">
        <v>62</v>
      </c>
      <c r="G23" s="10" t="s">
        <v>63</v>
      </c>
      <c r="H23" s="10" t="s">
        <v>64</v>
      </c>
      <c r="I23" s="10" t="s">
        <v>65</v>
      </c>
    </row>
    <row r="24" spans="2:9" ht="15" customHeight="1" x14ac:dyDescent="0.2">
      <c r="B24" t="s">
        <v>82</v>
      </c>
      <c r="C24" s="12">
        <v>425</v>
      </c>
      <c r="D24" s="8">
        <v>10.46</v>
      </c>
      <c r="E24" s="12">
        <v>368</v>
      </c>
      <c r="F24" s="8">
        <v>16.75</v>
      </c>
      <c r="G24" s="12">
        <v>57</v>
      </c>
      <c r="H24" s="8">
        <v>3.12</v>
      </c>
      <c r="I24" s="12">
        <v>0</v>
      </c>
    </row>
    <row r="25" spans="2:9" ht="15" customHeight="1" x14ac:dyDescent="0.2">
      <c r="B25" t="s">
        <v>81</v>
      </c>
      <c r="C25" s="12">
        <v>386</v>
      </c>
      <c r="D25" s="8">
        <v>9.5</v>
      </c>
      <c r="E25" s="12">
        <v>338</v>
      </c>
      <c r="F25" s="8">
        <v>15.38</v>
      </c>
      <c r="G25" s="12">
        <v>48</v>
      </c>
      <c r="H25" s="8">
        <v>2.63</v>
      </c>
      <c r="I25" s="12">
        <v>0</v>
      </c>
    </row>
    <row r="26" spans="2:9" ht="15" customHeight="1" x14ac:dyDescent="0.2">
      <c r="B26" t="s">
        <v>78</v>
      </c>
      <c r="C26" s="12">
        <v>337</v>
      </c>
      <c r="D26" s="8">
        <v>8.2899999999999991</v>
      </c>
      <c r="E26" s="12">
        <v>181</v>
      </c>
      <c r="F26" s="8">
        <v>8.24</v>
      </c>
      <c r="G26" s="12">
        <v>151</v>
      </c>
      <c r="H26" s="8">
        <v>8.27</v>
      </c>
      <c r="I26" s="12">
        <v>4</v>
      </c>
    </row>
    <row r="27" spans="2:9" ht="15" customHeight="1" x14ac:dyDescent="0.2">
      <c r="B27" t="s">
        <v>77</v>
      </c>
      <c r="C27" s="12">
        <v>284</v>
      </c>
      <c r="D27" s="8">
        <v>6.99</v>
      </c>
      <c r="E27" s="12">
        <v>160</v>
      </c>
      <c r="F27" s="8">
        <v>7.28</v>
      </c>
      <c r="G27" s="12">
        <v>124</v>
      </c>
      <c r="H27" s="8">
        <v>6.79</v>
      </c>
      <c r="I27" s="12">
        <v>0</v>
      </c>
    </row>
    <row r="28" spans="2:9" ht="15" customHeight="1" x14ac:dyDescent="0.2">
      <c r="B28" t="s">
        <v>66</v>
      </c>
      <c r="C28" s="12">
        <v>201</v>
      </c>
      <c r="D28" s="8">
        <v>4.9400000000000004</v>
      </c>
      <c r="E28" s="12">
        <v>49</v>
      </c>
      <c r="F28" s="8">
        <v>2.23</v>
      </c>
      <c r="G28" s="12">
        <v>152</v>
      </c>
      <c r="H28" s="8">
        <v>8.32</v>
      </c>
      <c r="I28" s="12">
        <v>0</v>
      </c>
    </row>
    <row r="29" spans="2:9" ht="15" customHeight="1" x14ac:dyDescent="0.2">
      <c r="B29" t="s">
        <v>76</v>
      </c>
      <c r="C29" s="12">
        <v>185</v>
      </c>
      <c r="D29" s="8">
        <v>4.55</v>
      </c>
      <c r="E29" s="12">
        <v>98</v>
      </c>
      <c r="F29" s="8">
        <v>4.46</v>
      </c>
      <c r="G29" s="12">
        <v>87</v>
      </c>
      <c r="H29" s="8">
        <v>4.76</v>
      </c>
      <c r="I29" s="12">
        <v>0</v>
      </c>
    </row>
    <row r="30" spans="2:9" ht="15" customHeight="1" x14ac:dyDescent="0.2">
      <c r="B30" t="s">
        <v>83</v>
      </c>
      <c r="C30" s="12">
        <v>180</v>
      </c>
      <c r="D30" s="8">
        <v>4.43</v>
      </c>
      <c r="E30" s="12">
        <v>111</v>
      </c>
      <c r="F30" s="8">
        <v>5.05</v>
      </c>
      <c r="G30" s="12">
        <v>57</v>
      </c>
      <c r="H30" s="8">
        <v>3.12</v>
      </c>
      <c r="I30" s="12">
        <v>1</v>
      </c>
    </row>
    <row r="31" spans="2:9" ht="15" customHeight="1" x14ac:dyDescent="0.2">
      <c r="B31" t="s">
        <v>67</v>
      </c>
      <c r="C31" s="12">
        <v>163</v>
      </c>
      <c r="D31" s="8">
        <v>4.01</v>
      </c>
      <c r="E31" s="12">
        <v>73</v>
      </c>
      <c r="F31" s="8">
        <v>3.32</v>
      </c>
      <c r="G31" s="12">
        <v>90</v>
      </c>
      <c r="H31" s="8">
        <v>4.93</v>
      </c>
      <c r="I31" s="12">
        <v>0</v>
      </c>
    </row>
    <row r="32" spans="2:9" ht="15" customHeight="1" x14ac:dyDescent="0.2">
      <c r="B32" t="s">
        <v>84</v>
      </c>
      <c r="C32" s="12">
        <v>148</v>
      </c>
      <c r="D32" s="8">
        <v>3.64</v>
      </c>
      <c r="E32" s="12">
        <v>136</v>
      </c>
      <c r="F32" s="8">
        <v>6.19</v>
      </c>
      <c r="G32" s="12">
        <v>12</v>
      </c>
      <c r="H32" s="8">
        <v>0.66</v>
      </c>
      <c r="I32" s="12">
        <v>0</v>
      </c>
    </row>
    <row r="33" spans="2:9" ht="15" customHeight="1" x14ac:dyDescent="0.2">
      <c r="B33" t="s">
        <v>79</v>
      </c>
      <c r="C33" s="12">
        <v>135</v>
      </c>
      <c r="D33" s="8">
        <v>3.32</v>
      </c>
      <c r="E33" s="12">
        <v>97</v>
      </c>
      <c r="F33" s="8">
        <v>4.42</v>
      </c>
      <c r="G33" s="12">
        <v>37</v>
      </c>
      <c r="H33" s="8">
        <v>2.0299999999999998</v>
      </c>
      <c r="I33" s="12">
        <v>1</v>
      </c>
    </row>
    <row r="34" spans="2:9" ht="15" customHeight="1" x14ac:dyDescent="0.2">
      <c r="B34" t="s">
        <v>75</v>
      </c>
      <c r="C34" s="12">
        <v>125</v>
      </c>
      <c r="D34" s="8">
        <v>3.08</v>
      </c>
      <c r="E34" s="12">
        <v>80</v>
      </c>
      <c r="F34" s="8">
        <v>3.64</v>
      </c>
      <c r="G34" s="12">
        <v>45</v>
      </c>
      <c r="H34" s="8">
        <v>2.46</v>
      </c>
      <c r="I34" s="12">
        <v>0</v>
      </c>
    </row>
    <row r="35" spans="2:9" ht="15" customHeight="1" x14ac:dyDescent="0.2">
      <c r="B35" t="s">
        <v>68</v>
      </c>
      <c r="C35" s="12">
        <v>122</v>
      </c>
      <c r="D35" s="8">
        <v>3</v>
      </c>
      <c r="E35" s="12">
        <v>45</v>
      </c>
      <c r="F35" s="8">
        <v>2.0499999999999998</v>
      </c>
      <c r="G35" s="12">
        <v>77</v>
      </c>
      <c r="H35" s="8">
        <v>4.22</v>
      </c>
      <c r="I35" s="12">
        <v>0</v>
      </c>
    </row>
    <row r="36" spans="2:9" ht="15" customHeight="1" x14ac:dyDescent="0.2">
      <c r="B36" t="s">
        <v>74</v>
      </c>
      <c r="C36" s="12">
        <v>118</v>
      </c>
      <c r="D36" s="8">
        <v>2.9</v>
      </c>
      <c r="E36" s="12">
        <v>54</v>
      </c>
      <c r="F36" s="8">
        <v>2.46</v>
      </c>
      <c r="G36" s="12">
        <v>64</v>
      </c>
      <c r="H36" s="8">
        <v>3.5</v>
      </c>
      <c r="I36" s="12">
        <v>0</v>
      </c>
    </row>
    <row r="37" spans="2:9" ht="15" customHeight="1" x14ac:dyDescent="0.2">
      <c r="B37" t="s">
        <v>80</v>
      </c>
      <c r="C37" s="12">
        <v>94</v>
      </c>
      <c r="D37" s="8">
        <v>2.31</v>
      </c>
      <c r="E37" s="12">
        <v>48</v>
      </c>
      <c r="F37" s="8">
        <v>2.1800000000000002</v>
      </c>
      <c r="G37" s="12">
        <v>44</v>
      </c>
      <c r="H37" s="8">
        <v>2.41</v>
      </c>
      <c r="I37" s="12">
        <v>0</v>
      </c>
    </row>
    <row r="38" spans="2:9" ht="15" customHeight="1" x14ac:dyDescent="0.2">
      <c r="B38" t="s">
        <v>72</v>
      </c>
      <c r="C38" s="12">
        <v>69</v>
      </c>
      <c r="D38" s="8">
        <v>1.7</v>
      </c>
      <c r="E38" s="12">
        <v>22</v>
      </c>
      <c r="F38" s="8">
        <v>1</v>
      </c>
      <c r="G38" s="12">
        <v>47</v>
      </c>
      <c r="H38" s="8">
        <v>2.57</v>
      </c>
      <c r="I38" s="12">
        <v>0</v>
      </c>
    </row>
    <row r="39" spans="2:9" ht="15" customHeight="1" x14ac:dyDescent="0.2">
      <c r="B39" t="s">
        <v>69</v>
      </c>
      <c r="C39" s="12">
        <v>68</v>
      </c>
      <c r="D39" s="8">
        <v>1.67</v>
      </c>
      <c r="E39" s="12">
        <v>33</v>
      </c>
      <c r="F39" s="8">
        <v>1.5</v>
      </c>
      <c r="G39" s="12">
        <v>35</v>
      </c>
      <c r="H39" s="8">
        <v>1.92</v>
      </c>
      <c r="I39" s="12">
        <v>0</v>
      </c>
    </row>
    <row r="40" spans="2:9" ht="15" customHeight="1" x14ac:dyDescent="0.2">
      <c r="B40" t="s">
        <v>89</v>
      </c>
      <c r="C40" s="12">
        <v>64</v>
      </c>
      <c r="D40" s="8">
        <v>1.57</v>
      </c>
      <c r="E40" s="12">
        <v>5</v>
      </c>
      <c r="F40" s="8">
        <v>0.23</v>
      </c>
      <c r="G40" s="12">
        <v>59</v>
      </c>
      <c r="H40" s="8">
        <v>3.23</v>
      </c>
      <c r="I40" s="12">
        <v>0</v>
      </c>
    </row>
    <row r="41" spans="2:9" ht="15" customHeight="1" x14ac:dyDescent="0.2">
      <c r="B41" t="s">
        <v>87</v>
      </c>
      <c r="C41" s="12">
        <v>57</v>
      </c>
      <c r="D41" s="8">
        <v>1.4</v>
      </c>
      <c r="E41" s="12">
        <v>15</v>
      </c>
      <c r="F41" s="8">
        <v>0.68</v>
      </c>
      <c r="G41" s="12">
        <v>42</v>
      </c>
      <c r="H41" s="8">
        <v>2.2999999999999998</v>
      </c>
      <c r="I41" s="12">
        <v>0</v>
      </c>
    </row>
    <row r="42" spans="2:9" ht="15" customHeight="1" x14ac:dyDescent="0.2">
      <c r="B42" t="s">
        <v>73</v>
      </c>
      <c r="C42" s="12">
        <v>50</v>
      </c>
      <c r="D42" s="8">
        <v>1.23</v>
      </c>
      <c r="E42" s="12">
        <v>17</v>
      </c>
      <c r="F42" s="8">
        <v>0.77</v>
      </c>
      <c r="G42" s="12">
        <v>25</v>
      </c>
      <c r="H42" s="8">
        <v>1.37</v>
      </c>
      <c r="I42" s="12">
        <v>8</v>
      </c>
    </row>
    <row r="43" spans="2:9" ht="15" customHeight="1" x14ac:dyDescent="0.2">
      <c r="B43" t="s">
        <v>71</v>
      </c>
      <c r="C43" s="12">
        <v>49</v>
      </c>
      <c r="D43" s="8">
        <v>1.21</v>
      </c>
      <c r="E43" s="12">
        <v>23</v>
      </c>
      <c r="F43" s="8">
        <v>1.05</v>
      </c>
      <c r="G43" s="12">
        <v>26</v>
      </c>
      <c r="H43" s="8">
        <v>1.42</v>
      </c>
      <c r="I43" s="12">
        <v>0</v>
      </c>
    </row>
    <row r="44" spans="2:9" ht="15" customHeight="1" x14ac:dyDescent="0.2">
      <c r="B44" t="s">
        <v>90</v>
      </c>
      <c r="C44" s="12">
        <v>49</v>
      </c>
      <c r="D44" s="8">
        <v>1.21</v>
      </c>
      <c r="E44" s="12">
        <v>18</v>
      </c>
      <c r="F44" s="8">
        <v>0.82</v>
      </c>
      <c r="G44" s="12">
        <v>29</v>
      </c>
      <c r="H44" s="8">
        <v>1.59</v>
      </c>
      <c r="I44" s="12">
        <v>0</v>
      </c>
    </row>
    <row r="47" spans="2:9" ht="33" customHeight="1" x14ac:dyDescent="0.2">
      <c r="B47" t="s">
        <v>234</v>
      </c>
      <c r="C47" s="10" t="s">
        <v>59</v>
      </c>
      <c r="D47" s="10" t="s">
        <v>60</v>
      </c>
      <c r="E47" s="10" t="s">
        <v>61</v>
      </c>
      <c r="F47" s="10" t="s">
        <v>62</v>
      </c>
      <c r="G47" s="10" t="s">
        <v>63</v>
      </c>
      <c r="H47" s="10" t="s">
        <v>64</v>
      </c>
      <c r="I47" s="10" t="s">
        <v>65</v>
      </c>
    </row>
    <row r="48" spans="2:9" ht="15" customHeight="1" x14ac:dyDescent="0.2">
      <c r="B48" t="s">
        <v>138</v>
      </c>
      <c r="C48" s="12">
        <v>218</v>
      </c>
      <c r="D48" s="8">
        <v>5.36</v>
      </c>
      <c r="E48" s="12">
        <v>195</v>
      </c>
      <c r="F48" s="8">
        <v>8.8800000000000008</v>
      </c>
      <c r="G48" s="12">
        <v>23</v>
      </c>
      <c r="H48" s="8">
        <v>1.26</v>
      </c>
      <c r="I48" s="12">
        <v>0</v>
      </c>
    </row>
    <row r="49" spans="2:9" ht="15" customHeight="1" x14ac:dyDescent="0.2">
      <c r="B49" t="s">
        <v>132</v>
      </c>
      <c r="C49" s="12">
        <v>185</v>
      </c>
      <c r="D49" s="8">
        <v>4.55</v>
      </c>
      <c r="E49" s="12">
        <v>115</v>
      </c>
      <c r="F49" s="8">
        <v>5.23</v>
      </c>
      <c r="G49" s="12">
        <v>66</v>
      </c>
      <c r="H49" s="8">
        <v>3.61</v>
      </c>
      <c r="I49" s="12">
        <v>4</v>
      </c>
    </row>
    <row r="50" spans="2:9" ht="15" customHeight="1" x14ac:dyDescent="0.2">
      <c r="B50" t="s">
        <v>137</v>
      </c>
      <c r="C50" s="12">
        <v>122</v>
      </c>
      <c r="D50" s="8">
        <v>3</v>
      </c>
      <c r="E50" s="12">
        <v>118</v>
      </c>
      <c r="F50" s="8">
        <v>5.37</v>
      </c>
      <c r="G50" s="12">
        <v>4</v>
      </c>
      <c r="H50" s="8">
        <v>0.22</v>
      </c>
      <c r="I50" s="12">
        <v>0</v>
      </c>
    </row>
    <row r="51" spans="2:9" ht="15" customHeight="1" x14ac:dyDescent="0.2">
      <c r="B51" t="s">
        <v>136</v>
      </c>
      <c r="C51" s="12">
        <v>120</v>
      </c>
      <c r="D51" s="8">
        <v>2.95</v>
      </c>
      <c r="E51" s="12">
        <v>104</v>
      </c>
      <c r="F51" s="8">
        <v>4.7300000000000004</v>
      </c>
      <c r="G51" s="12">
        <v>16</v>
      </c>
      <c r="H51" s="8">
        <v>0.88</v>
      </c>
      <c r="I51" s="12">
        <v>0</v>
      </c>
    </row>
    <row r="52" spans="2:9" ht="15" customHeight="1" x14ac:dyDescent="0.2">
      <c r="B52" t="s">
        <v>128</v>
      </c>
      <c r="C52" s="12">
        <v>119</v>
      </c>
      <c r="D52" s="8">
        <v>2.93</v>
      </c>
      <c r="E52" s="12">
        <v>52</v>
      </c>
      <c r="F52" s="8">
        <v>2.37</v>
      </c>
      <c r="G52" s="12">
        <v>67</v>
      </c>
      <c r="H52" s="8">
        <v>3.67</v>
      </c>
      <c r="I52" s="12">
        <v>0</v>
      </c>
    </row>
    <row r="53" spans="2:9" ht="15" customHeight="1" x14ac:dyDescent="0.2">
      <c r="B53" t="s">
        <v>140</v>
      </c>
      <c r="C53" s="12">
        <v>119</v>
      </c>
      <c r="D53" s="8">
        <v>2.93</v>
      </c>
      <c r="E53" s="12">
        <v>112</v>
      </c>
      <c r="F53" s="8">
        <v>5.0999999999999996</v>
      </c>
      <c r="G53" s="12">
        <v>7</v>
      </c>
      <c r="H53" s="8">
        <v>0.38</v>
      </c>
      <c r="I53" s="12">
        <v>0</v>
      </c>
    </row>
    <row r="54" spans="2:9" ht="15" customHeight="1" x14ac:dyDescent="0.2">
      <c r="B54" t="s">
        <v>139</v>
      </c>
      <c r="C54" s="12">
        <v>97</v>
      </c>
      <c r="D54" s="8">
        <v>2.39</v>
      </c>
      <c r="E54" s="12">
        <v>79</v>
      </c>
      <c r="F54" s="8">
        <v>3.6</v>
      </c>
      <c r="G54" s="12">
        <v>18</v>
      </c>
      <c r="H54" s="8">
        <v>0.99</v>
      </c>
      <c r="I54" s="12">
        <v>0</v>
      </c>
    </row>
    <row r="55" spans="2:9" ht="15" customHeight="1" x14ac:dyDescent="0.2">
      <c r="B55" t="s">
        <v>134</v>
      </c>
      <c r="C55" s="12">
        <v>95</v>
      </c>
      <c r="D55" s="8">
        <v>2.34</v>
      </c>
      <c r="E55" s="12">
        <v>75</v>
      </c>
      <c r="F55" s="8">
        <v>3.41</v>
      </c>
      <c r="G55" s="12">
        <v>20</v>
      </c>
      <c r="H55" s="8">
        <v>1.1000000000000001</v>
      </c>
      <c r="I55" s="12">
        <v>0</v>
      </c>
    </row>
    <row r="56" spans="2:9" ht="15" customHeight="1" x14ac:dyDescent="0.2">
      <c r="B56" t="s">
        <v>130</v>
      </c>
      <c r="C56" s="12">
        <v>92</v>
      </c>
      <c r="D56" s="8">
        <v>2.2599999999999998</v>
      </c>
      <c r="E56" s="12">
        <v>63</v>
      </c>
      <c r="F56" s="8">
        <v>2.87</v>
      </c>
      <c r="G56" s="12">
        <v>29</v>
      </c>
      <c r="H56" s="8">
        <v>1.59</v>
      </c>
      <c r="I56" s="12">
        <v>0</v>
      </c>
    </row>
    <row r="57" spans="2:9" ht="15" customHeight="1" x14ac:dyDescent="0.2">
      <c r="B57" t="s">
        <v>143</v>
      </c>
      <c r="C57" s="12">
        <v>77</v>
      </c>
      <c r="D57" s="8">
        <v>1.89</v>
      </c>
      <c r="E57" s="12">
        <v>76</v>
      </c>
      <c r="F57" s="8">
        <v>3.46</v>
      </c>
      <c r="G57" s="12">
        <v>1</v>
      </c>
      <c r="H57" s="8">
        <v>0.05</v>
      </c>
      <c r="I57" s="12">
        <v>0</v>
      </c>
    </row>
    <row r="58" spans="2:9" ht="15" customHeight="1" x14ac:dyDescent="0.2">
      <c r="B58" t="s">
        <v>122</v>
      </c>
      <c r="C58" s="12">
        <v>66</v>
      </c>
      <c r="D58" s="8">
        <v>1.62</v>
      </c>
      <c r="E58" s="12">
        <v>7</v>
      </c>
      <c r="F58" s="8">
        <v>0.32</v>
      </c>
      <c r="G58" s="12">
        <v>59</v>
      </c>
      <c r="H58" s="8">
        <v>3.23</v>
      </c>
      <c r="I58" s="12">
        <v>0</v>
      </c>
    </row>
    <row r="59" spans="2:9" ht="15" customHeight="1" x14ac:dyDescent="0.2">
      <c r="B59" t="s">
        <v>131</v>
      </c>
      <c r="C59" s="12">
        <v>66</v>
      </c>
      <c r="D59" s="8">
        <v>1.62</v>
      </c>
      <c r="E59" s="12">
        <v>16</v>
      </c>
      <c r="F59" s="8">
        <v>0.73</v>
      </c>
      <c r="G59" s="12">
        <v>50</v>
      </c>
      <c r="H59" s="8">
        <v>2.74</v>
      </c>
      <c r="I59" s="12">
        <v>0</v>
      </c>
    </row>
    <row r="60" spans="2:9" ht="15" customHeight="1" x14ac:dyDescent="0.2">
      <c r="B60" t="s">
        <v>145</v>
      </c>
      <c r="C60" s="12">
        <v>62</v>
      </c>
      <c r="D60" s="8">
        <v>1.53</v>
      </c>
      <c r="E60" s="12">
        <v>32</v>
      </c>
      <c r="F60" s="8">
        <v>1.46</v>
      </c>
      <c r="G60" s="12">
        <v>30</v>
      </c>
      <c r="H60" s="8">
        <v>1.64</v>
      </c>
      <c r="I60" s="12">
        <v>0</v>
      </c>
    </row>
    <row r="61" spans="2:9" ht="15" customHeight="1" x14ac:dyDescent="0.2">
      <c r="B61" t="s">
        <v>146</v>
      </c>
      <c r="C61" s="12">
        <v>61</v>
      </c>
      <c r="D61" s="8">
        <v>1.5</v>
      </c>
      <c r="E61" s="12">
        <v>50</v>
      </c>
      <c r="F61" s="8">
        <v>2.2799999999999998</v>
      </c>
      <c r="G61" s="12">
        <v>10</v>
      </c>
      <c r="H61" s="8">
        <v>0.55000000000000004</v>
      </c>
      <c r="I61" s="12">
        <v>0</v>
      </c>
    </row>
    <row r="62" spans="2:9" ht="15" customHeight="1" x14ac:dyDescent="0.2">
      <c r="B62" t="s">
        <v>125</v>
      </c>
      <c r="C62" s="12">
        <v>59</v>
      </c>
      <c r="D62" s="8">
        <v>1.45</v>
      </c>
      <c r="E62" s="12">
        <v>27</v>
      </c>
      <c r="F62" s="8">
        <v>1.23</v>
      </c>
      <c r="G62" s="12">
        <v>32</v>
      </c>
      <c r="H62" s="8">
        <v>1.75</v>
      </c>
      <c r="I62" s="12">
        <v>0</v>
      </c>
    </row>
    <row r="63" spans="2:9" ht="15" customHeight="1" x14ac:dyDescent="0.2">
      <c r="B63" t="s">
        <v>129</v>
      </c>
      <c r="C63" s="12">
        <v>59</v>
      </c>
      <c r="D63" s="8">
        <v>1.45</v>
      </c>
      <c r="E63" s="12">
        <v>27</v>
      </c>
      <c r="F63" s="8">
        <v>1.23</v>
      </c>
      <c r="G63" s="12">
        <v>32</v>
      </c>
      <c r="H63" s="8">
        <v>1.75</v>
      </c>
      <c r="I63" s="12">
        <v>0</v>
      </c>
    </row>
    <row r="64" spans="2:9" ht="15" customHeight="1" x14ac:dyDescent="0.2">
      <c r="B64" t="s">
        <v>133</v>
      </c>
      <c r="C64" s="12">
        <v>59</v>
      </c>
      <c r="D64" s="8">
        <v>1.45</v>
      </c>
      <c r="E64" s="12">
        <v>27</v>
      </c>
      <c r="F64" s="8">
        <v>1.23</v>
      </c>
      <c r="G64" s="12">
        <v>31</v>
      </c>
      <c r="H64" s="8">
        <v>1.7</v>
      </c>
      <c r="I64" s="12">
        <v>0</v>
      </c>
    </row>
    <row r="65" spans="2:9" ht="15" customHeight="1" x14ac:dyDescent="0.2">
      <c r="B65" t="s">
        <v>135</v>
      </c>
      <c r="C65" s="12">
        <v>50</v>
      </c>
      <c r="D65" s="8">
        <v>1.23</v>
      </c>
      <c r="E65" s="12">
        <v>45</v>
      </c>
      <c r="F65" s="8">
        <v>2.0499999999999998</v>
      </c>
      <c r="G65" s="12">
        <v>5</v>
      </c>
      <c r="H65" s="8">
        <v>0.27</v>
      </c>
      <c r="I65" s="12">
        <v>0</v>
      </c>
    </row>
    <row r="66" spans="2:9" ht="15" customHeight="1" x14ac:dyDescent="0.2">
      <c r="B66" t="s">
        <v>123</v>
      </c>
      <c r="C66" s="12">
        <v>49</v>
      </c>
      <c r="D66" s="8">
        <v>1.21</v>
      </c>
      <c r="E66" s="12">
        <v>13</v>
      </c>
      <c r="F66" s="8">
        <v>0.59</v>
      </c>
      <c r="G66" s="12">
        <v>36</v>
      </c>
      <c r="H66" s="8">
        <v>1.97</v>
      </c>
      <c r="I66" s="12">
        <v>0</v>
      </c>
    </row>
    <row r="67" spans="2:9" ht="15" customHeight="1" x14ac:dyDescent="0.2">
      <c r="B67" t="s">
        <v>144</v>
      </c>
      <c r="C67" s="12">
        <v>48</v>
      </c>
      <c r="D67" s="8">
        <v>1.18</v>
      </c>
      <c r="E67" s="12">
        <v>29</v>
      </c>
      <c r="F67" s="8">
        <v>1.32</v>
      </c>
      <c r="G67" s="12">
        <v>19</v>
      </c>
      <c r="H67" s="8">
        <v>1.04</v>
      </c>
      <c r="I67" s="12">
        <v>0</v>
      </c>
    </row>
    <row r="69" spans="2:9" ht="15" customHeight="1" x14ac:dyDescent="0.2">
      <c r="B69" t="s">
        <v>235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0CEBC-58B1-4BAF-8301-A56E0AE35759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238</v>
      </c>
    </row>
    <row r="4" spans="2:9" ht="33" customHeight="1" x14ac:dyDescent="0.2">
      <c r="B4" t="s">
        <v>231</v>
      </c>
      <c r="C4" s="10" t="s">
        <v>59</v>
      </c>
      <c r="D4" s="10" t="s">
        <v>60</v>
      </c>
      <c r="E4" s="10" t="s">
        <v>61</v>
      </c>
      <c r="F4" s="10" t="s">
        <v>62</v>
      </c>
      <c r="G4" s="10" t="s">
        <v>63</v>
      </c>
      <c r="H4" s="10" t="s">
        <v>64</v>
      </c>
      <c r="I4" s="10" t="s">
        <v>65</v>
      </c>
    </row>
    <row r="5" spans="2:9" ht="15" customHeight="1" x14ac:dyDescent="0.2">
      <c r="B5" t="s">
        <v>43</v>
      </c>
      <c r="C5" s="12">
        <v>2</v>
      </c>
      <c r="D5" s="8">
        <v>0.05</v>
      </c>
      <c r="E5" s="12">
        <v>0</v>
      </c>
      <c r="F5" s="8">
        <v>0</v>
      </c>
      <c r="G5" s="12">
        <v>2</v>
      </c>
      <c r="H5" s="8">
        <v>0.12</v>
      </c>
      <c r="I5" s="12">
        <v>0</v>
      </c>
    </row>
    <row r="6" spans="2:9" ht="15" customHeight="1" x14ac:dyDescent="0.2">
      <c r="B6" t="s">
        <v>44</v>
      </c>
      <c r="C6" s="12">
        <v>585</v>
      </c>
      <c r="D6" s="8">
        <v>14.58</v>
      </c>
      <c r="E6" s="12">
        <v>256</v>
      </c>
      <c r="F6" s="8">
        <v>10.82</v>
      </c>
      <c r="G6" s="12">
        <v>329</v>
      </c>
      <c r="H6" s="8">
        <v>20.32</v>
      </c>
      <c r="I6" s="12">
        <v>0</v>
      </c>
    </row>
    <row r="7" spans="2:9" ht="15" customHeight="1" x14ac:dyDescent="0.2">
      <c r="B7" t="s">
        <v>45</v>
      </c>
      <c r="C7" s="12">
        <v>353</v>
      </c>
      <c r="D7" s="8">
        <v>8.8000000000000007</v>
      </c>
      <c r="E7" s="12">
        <v>189</v>
      </c>
      <c r="F7" s="8">
        <v>7.98</v>
      </c>
      <c r="G7" s="12">
        <v>163</v>
      </c>
      <c r="H7" s="8">
        <v>10.07</v>
      </c>
      <c r="I7" s="12">
        <v>1</v>
      </c>
    </row>
    <row r="8" spans="2:9" ht="15" customHeight="1" x14ac:dyDescent="0.2">
      <c r="B8" t="s">
        <v>46</v>
      </c>
      <c r="C8" s="12">
        <v>10</v>
      </c>
      <c r="D8" s="8">
        <v>0.25</v>
      </c>
      <c r="E8" s="12">
        <v>1</v>
      </c>
      <c r="F8" s="8">
        <v>0.04</v>
      </c>
      <c r="G8" s="12">
        <v>9</v>
      </c>
      <c r="H8" s="8">
        <v>0.56000000000000005</v>
      </c>
      <c r="I8" s="12">
        <v>0</v>
      </c>
    </row>
    <row r="9" spans="2:9" ht="15" customHeight="1" x14ac:dyDescent="0.2">
      <c r="B9" t="s">
        <v>47</v>
      </c>
      <c r="C9" s="12">
        <v>17</v>
      </c>
      <c r="D9" s="8">
        <v>0.42</v>
      </c>
      <c r="E9" s="12">
        <v>3</v>
      </c>
      <c r="F9" s="8">
        <v>0.13</v>
      </c>
      <c r="G9" s="12">
        <v>14</v>
      </c>
      <c r="H9" s="8">
        <v>0.86</v>
      </c>
      <c r="I9" s="12">
        <v>0</v>
      </c>
    </row>
    <row r="10" spans="2:9" ht="15" customHeight="1" x14ac:dyDescent="0.2">
      <c r="B10" t="s">
        <v>48</v>
      </c>
      <c r="C10" s="12">
        <v>28</v>
      </c>
      <c r="D10" s="8">
        <v>0.7</v>
      </c>
      <c r="E10" s="12">
        <v>4</v>
      </c>
      <c r="F10" s="8">
        <v>0.17</v>
      </c>
      <c r="G10" s="12">
        <v>20</v>
      </c>
      <c r="H10" s="8">
        <v>1.24</v>
      </c>
      <c r="I10" s="12">
        <v>3</v>
      </c>
    </row>
    <row r="11" spans="2:9" ht="15" customHeight="1" x14ac:dyDescent="0.2">
      <c r="B11" t="s">
        <v>49</v>
      </c>
      <c r="C11" s="12">
        <v>948</v>
      </c>
      <c r="D11" s="8">
        <v>23.62</v>
      </c>
      <c r="E11" s="12">
        <v>487</v>
      </c>
      <c r="F11" s="8">
        <v>20.57</v>
      </c>
      <c r="G11" s="12">
        <v>458</v>
      </c>
      <c r="H11" s="8">
        <v>28.29</v>
      </c>
      <c r="I11" s="12">
        <v>3</v>
      </c>
    </row>
    <row r="12" spans="2:9" ht="15" customHeight="1" x14ac:dyDescent="0.2">
      <c r="B12" t="s">
        <v>50</v>
      </c>
      <c r="C12" s="12">
        <v>34</v>
      </c>
      <c r="D12" s="8">
        <v>0.85</v>
      </c>
      <c r="E12" s="12">
        <v>4</v>
      </c>
      <c r="F12" s="8">
        <v>0.17</v>
      </c>
      <c r="G12" s="12">
        <v>30</v>
      </c>
      <c r="H12" s="8">
        <v>1.85</v>
      </c>
      <c r="I12" s="12">
        <v>0</v>
      </c>
    </row>
    <row r="13" spans="2:9" ht="15" customHeight="1" x14ac:dyDescent="0.2">
      <c r="B13" t="s">
        <v>51</v>
      </c>
      <c r="C13" s="12">
        <v>304</v>
      </c>
      <c r="D13" s="8">
        <v>7.58</v>
      </c>
      <c r="E13" s="12">
        <v>167</v>
      </c>
      <c r="F13" s="8">
        <v>7.06</v>
      </c>
      <c r="G13" s="12">
        <v>136</v>
      </c>
      <c r="H13" s="8">
        <v>8.4</v>
      </c>
      <c r="I13" s="12">
        <v>1</v>
      </c>
    </row>
    <row r="14" spans="2:9" ht="15" customHeight="1" x14ac:dyDescent="0.2">
      <c r="B14" t="s">
        <v>52</v>
      </c>
      <c r="C14" s="12">
        <v>183</v>
      </c>
      <c r="D14" s="8">
        <v>4.5599999999999996</v>
      </c>
      <c r="E14" s="12">
        <v>94</v>
      </c>
      <c r="F14" s="8">
        <v>3.97</v>
      </c>
      <c r="G14" s="12">
        <v>85</v>
      </c>
      <c r="H14" s="8">
        <v>5.25</v>
      </c>
      <c r="I14" s="12">
        <v>0</v>
      </c>
    </row>
    <row r="15" spans="2:9" ht="15" customHeight="1" x14ac:dyDescent="0.2">
      <c r="B15" t="s">
        <v>53</v>
      </c>
      <c r="C15" s="12">
        <v>734</v>
      </c>
      <c r="D15" s="8">
        <v>18.29</v>
      </c>
      <c r="E15" s="12">
        <v>566</v>
      </c>
      <c r="F15" s="8">
        <v>23.91</v>
      </c>
      <c r="G15" s="12">
        <v>164</v>
      </c>
      <c r="H15" s="8">
        <v>10.130000000000001</v>
      </c>
      <c r="I15" s="12">
        <v>3</v>
      </c>
    </row>
    <row r="16" spans="2:9" ht="15" customHeight="1" x14ac:dyDescent="0.2">
      <c r="B16" t="s">
        <v>54</v>
      </c>
      <c r="C16" s="12">
        <v>411</v>
      </c>
      <c r="D16" s="8">
        <v>10.24</v>
      </c>
      <c r="E16" s="12">
        <v>330</v>
      </c>
      <c r="F16" s="8">
        <v>13.94</v>
      </c>
      <c r="G16" s="12">
        <v>79</v>
      </c>
      <c r="H16" s="8">
        <v>4.88</v>
      </c>
      <c r="I16" s="12">
        <v>0</v>
      </c>
    </row>
    <row r="17" spans="2:9" ht="15" customHeight="1" x14ac:dyDescent="0.2">
      <c r="B17" t="s">
        <v>55</v>
      </c>
      <c r="C17" s="12">
        <v>132</v>
      </c>
      <c r="D17" s="8">
        <v>3.29</v>
      </c>
      <c r="E17" s="12">
        <v>92</v>
      </c>
      <c r="F17" s="8">
        <v>3.89</v>
      </c>
      <c r="G17" s="12">
        <v>38</v>
      </c>
      <c r="H17" s="8">
        <v>2.35</v>
      </c>
      <c r="I17" s="12">
        <v>0</v>
      </c>
    </row>
    <row r="18" spans="2:9" ht="15" customHeight="1" x14ac:dyDescent="0.2">
      <c r="B18" t="s">
        <v>56</v>
      </c>
      <c r="C18" s="12">
        <v>165</v>
      </c>
      <c r="D18" s="8">
        <v>4.1100000000000003</v>
      </c>
      <c r="E18" s="12">
        <v>128</v>
      </c>
      <c r="F18" s="8">
        <v>5.41</v>
      </c>
      <c r="G18" s="12">
        <v>35</v>
      </c>
      <c r="H18" s="8">
        <v>2.16</v>
      </c>
      <c r="I18" s="12">
        <v>1</v>
      </c>
    </row>
    <row r="19" spans="2:9" ht="15" customHeight="1" x14ac:dyDescent="0.2">
      <c r="B19" t="s">
        <v>57</v>
      </c>
      <c r="C19" s="12">
        <v>107</v>
      </c>
      <c r="D19" s="8">
        <v>2.67</v>
      </c>
      <c r="E19" s="12">
        <v>46</v>
      </c>
      <c r="F19" s="8">
        <v>1.94</v>
      </c>
      <c r="G19" s="12">
        <v>57</v>
      </c>
      <c r="H19" s="8">
        <v>3.52</v>
      </c>
      <c r="I19" s="12">
        <v>2</v>
      </c>
    </row>
    <row r="20" spans="2:9" ht="15" customHeight="1" x14ac:dyDescent="0.2">
      <c r="B20" s="9" t="s">
        <v>232</v>
      </c>
      <c r="C20" s="12">
        <f>SUM(LTBL_21203[総数／事業所数])</f>
        <v>4013</v>
      </c>
      <c r="E20" s="12">
        <f>SUBTOTAL(109,LTBL_21203[個人／事業所数])</f>
        <v>2367</v>
      </c>
      <c r="G20" s="12">
        <f>SUBTOTAL(109,LTBL_21203[法人／事業所数])</f>
        <v>1619</v>
      </c>
      <c r="I20" s="12">
        <f>SUBTOTAL(109,LTBL_21203[法人以外の団体／事業所数])</f>
        <v>14</v>
      </c>
    </row>
    <row r="21" spans="2:9" ht="15" customHeight="1" x14ac:dyDescent="0.2">
      <c r="E21" s="11">
        <f>LTBL_21203[[#Totals],[個人／事業所数]]/LTBL_21203[[#Totals],[総数／事業所数]]</f>
        <v>0.58983304261151259</v>
      </c>
      <c r="G21" s="11">
        <f>LTBL_21203[[#Totals],[法人／事業所数]]/LTBL_21203[[#Totals],[総数／事業所数]]</f>
        <v>0.40343882382257662</v>
      </c>
      <c r="I21" s="11">
        <f>LTBL_21203[[#Totals],[法人以外の団体／事業所数]]/LTBL_21203[[#Totals],[総数／事業所数]]</f>
        <v>3.4886618489907801E-3</v>
      </c>
    </row>
    <row r="23" spans="2:9" ht="33" customHeight="1" x14ac:dyDescent="0.2">
      <c r="B23" t="s">
        <v>233</v>
      </c>
      <c r="C23" s="10" t="s">
        <v>59</v>
      </c>
      <c r="D23" s="10" t="s">
        <v>60</v>
      </c>
      <c r="E23" s="10" t="s">
        <v>61</v>
      </c>
      <c r="F23" s="10" t="s">
        <v>62</v>
      </c>
      <c r="G23" s="10" t="s">
        <v>63</v>
      </c>
      <c r="H23" s="10" t="s">
        <v>64</v>
      </c>
      <c r="I23" s="10" t="s">
        <v>65</v>
      </c>
    </row>
    <row r="24" spans="2:9" ht="15" customHeight="1" x14ac:dyDescent="0.2">
      <c r="B24" t="s">
        <v>81</v>
      </c>
      <c r="C24" s="12">
        <v>545</v>
      </c>
      <c r="D24" s="8">
        <v>13.58</v>
      </c>
      <c r="E24" s="12">
        <v>451</v>
      </c>
      <c r="F24" s="8">
        <v>19.05</v>
      </c>
      <c r="G24" s="12">
        <v>94</v>
      </c>
      <c r="H24" s="8">
        <v>5.81</v>
      </c>
      <c r="I24" s="12">
        <v>0</v>
      </c>
    </row>
    <row r="25" spans="2:9" ht="15" customHeight="1" x14ac:dyDescent="0.2">
      <c r="B25" t="s">
        <v>82</v>
      </c>
      <c r="C25" s="12">
        <v>341</v>
      </c>
      <c r="D25" s="8">
        <v>8.5</v>
      </c>
      <c r="E25" s="12">
        <v>297</v>
      </c>
      <c r="F25" s="8">
        <v>12.55</v>
      </c>
      <c r="G25" s="12">
        <v>44</v>
      </c>
      <c r="H25" s="8">
        <v>2.72</v>
      </c>
      <c r="I25" s="12">
        <v>0</v>
      </c>
    </row>
    <row r="26" spans="2:9" ht="15" customHeight="1" x14ac:dyDescent="0.2">
      <c r="B26" t="s">
        <v>77</v>
      </c>
      <c r="C26" s="12">
        <v>302</v>
      </c>
      <c r="D26" s="8">
        <v>7.53</v>
      </c>
      <c r="E26" s="12">
        <v>176</v>
      </c>
      <c r="F26" s="8">
        <v>7.44</v>
      </c>
      <c r="G26" s="12">
        <v>126</v>
      </c>
      <c r="H26" s="8">
        <v>7.78</v>
      </c>
      <c r="I26" s="12">
        <v>0</v>
      </c>
    </row>
    <row r="27" spans="2:9" ht="15" customHeight="1" x14ac:dyDescent="0.2">
      <c r="B27" t="s">
        <v>66</v>
      </c>
      <c r="C27" s="12">
        <v>299</v>
      </c>
      <c r="D27" s="8">
        <v>7.45</v>
      </c>
      <c r="E27" s="12">
        <v>100</v>
      </c>
      <c r="F27" s="8">
        <v>4.22</v>
      </c>
      <c r="G27" s="12">
        <v>199</v>
      </c>
      <c r="H27" s="8">
        <v>12.29</v>
      </c>
      <c r="I27" s="12">
        <v>0</v>
      </c>
    </row>
    <row r="28" spans="2:9" ht="15" customHeight="1" x14ac:dyDescent="0.2">
      <c r="B28" t="s">
        <v>78</v>
      </c>
      <c r="C28" s="12">
        <v>260</v>
      </c>
      <c r="D28" s="8">
        <v>6.48</v>
      </c>
      <c r="E28" s="12">
        <v>151</v>
      </c>
      <c r="F28" s="8">
        <v>6.38</v>
      </c>
      <c r="G28" s="12">
        <v>109</v>
      </c>
      <c r="H28" s="8">
        <v>6.73</v>
      </c>
      <c r="I28" s="12">
        <v>0</v>
      </c>
    </row>
    <row r="29" spans="2:9" ht="15" customHeight="1" x14ac:dyDescent="0.2">
      <c r="B29" t="s">
        <v>75</v>
      </c>
      <c r="C29" s="12">
        <v>225</v>
      </c>
      <c r="D29" s="8">
        <v>5.61</v>
      </c>
      <c r="E29" s="12">
        <v>131</v>
      </c>
      <c r="F29" s="8">
        <v>5.53</v>
      </c>
      <c r="G29" s="12">
        <v>93</v>
      </c>
      <c r="H29" s="8">
        <v>5.74</v>
      </c>
      <c r="I29" s="12">
        <v>1</v>
      </c>
    </row>
    <row r="30" spans="2:9" ht="15" customHeight="1" x14ac:dyDescent="0.2">
      <c r="B30" t="s">
        <v>67</v>
      </c>
      <c r="C30" s="12">
        <v>201</v>
      </c>
      <c r="D30" s="8">
        <v>5.01</v>
      </c>
      <c r="E30" s="12">
        <v>126</v>
      </c>
      <c r="F30" s="8">
        <v>5.32</v>
      </c>
      <c r="G30" s="12">
        <v>75</v>
      </c>
      <c r="H30" s="8">
        <v>4.63</v>
      </c>
      <c r="I30" s="12">
        <v>0</v>
      </c>
    </row>
    <row r="31" spans="2:9" ht="15" customHeight="1" x14ac:dyDescent="0.2">
      <c r="B31" t="s">
        <v>95</v>
      </c>
      <c r="C31" s="12">
        <v>160</v>
      </c>
      <c r="D31" s="8">
        <v>3.99</v>
      </c>
      <c r="E31" s="12">
        <v>97</v>
      </c>
      <c r="F31" s="8">
        <v>4.0999999999999996</v>
      </c>
      <c r="G31" s="12">
        <v>60</v>
      </c>
      <c r="H31" s="8">
        <v>3.71</v>
      </c>
      <c r="I31" s="12">
        <v>3</v>
      </c>
    </row>
    <row r="32" spans="2:9" ht="15" customHeight="1" x14ac:dyDescent="0.2">
      <c r="B32" t="s">
        <v>84</v>
      </c>
      <c r="C32" s="12">
        <v>135</v>
      </c>
      <c r="D32" s="8">
        <v>3.36</v>
      </c>
      <c r="E32" s="12">
        <v>128</v>
      </c>
      <c r="F32" s="8">
        <v>5.41</v>
      </c>
      <c r="G32" s="12">
        <v>7</v>
      </c>
      <c r="H32" s="8">
        <v>0.43</v>
      </c>
      <c r="I32" s="12">
        <v>0</v>
      </c>
    </row>
    <row r="33" spans="2:9" ht="15" customHeight="1" x14ac:dyDescent="0.2">
      <c r="B33" t="s">
        <v>83</v>
      </c>
      <c r="C33" s="12">
        <v>132</v>
      </c>
      <c r="D33" s="8">
        <v>3.29</v>
      </c>
      <c r="E33" s="12">
        <v>92</v>
      </c>
      <c r="F33" s="8">
        <v>3.89</v>
      </c>
      <c r="G33" s="12">
        <v>38</v>
      </c>
      <c r="H33" s="8">
        <v>2.35</v>
      </c>
      <c r="I33" s="12">
        <v>0</v>
      </c>
    </row>
    <row r="34" spans="2:9" ht="15" customHeight="1" x14ac:dyDescent="0.2">
      <c r="B34" t="s">
        <v>76</v>
      </c>
      <c r="C34" s="12">
        <v>130</v>
      </c>
      <c r="D34" s="8">
        <v>3.24</v>
      </c>
      <c r="E34" s="12">
        <v>73</v>
      </c>
      <c r="F34" s="8">
        <v>3.08</v>
      </c>
      <c r="G34" s="12">
        <v>57</v>
      </c>
      <c r="H34" s="8">
        <v>3.52</v>
      </c>
      <c r="I34" s="12">
        <v>0</v>
      </c>
    </row>
    <row r="35" spans="2:9" ht="15" customHeight="1" x14ac:dyDescent="0.2">
      <c r="B35" t="s">
        <v>74</v>
      </c>
      <c r="C35" s="12">
        <v>101</v>
      </c>
      <c r="D35" s="8">
        <v>2.52</v>
      </c>
      <c r="E35" s="12">
        <v>50</v>
      </c>
      <c r="F35" s="8">
        <v>2.11</v>
      </c>
      <c r="G35" s="12">
        <v>51</v>
      </c>
      <c r="H35" s="8">
        <v>3.15</v>
      </c>
      <c r="I35" s="12">
        <v>0</v>
      </c>
    </row>
    <row r="36" spans="2:9" ht="15" customHeight="1" x14ac:dyDescent="0.2">
      <c r="B36" t="s">
        <v>80</v>
      </c>
      <c r="C36" s="12">
        <v>93</v>
      </c>
      <c r="D36" s="8">
        <v>2.3199999999999998</v>
      </c>
      <c r="E36" s="12">
        <v>35</v>
      </c>
      <c r="F36" s="8">
        <v>1.48</v>
      </c>
      <c r="G36" s="12">
        <v>55</v>
      </c>
      <c r="H36" s="8">
        <v>3.4</v>
      </c>
      <c r="I36" s="12">
        <v>0</v>
      </c>
    </row>
    <row r="37" spans="2:9" ht="15" customHeight="1" x14ac:dyDescent="0.2">
      <c r="B37" t="s">
        <v>68</v>
      </c>
      <c r="C37" s="12">
        <v>85</v>
      </c>
      <c r="D37" s="8">
        <v>2.12</v>
      </c>
      <c r="E37" s="12">
        <v>30</v>
      </c>
      <c r="F37" s="8">
        <v>1.27</v>
      </c>
      <c r="G37" s="12">
        <v>55</v>
      </c>
      <c r="H37" s="8">
        <v>3.4</v>
      </c>
      <c r="I37" s="12">
        <v>0</v>
      </c>
    </row>
    <row r="38" spans="2:9" ht="15" customHeight="1" x14ac:dyDescent="0.2">
      <c r="B38" t="s">
        <v>79</v>
      </c>
      <c r="C38" s="12">
        <v>78</v>
      </c>
      <c r="D38" s="8">
        <v>1.94</v>
      </c>
      <c r="E38" s="12">
        <v>58</v>
      </c>
      <c r="F38" s="8">
        <v>2.4500000000000002</v>
      </c>
      <c r="G38" s="12">
        <v>20</v>
      </c>
      <c r="H38" s="8">
        <v>1.24</v>
      </c>
      <c r="I38" s="12">
        <v>0</v>
      </c>
    </row>
    <row r="39" spans="2:9" ht="15" customHeight="1" x14ac:dyDescent="0.2">
      <c r="B39" t="s">
        <v>91</v>
      </c>
      <c r="C39" s="12">
        <v>68</v>
      </c>
      <c r="D39" s="8">
        <v>1.69</v>
      </c>
      <c r="E39" s="12">
        <v>27</v>
      </c>
      <c r="F39" s="8">
        <v>1.1399999999999999</v>
      </c>
      <c r="G39" s="12">
        <v>40</v>
      </c>
      <c r="H39" s="8">
        <v>2.4700000000000002</v>
      </c>
      <c r="I39" s="12">
        <v>1</v>
      </c>
    </row>
    <row r="40" spans="2:9" ht="15" customHeight="1" x14ac:dyDescent="0.2">
      <c r="B40" t="s">
        <v>93</v>
      </c>
      <c r="C40" s="12">
        <v>67</v>
      </c>
      <c r="D40" s="8">
        <v>1.67</v>
      </c>
      <c r="E40" s="12">
        <v>49</v>
      </c>
      <c r="F40" s="8">
        <v>2.0699999999999998</v>
      </c>
      <c r="G40" s="12">
        <v>18</v>
      </c>
      <c r="H40" s="8">
        <v>1.1100000000000001</v>
      </c>
      <c r="I40" s="12">
        <v>0</v>
      </c>
    </row>
    <row r="41" spans="2:9" ht="15" customHeight="1" x14ac:dyDescent="0.2">
      <c r="B41" t="s">
        <v>94</v>
      </c>
      <c r="C41" s="12">
        <v>53</v>
      </c>
      <c r="D41" s="8">
        <v>1.32</v>
      </c>
      <c r="E41" s="12">
        <v>34</v>
      </c>
      <c r="F41" s="8">
        <v>1.44</v>
      </c>
      <c r="G41" s="12">
        <v>19</v>
      </c>
      <c r="H41" s="8">
        <v>1.17</v>
      </c>
      <c r="I41" s="12">
        <v>0</v>
      </c>
    </row>
    <row r="42" spans="2:9" ht="15" customHeight="1" x14ac:dyDescent="0.2">
      <c r="B42" t="s">
        <v>73</v>
      </c>
      <c r="C42" s="12">
        <v>48</v>
      </c>
      <c r="D42" s="8">
        <v>1.2</v>
      </c>
      <c r="E42" s="12">
        <v>15</v>
      </c>
      <c r="F42" s="8">
        <v>0.63</v>
      </c>
      <c r="G42" s="12">
        <v>31</v>
      </c>
      <c r="H42" s="8">
        <v>1.91</v>
      </c>
      <c r="I42" s="12">
        <v>2</v>
      </c>
    </row>
    <row r="43" spans="2:9" ht="15" customHeight="1" x14ac:dyDescent="0.2">
      <c r="B43" t="s">
        <v>92</v>
      </c>
      <c r="C43" s="12">
        <v>45</v>
      </c>
      <c r="D43" s="8">
        <v>1.1200000000000001</v>
      </c>
      <c r="E43" s="12">
        <v>28</v>
      </c>
      <c r="F43" s="8">
        <v>1.18</v>
      </c>
      <c r="G43" s="12">
        <v>17</v>
      </c>
      <c r="H43" s="8">
        <v>1.05</v>
      </c>
      <c r="I43" s="12">
        <v>0</v>
      </c>
    </row>
    <row r="46" spans="2:9" ht="33" customHeight="1" x14ac:dyDescent="0.2">
      <c r="B46" t="s">
        <v>234</v>
      </c>
      <c r="C46" s="10" t="s">
        <v>59</v>
      </c>
      <c r="D46" s="10" t="s">
        <v>60</v>
      </c>
      <c r="E46" s="10" t="s">
        <v>61</v>
      </c>
      <c r="F46" s="10" t="s">
        <v>62</v>
      </c>
      <c r="G46" s="10" t="s">
        <v>63</v>
      </c>
      <c r="H46" s="10" t="s">
        <v>64</v>
      </c>
      <c r="I46" s="10" t="s">
        <v>65</v>
      </c>
    </row>
    <row r="47" spans="2:9" ht="15" customHeight="1" x14ac:dyDescent="0.2">
      <c r="B47" t="s">
        <v>138</v>
      </c>
      <c r="C47" s="12">
        <v>185</v>
      </c>
      <c r="D47" s="8">
        <v>4.6100000000000003</v>
      </c>
      <c r="E47" s="12">
        <v>170</v>
      </c>
      <c r="F47" s="8">
        <v>7.18</v>
      </c>
      <c r="G47" s="12">
        <v>15</v>
      </c>
      <c r="H47" s="8">
        <v>0.93</v>
      </c>
      <c r="I47" s="12">
        <v>0</v>
      </c>
    </row>
    <row r="48" spans="2:9" ht="15" customHeight="1" x14ac:dyDescent="0.2">
      <c r="B48" t="s">
        <v>132</v>
      </c>
      <c r="C48" s="12">
        <v>164</v>
      </c>
      <c r="D48" s="8">
        <v>4.09</v>
      </c>
      <c r="E48" s="12">
        <v>117</v>
      </c>
      <c r="F48" s="8">
        <v>4.9400000000000004</v>
      </c>
      <c r="G48" s="12">
        <v>47</v>
      </c>
      <c r="H48" s="8">
        <v>2.9</v>
      </c>
      <c r="I48" s="12">
        <v>0</v>
      </c>
    </row>
    <row r="49" spans="2:9" ht="15" customHeight="1" x14ac:dyDescent="0.2">
      <c r="B49" t="s">
        <v>134</v>
      </c>
      <c r="C49" s="12">
        <v>126</v>
      </c>
      <c r="D49" s="8">
        <v>3.14</v>
      </c>
      <c r="E49" s="12">
        <v>91</v>
      </c>
      <c r="F49" s="8">
        <v>3.84</v>
      </c>
      <c r="G49" s="12">
        <v>35</v>
      </c>
      <c r="H49" s="8">
        <v>2.16</v>
      </c>
      <c r="I49" s="12">
        <v>0</v>
      </c>
    </row>
    <row r="50" spans="2:9" ht="15" customHeight="1" x14ac:dyDescent="0.2">
      <c r="B50" t="s">
        <v>149</v>
      </c>
      <c r="C50" s="12">
        <v>121</v>
      </c>
      <c r="D50" s="8">
        <v>3.02</v>
      </c>
      <c r="E50" s="12">
        <v>77</v>
      </c>
      <c r="F50" s="8">
        <v>3.25</v>
      </c>
      <c r="G50" s="12">
        <v>44</v>
      </c>
      <c r="H50" s="8">
        <v>2.72</v>
      </c>
      <c r="I50" s="12">
        <v>0</v>
      </c>
    </row>
    <row r="51" spans="2:9" ht="15" customHeight="1" x14ac:dyDescent="0.2">
      <c r="B51" t="s">
        <v>136</v>
      </c>
      <c r="C51" s="12">
        <v>119</v>
      </c>
      <c r="D51" s="8">
        <v>2.97</v>
      </c>
      <c r="E51" s="12">
        <v>104</v>
      </c>
      <c r="F51" s="8">
        <v>4.3899999999999997</v>
      </c>
      <c r="G51" s="12">
        <v>15</v>
      </c>
      <c r="H51" s="8">
        <v>0.93</v>
      </c>
      <c r="I51" s="12">
        <v>0</v>
      </c>
    </row>
    <row r="52" spans="2:9" ht="15" customHeight="1" x14ac:dyDescent="0.2">
      <c r="B52" t="s">
        <v>140</v>
      </c>
      <c r="C52" s="12">
        <v>111</v>
      </c>
      <c r="D52" s="8">
        <v>2.77</v>
      </c>
      <c r="E52" s="12">
        <v>110</v>
      </c>
      <c r="F52" s="8">
        <v>4.6500000000000004</v>
      </c>
      <c r="G52" s="12">
        <v>1</v>
      </c>
      <c r="H52" s="8">
        <v>0.06</v>
      </c>
      <c r="I52" s="12">
        <v>0</v>
      </c>
    </row>
    <row r="53" spans="2:9" ht="15" customHeight="1" x14ac:dyDescent="0.2">
      <c r="B53" t="s">
        <v>122</v>
      </c>
      <c r="C53" s="12">
        <v>108</v>
      </c>
      <c r="D53" s="8">
        <v>2.69</v>
      </c>
      <c r="E53" s="12">
        <v>17</v>
      </c>
      <c r="F53" s="8">
        <v>0.72</v>
      </c>
      <c r="G53" s="12">
        <v>91</v>
      </c>
      <c r="H53" s="8">
        <v>5.62</v>
      </c>
      <c r="I53" s="12">
        <v>0</v>
      </c>
    </row>
    <row r="54" spans="2:9" ht="15" customHeight="1" x14ac:dyDescent="0.2">
      <c r="B54" t="s">
        <v>135</v>
      </c>
      <c r="C54" s="12">
        <v>107</v>
      </c>
      <c r="D54" s="8">
        <v>2.67</v>
      </c>
      <c r="E54" s="12">
        <v>98</v>
      </c>
      <c r="F54" s="8">
        <v>4.1399999999999997</v>
      </c>
      <c r="G54" s="12">
        <v>9</v>
      </c>
      <c r="H54" s="8">
        <v>0.56000000000000005</v>
      </c>
      <c r="I54" s="12">
        <v>0</v>
      </c>
    </row>
    <row r="55" spans="2:9" ht="15" customHeight="1" x14ac:dyDescent="0.2">
      <c r="B55" t="s">
        <v>130</v>
      </c>
      <c r="C55" s="12">
        <v>106</v>
      </c>
      <c r="D55" s="8">
        <v>2.64</v>
      </c>
      <c r="E55" s="12">
        <v>77</v>
      </c>
      <c r="F55" s="8">
        <v>3.25</v>
      </c>
      <c r="G55" s="12">
        <v>29</v>
      </c>
      <c r="H55" s="8">
        <v>1.79</v>
      </c>
      <c r="I55" s="12">
        <v>0</v>
      </c>
    </row>
    <row r="56" spans="2:9" ht="15" customHeight="1" x14ac:dyDescent="0.2">
      <c r="B56" t="s">
        <v>124</v>
      </c>
      <c r="C56" s="12">
        <v>95</v>
      </c>
      <c r="D56" s="8">
        <v>2.37</v>
      </c>
      <c r="E56" s="12">
        <v>56</v>
      </c>
      <c r="F56" s="8">
        <v>2.37</v>
      </c>
      <c r="G56" s="12">
        <v>39</v>
      </c>
      <c r="H56" s="8">
        <v>2.41</v>
      </c>
      <c r="I56" s="12">
        <v>0</v>
      </c>
    </row>
    <row r="57" spans="2:9" ht="15" customHeight="1" x14ac:dyDescent="0.2">
      <c r="B57" t="s">
        <v>143</v>
      </c>
      <c r="C57" s="12">
        <v>87</v>
      </c>
      <c r="D57" s="8">
        <v>2.17</v>
      </c>
      <c r="E57" s="12">
        <v>81</v>
      </c>
      <c r="F57" s="8">
        <v>3.42</v>
      </c>
      <c r="G57" s="12">
        <v>6</v>
      </c>
      <c r="H57" s="8">
        <v>0.37</v>
      </c>
      <c r="I57" s="12">
        <v>0</v>
      </c>
    </row>
    <row r="58" spans="2:9" ht="15" customHeight="1" x14ac:dyDescent="0.2">
      <c r="B58" t="s">
        <v>137</v>
      </c>
      <c r="C58" s="12">
        <v>81</v>
      </c>
      <c r="D58" s="8">
        <v>2.02</v>
      </c>
      <c r="E58" s="12">
        <v>77</v>
      </c>
      <c r="F58" s="8">
        <v>3.25</v>
      </c>
      <c r="G58" s="12">
        <v>4</v>
      </c>
      <c r="H58" s="8">
        <v>0.25</v>
      </c>
      <c r="I58" s="12">
        <v>0</v>
      </c>
    </row>
    <row r="59" spans="2:9" ht="15" customHeight="1" x14ac:dyDescent="0.2">
      <c r="B59" t="s">
        <v>139</v>
      </c>
      <c r="C59" s="12">
        <v>79</v>
      </c>
      <c r="D59" s="8">
        <v>1.97</v>
      </c>
      <c r="E59" s="12">
        <v>69</v>
      </c>
      <c r="F59" s="8">
        <v>2.92</v>
      </c>
      <c r="G59" s="12">
        <v>10</v>
      </c>
      <c r="H59" s="8">
        <v>0.62</v>
      </c>
      <c r="I59" s="12">
        <v>0</v>
      </c>
    </row>
    <row r="60" spans="2:9" ht="15" customHeight="1" x14ac:dyDescent="0.2">
      <c r="B60" t="s">
        <v>148</v>
      </c>
      <c r="C60" s="12">
        <v>76</v>
      </c>
      <c r="D60" s="8">
        <v>1.89</v>
      </c>
      <c r="E60" s="12">
        <v>41</v>
      </c>
      <c r="F60" s="8">
        <v>1.73</v>
      </c>
      <c r="G60" s="12">
        <v>35</v>
      </c>
      <c r="H60" s="8">
        <v>2.16</v>
      </c>
      <c r="I60" s="12">
        <v>0</v>
      </c>
    </row>
    <row r="61" spans="2:9" ht="15" customHeight="1" x14ac:dyDescent="0.2">
      <c r="B61" t="s">
        <v>128</v>
      </c>
      <c r="C61" s="12">
        <v>75</v>
      </c>
      <c r="D61" s="8">
        <v>1.87</v>
      </c>
      <c r="E61" s="12">
        <v>33</v>
      </c>
      <c r="F61" s="8">
        <v>1.39</v>
      </c>
      <c r="G61" s="12">
        <v>42</v>
      </c>
      <c r="H61" s="8">
        <v>2.59</v>
      </c>
      <c r="I61" s="12">
        <v>0</v>
      </c>
    </row>
    <row r="62" spans="2:9" ht="15" customHeight="1" x14ac:dyDescent="0.2">
      <c r="B62" t="s">
        <v>133</v>
      </c>
      <c r="C62" s="12">
        <v>72</v>
      </c>
      <c r="D62" s="8">
        <v>1.79</v>
      </c>
      <c r="E62" s="12">
        <v>30</v>
      </c>
      <c r="F62" s="8">
        <v>1.27</v>
      </c>
      <c r="G62" s="12">
        <v>40</v>
      </c>
      <c r="H62" s="8">
        <v>2.4700000000000002</v>
      </c>
      <c r="I62" s="12">
        <v>0</v>
      </c>
    </row>
    <row r="63" spans="2:9" ht="15" customHeight="1" x14ac:dyDescent="0.2">
      <c r="B63" t="s">
        <v>123</v>
      </c>
      <c r="C63" s="12">
        <v>65</v>
      </c>
      <c r="D63" s="8">
        <v>1.62</v>
      </c>
      <c r="E63" s="12">
        <v>13</v>
      </c>
      <c r="F63" s="8">
        <v>0.55000000000000004</v>
      </c>
      <c r="G63" s="12">
        <v>52</v>
      </c>
      <c r="H63" s="8">
        <v>3.21</v>
      </c>
      <c r="I63" s="12">
        <v>0</v>
      </c>
    </row>
    <row r="64" spans="2:9" ht="15" customHeight="1" x14ac:dyDescent="0.2">
      <c r="B64" t="s">
        <v>127</v>
      </c>
      <c r="C64" s="12">
        <v>65</v>
      </c>
      <c r="D64" s="8">
        <v>1.62</v>
      </c>
      <c r="E64" s="12">
        <v>39</v>
      </c>
      <c r="F64" s="8">
        <v>1.65</v>
      </c>
      <c r="G64" s="12">
        <v>25</v>
      </c>
      <c r="H64" s="8">
        <v>1.54</v>
      </c>
      <c r="I64" s="12">
        <v>1</v>
      </c>
    </row>
    <row r="65" spans="2:9" ht="15" customHeight="1" x14ac:dyDescent="0.2">
      <c r="B65" t="s">
        <v>144</v>
      </c>
      <c r="C65" s="12">
        <v>50</v>
      </c>
      <c r="D65" s="8">
        <v>1.25</v>
      </c>
      <c r="E65" s="12">
        <v>31</v>
      </c>
      <c r="F65" s="8">
        <v>1.31</v>
      </c>
      <c r="G65" s="12">
        <v>19</v>
      </c>
      <c r="H65" s="8">
        <v>1.17</v>
      </c>
      <c r="I65" s="12">
        <v>0</v>
      </c>
    </row>
    <row r="66" spans="2:9" ht="15" customHeight="1" x14ac:dyDescent="0.2">
      <c r="B66" t="s">
        <v>147</v>
      </c>
      <c r="C66" s="12">
        <v>49</v>
      </c>
      <c r="D66" s="8">
        <v>1.22</v>
      </c>
      <c r="E66" s="12">
        <v>40</v>
      </c>
      <c r="F66" s="8">
        <v>1.69</v>
      </c>
      <c r="G66" s="12">
        <v>9</v>
      </c>
      <c r="H66" s="8">
        <v>0.56000000000000005</v>
      </c>
      <c r="I66" s="12">
        <v>0</v>
      </c>
    </row>
    <row r="67" spans="2:9" ht="15" customHeight="1" x14ac:dyDescent="0.2">
      <c r="B67" t="s">
        <v>129</v>
      </c>
      <c r="C67" s="12">
        <v>49</v>
      </c>
      <c r="D67" s="8">
        <v>1.22</v>
      </c>
      <c r="E67" s="12">
        <v>20</v>
      </c>
      <c r="F67" s="8">
        <v>0.84</v>
      </c>
      <c r="G67" s="12">
        <v>29</v>
      </c>
      <c r="H67" s="8">
        <v>1.79</v>
      </c>
      <c r="I67" s="12">
        <v>0</v>
      </c>
    </row>
    <row r="69" spans="2:9" ht="15" customHeight="1" x14ac:dyDescent="0.2">
      <c r="B69" t="s">
        <v>235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7EC75-AE42-4013-9BC9-B40180876C5A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239</v>
      </c>
    </row>
    <row r="4" spans="2:9" ht="33" customHeight="1" x14ac:dyDescent="0.2">
      <c r="B4" t="s">
        <v>231</v>
      </c>
      <c r="C4" s="10" t="s">
        <v>59</v>
      </c>
      <c r="D4" s="10" t="s">
        <v>60</v>
      </c>
      <c r="E4" s="10" t="s">
        <v>61</v>
      </c>
      <c r="F4" s="10" t="s">
        <v>62</v>
      </c>
      <c r="G4" s="10" t="s">
        <v>63</v>
      </c>
      <c r="H4" s="10" t="s">
        <v>64</v>
      </c>
      <c r="I4" s="10" t="s">
        <v>65</v>
      </c>
    </row>
    <row r="5" spans="2:9" ht="15" customHeight="1" x14ac:dyDescent="0.2">
      <c r="B5" t="s">
        <v>43</v>
      </c>
      <c r="C5" s="12">
        <v>1</v>
      </c>
      <c r="D5" s="8">
        <v>0.04</v>
      </c>
      <c r="E5" s="12">
        <v>0</v>
      </c>
      <c r="F5" s="8">
        <v>0</v>
      </c>
      <c r="G5" s="12">
        <v>1</v>
      </c>
      <c r="H5" s="8">
        <v>7.0000000000000007E-2</v>
      </c>
      <c r="I5" s="12">
        <v>0</v>
      </c>
    </row>
    <row r="6" spans="2:9" ht="15" customHeight="1" x14ac:dyDescent="0.2">
      <c r="B6" t="s">
        <v>44</v>
      </c>
      <c r="C6" s="12">
        <v>388</v>
      </c>
      <c r="D6" s="8">
        <v>14.15</v>
      </c>
      <c r="E6" s="12">
        <v>126</v>
      </c>
      <c r="F6" s="8">
        <v>9.26</v>
      </c>
      <c r="G6" s="12">
        <v>262</v>
      </c>
      <c r="H6" s="8">
        <v>19.12</v>
      </c>
      <c r="I6" s="12">
        <v>0</v>
      </c>
    </row>
    <row r="7" spans="2:9" ht="15" customHeight="1" x14ac:dyDescent="0.2">
      <c r="B7" t="s">
        <v>45</v>
      </c>
      <c r="C7" s="12">
        <v>430</v>
      </c>
      <c r="D7" s="8">
        <v>15.68</v>
      </c>
      <c r="E7" s="12">
        <v>197</v>
      </c>
      <c r="F7" s="8">
        <v>14.47</v>
      </c>
      <c r="G7" s="12">
        <v>233</v>
      </c>
      <c r="H7" s="8">
        <v>17.010000000000002</v>
      </c>
      <c r="I7" s="12">
        <v>0</v>
      </c>
    </row>
    <row r="8" spans="2:9" ht="15" customHeight="1" x14ac:dyDescent="0.2">
      <c r="B8" t="s">
        <v>46</v>
      </c>
      <c r="C8" s="12">
        <v>3</v>
      </c>
      <c r="D8" s="8">
        <v>0.11</v>
      </c>
      <c r="E8" s="12">
        <v>0</v>
      </c>
      <c r="F8" s="8">
        <v>0</v>
      </c>
      <c r="G8" s="12">
        <v>2</v>
      </c>
      <c r="H8" s="8">
        <v>0.15</v>
      </c>
      <c r="I8" s="12">
        <v>0</v>
      </c>
    </row>
    <row r="9" spans="2:9" ht="15" customHeight="1" x14ac:dyDescent="0.2">
      <c r="B9" t="s">
        <v>47</v>
      </c>
      <c r="C9" s="12">
        <v>23</v>
      </c>
      <c r="D9" s="8">
        <v>0.84</v>
      </c>
      <c r="E9" s="12">
        <v>2</v>
      </c>
      <c r="F9" s="8">
        <v>0.15</v>
      </c>
      <c r="G9" s="12">
        <v>21</v>
      </c>
      <c r="H9" s="8">
        <v>1.53</v>
      </c>
      <c r="I9" s="12">
        <v>0</v>
      </c>
    </row>
    <row r="10" spans="2:9" ht="15" customHeight="1" x14ac:dyDescent="0.2">
      <c r="B10" t="s">
        <v>48</v>
      </c>
      <c r="C10" s="12">
        <v>22</v>
      </c>
      <c r="D10" s="8">
        <v>0.8</v>
      </c>
      <c r="E10" s="12">
        <v>6</v>
      </c>
      <c r="F10" s="8">
        <v>0.44</v>
      </c>
      <c r="G10" s="12">
        <v>16</v>
      </c>
      <c r="H10" s="8">
        <v>1.17</v>
      </c>
      <c r="I10" s="12">
        <v>0</v>
      </c>
    </row>
    <row r="11" spans="2:9" ht="15" customHeight="1" x14ac:dyDescent="0.2">
      <c r="B11" t="s">
        <v>49</v>
      </c>
      <c r="C11" s="12">
        <v>655</v>
      </c>
      <c r="D11" s="8">
        <v>23.89</v>
      </c>
      <c r="E11" s="12">
        <v>273</v>
      </c>
      <c r="F11" s="8">
        <v>20.059999999999999</v>
      </c>
      <c r="G11" s="12">
        <v>380</v>
      </c>
      <c r="H11" s="8">
        <v>27.74</v>
      </c>
      <c r="I11" s="12">
        <v>2</v>
      </c>
    </row>
    <row r="12" spans="2:9" ht="15" customHeight="1" x14ac:dyDescent="0.2">
      <c r="B12" t="s">
        <v>50</v>
      </c>
      <c r="C12" s="12">
        <v>24</v>
      </c>
      <c r="D12" s="8">
        <v>0.88</v>
      </c>
      <c r="E12" s="12">
        <v>3</v>
      </c>
      <c r="F12" s="8">
        <v>0.22</v>
      </c>
      <c r="G12" s="12">
        <v>20</v>
      </c>
      <c r="H12" s="8">
        <v>1.46</v>
      </c>
      <c r="I12" s="12">
        <v>1</v>
      </c>
    </row>
    <row r="13" spans="2:9" ht="15" customHeight="1" x14ac:dyDescent="0.2">
      <c r="B13" t="s">
        <v>51</v>
      </c>
      <c r="C13" s="12">
        <v>188</v>
      </c>
      <c r="D13" s="8">
        <v>6.86</v>
      </c>
      <c r="E13" s="12">
        <v>47</v>
      </c>
      <c r="F13" s="8">
        <v>3.45</v>
      </c>
      <c r="G13" s="12">
        <v>138</v>
      </c>
      <c r="H13" s="8">
        <v>10.07</v>
      </c>
      <c r="I13" s="12">
        <v>2</v>
      </c>
    </row>
    <row r="14" spans="2:9" ht="15" customHeight="1" x14ac:dyDescent="0.2">
      <c r="B14" t="s">
        <v>52</v>
      </c>
      <c r="C14" s="12">
        <v>147</v>
      </c>
      <c r="D14" s="8">
        <v>5.36</v>
      </c>
      <c r="E14" s="12">
        <v>89</v>
      </c>
      <c r="F14" s="8">
        <v>6.54</v>
      </c>
      <c r="G14" s="12">
        <v>56</v>
      </c>
      <c r="H14" s="8">
        <v>4.09</v>
      </c>
      <c r="I14" s="12">
        <v>0</v>
      </c>
    </row>
    <row r="15" spans="2:9" ht="15" customHeight="1" x14ac:dyDescent="0.2">
      <c r="B15" t="s">
        <v>53</v>
      </c>
      <c r="C15" s="12">
        <v>221</v>
      </c>
      <c r="D15" s="8">
        <v>8.06</v>
      </c>
      <c r="E15" s="12">
        <v>186</v>
      </c>
      <c r="F15" s="8">
        <v>13.67</v>
      </c>
      <c r="G15" s="12">
        <v>34</v>
      </c>
      <c r="H15" s="8">
        <v>2.48</v>
      </c>
      <c r="I15" s="12">
        <v>0</v>
      </c>
    </row>
    <row r="16" spans="2:9" ht="15" customHeight="1" x14ac:dyDescent="0.2">
      <c r="B16" t="s">
        <v>54</v>
      </c>
      <c r="C16" s="12">
        <v>300</v>
      </c>
      <c r="D16" s="8">
        <v>10.94</v>
      </c>
      <c r="E16" s="12">
        <v>223</v>
      </c>
      <c r="F16" s="8">
        <v>16.39</v>
      </c>
      <c r="G16" s="12">
        <v>77</v>
      </c>
      <c r="H16" s="8">
        <v>5.62</v>
      </c>
      <c r="I16" s="12">
        <v>0</v>
      </c>
    </row>
    <row r="17" spans="2:9" ht="15" customHeight="1" x14ac:dyDescent="0.2">
      <c r="B17" t="s">
        <v>55</v>
      </c>
      <c r="C17" s="12">
        <v>107</v>
      </c>
      <c r="D17" s="8">
        <v>3.9</v>
      </c>
      <c r="E17" s="12">
        <v>76</v>
      </c>
      <c r="F17" s="8">
        <v>5.58</v>
      </c>
      <c r="G17" s="12">
        <v>31</v>
      </c>
      <c r="H17" s="8">
        <v>2.2599999999999998</v>
      </c>
      <c r="I17" s="12">
        <v>0</v>
      </c>
    </row>
    <row r="18" spans="2:9" ht="15" customHeight="1" x14ac:dyDescent="0.2">
      <c r="B18" t="s">
        <v>56</v>
      </c>
      <c r="C18" s="12">
        <v>135</v>
      </c>
      <c r="D18" s="8">
        <v>4.92</v>
      </c>
      <c r="E18" s="12">
        <v>94</v>
      </c>
      <c r="F18" s="8">
        <v>6.91</v>
      </c>
      <c r="G18" s="12">
        <v>41</v>
      </c>
      <c r="H18" s="8">
        <v>2.99</v>
      </c>
      <c r="I18" s="12">
        <v>0</v>
      </c>
    </row>
    <row r="19" spans="2:9" ht="15" customHeight="1" x14ac:dyDescent="0.2">
      <c r="B19" t="s">
        <v>57</v>
      </c>
      <c r="C19" s="12">
        <v>98</v>
      </c>
      <c r="D19" s="8">
        <v>3.57</v>
      </c>
      <c r="E19" s="12">
        <v>39</v>
      </c>
      <c r="F19" s="8">
        <v>2.87</v>
      </c>
      <c r="G19" s="12">
        <v>58</v>
      </c>
      <c r="H19" s="8">
        <v>4.2300000000000004</v>
      </c>
      <c r="I19" s="12">
        <v>1</v>
      </c>
    </row>
    <row r="20" spans="2:9" ht="15" customHeight="1" x14ac:dyDescent="0.2">
      <c r="B20" s="9" t="s">
        <v>232</v>
      </c>
      <c r="C20" s="12">
        <f>SUM(LTBL_21204[総数／事業所数])</f>
        <v>2742</v>
      </c>
      <c r="E20" s="12">
        <f>SUBTOTAL(109,LTBL_21204[個人／事業所数])</f>
        <v>1361</v>
      </c>
      <c r="G20" s="12">
        <f>SUBTOTAL(109,LTBL_21204[法人／事業所数])</f>
        <v>1370</v>
      </c>
      <c r="I20" s="12">
        <f>SUBTOTAL(109,LTBL_21204[法人以外の団体／事業所数])</f>
        <v>6</v>
      </c>
    </row>
    <row r="21" spans="2:9" ht="15" customHeight="1" x14ac:dyDescent="0.2">
      <c r="E21" s="11">
        <f>LTBL_21204[[#Totals],[個人／事業所数]]/LTBL_21204[[#Totals],[総数／事業所数]]</f>
        <v>0.49635302698760031</v>
      </c>
      <c r="G21" s="11">
        <f>LTBL_21204[[#Totals],[法人／事業所数]]/LTBL_21204[[#Totals],[総数／事業所数]]</f>
        <v>0.49963530269876005</v>
      </c>
      <c r="I21" s="11">
        <f>LTBL_21204[[#Totals],[法人以外の団体／事業所数]]/LTBL_21204[[#Totals],[総数／事業所数]]</f>
        <v>2.1881838074398249E-3</v>
      </c>
    </row>
    <row r="23" spans="2:9" ht="33" customHeight="1" x14ac:dyDescent="0.2">
      <c r="B23" t="s">
        <v>233</v>
      </c>
      <c r="C23" s="10" t="s">
        <v>59</v>
      </c>
      <c r="D23" s="10" t="s">
        <v>60</v>
      </c>
      <c r="E23" s="10" t="s">
        <v>61</v>
      </c>
      <c r="F23" s="10" t="s">
        <v>62</v>
      </c>
      <c r="G23" s="10" t="s">
        <v>63</v>
      </c>
      <c r="H23" s="10" t="s">
        <v>64</v>
      </c>
      <c r="I23" s="10" t="s">
        <v>65</v>
      </c>
    </row>
    <row r="24" spans="2:9" ht="15" customHeight="1" x14ac:dyDescent="0.2">
      <c r="B24" t="s">
        <v>70</v>
      </c>
      <c r="C24" s="12">
        <v>260</v>
      </c>
      <c r="D24" s="8">
        <v>9.48</v>
      </c>
      <c r="E24" s="12">
        <v>135</v>
      </c>
      <c r="F24" s="8">
        <v>9.92</v>
      </c>
      <c r="G24" s="12">
        <v>125</v>
      </c>
      <c r="H24" s="8">
        <v>9.1199999999999992</v>
      </c>
      <c r="I24" s="12">
        <v>0</v>
      </c>
    </row>
    <row r="25" spans="2:9" ht="15" customHeight="1" x14ac:dyDescent="0.2">
      <c r="B25" t="s">
        <v>82</v>
      </c>
      <c r="C25" s="12">
        <v>255</v>
      </c>
      <c r="D25" s="8">
        <v>9.3000000000000007</v>
      </c>
      <c r="E25" s="12">
        <v>211</v>
      </c>
      <c r="F25" s="8">
        <v>15.5</v>
      </c>
      <c r="G25" s="12">
        <v>44</v>
      </c>
      <c r="H25" s="8">
        <v>3.21</v>
      </c>
      <c r="I25" s="12">
        <v>0</v>
      </c>
    </row>
    <row r="26" spans="2:9" ht="15" customHeight="1" x14ac:dyDescent="0.2">
      <c r="B26" t="s">
        <v>81</v>
      </c>
      <c r="C26" s="12">
        <v>207</v>
      </c>
      <c r="D26" s="8">
        <v>7.55</v>
      </c>
      <c r="E26" s="12">
        <v>181</v>
      </c>
      <c r="F26" s="8">
        <v>13.3</v>
      </c>
      <c r="G26" s="12">
        <v>26</v>
      </c>
      <c r="H26" s="8">
        <v>1.9</v>
      </c>
      <c r="I26" s="12">
        <v>0</v>
      </c>
    </row>
    <row r="27" spans="2:9" ht="15" customHeight="1" x14ac:dyDescent="0.2">
      <c r="B27" t="s">
        <v>77</v>
      </c>
      <c r="C27" s="12">
        <v>168</v>
      </c>
      <c r="D27" s="8">
        <v>6.13</v>
      </c>
      <c r="E27" s="12">
        <v>82</v>
      </c>
      <c r="F27" s="8">
        <v>6.02</v>
      </c>
      <c r="G27" s="12">
        <v>84</v>
      </c>
      <c r="H27" s="8">
        <v>6.13</v>
      </c>
      <c r="I27" s="12">
        <v>2</v>
      </c>
    </row>
    <row r="28" spans="2:9" ht="15" customHeight="1" x14ac:dyDescent="0.2">
      <c r="B28" t="s">
        <v>66</v>
      </c>
      <c r="C28" s="12">
        <v>161</v>
      </c>
      <c r="D28" s="8">
        <v>5.87</v>
      </c>
      <c r="E28" s="12">
        <v>33</v>
      </c>
      <c r="F28" s="8">
        <v>2.42</v>
      </c>
      <c r="G28" s="12">
        <v>128</v>
      </c>
      <c r="H28" s="8">
        <v>9.34</v>
      </c>
      <c r="I28" s="12">
        <v>0</v>
      </c>
    </row>
    <row r="29" spans="2:9" ht="15" customHeight="1" x14ac:dyDescent="0.2">
      <c r="B29" t="s">
        <v>78</v>
      </c>
      <c r="C29" s="12">
        <v>157</v>
      </c>
      <c r="D29" s="8">
        <v>5.73</v>
      </c>
      <c r="E29" s="12">
        <v>45</v>
      </c>
      <c r="F29" s="8">
        <v>3.31</v>
      </c>
      <c r="G29" s="12">
        <v>109</v>
      </c>
      <c r="H29" s="8">
        <v>7.96</v>
      </c>
      <c r="I29" s="12">
        <v>2</v>
      </c>
    </row>
    <row r="30" spans="2:9" ht="15" customHeight="1" x14ac:dyDescent="0.2">
      <c r="B30" t="s">
        <v>73</v>
      </c>
      <c r="C30" s="12">
        <v>141</v>
      </c>
      <c r="D30" s="8">
        <v>5.14</v>
      </c>
      <c r="E30" s="12">
        <v>49</v>
      </c>
      <c r="F30" s="8">
        <v>3.6</v>
      </c>
      <c r="G30" s="12">
        <v>92</v>
      </c>
      <c r="H30" s="8">
        <v>6.72</v>
      </c>
      <c r="I30" s="12">
        <v>0</v>
      </c>
    </row>
    <row r="31" spans="2:9" ht="15" customHeight="1" x14ac:dyDescent="0.2">
      <c r="B31" t="s">
        <v>67</v>
      </c>
      <c r="C31" s="12">
        <v>124</v>
      </c>
      <c r="D31" s="8">
        <v>4.5199999999999996</v>
      </c>
      <c r="E31" s="12">
        <v>61</v>
      </c>
      <c r="F31" s="8">
        <v>4.4800000000000004</v>
      </c>
      <c r="G31" s="12">
        <v>63</v>
      </c>
      <c r="H31" s="8">
        <v>4.5999999999999996</v>
      </c>
      <c r="I31" s="12">
        <v>0</v>
      </c>
    </row>
    <row r="32" spans="2:9" ht="15" customHeight="1" x14ac:dyDescent="0.2">
      <c r="B32" t="s">
        <v>83</v>
      </c>
      <c r="C32" s="12">
        <v>107</v>
      </c>
      <c r="D32" s="8">
        <v>3.9</v>
      </c>
      <c r="E32" s="12">
        <v>76</v>
      </c>
      <c r="F32" s="8">
        <v>5.58</v>
      </c>
      <c r="G32" s="12">
        <v>31</v>
      </c>
      <c r="H32" s="8">
        <v>2.2599999999999998</v>
      </c>
      <c r="I32" s="12">
        <v>0</v>
      </c>
    </row>
    <row r="33" spans="2:9" ht="15" customHeight="1" x14ac:dyDescent="0.2">
      <c r="B33" t="s">
        <v>68</v>
      </c>
      <c r="C33" s="12">
        <v>103</v>
      </c>
      <c r="D33" s="8">
        <v>3.76</v>
      </c>
      <c r="E33" s="12">
        <v>32</v>
      </c>
      <c r="F33" s="8">
        <v>2.35</v>
      </c>
      <c r="G33" s="12">
        <v>71</v>
      </c>
      <c r="H33" s="8">
        <v>5.18</v>
      </c>
      <c r="I33" s="12">
        <v>0</v>
      </c>
    </row>
    <row r="34" spans="2:9" ht="15" customHeight="1" x14ac:dyDescent="0.2">
      <c r="B34" t="s">
        <v>84</v>
      </c>
      <c r="C34" s="12">
        <v>100</v>
      </c>
      <c r="D34" s="8">
        <v>3.65</v>
      </c>
      <c r="E34" s="12">
        <v>93</v>
      </c>
      <c r="F34" s="8">
        <v>6.83</v>
      </c>
      <c r="G34" s="12">
        <v>7</v>
      </c>
      <c r="H34" s="8">
        <v>0.51</v>
      </c>
      <c r="I34" s="12">
        <v>0</v>
      </c>
    </row>
    <row r="35" spans="2:9" ht="15" customHeight="1" x14ac:dyDescent="0.2">
      <c r="B35" t="s">
        <v>79</v>
      </c>
      <c r="C35" s="12">
        <v>88</v>
      </c>
      <c r="D35" s="8">
        <v>3.21</v>
      </c>
      <c r="E35" s="12">
        <v>64</v>
      </c>
      <c r="F35" s="8">
        <v>4.7</v>
      </c>
      <c r="G35" s="12">
        <v>24</v>
      </c>
      <c r="H35" s="8">
        <v>1.75</v>
      </c>
      <c r="I35" s="12">
        <v>0</v>
      </c>
    </row>
    <row r="36" spans="2:9" ht="15" customHeight="1" x14ac:dyDescent="0.2">
      <c r="B36" t="s">
        <v>75</v>
      </c>
      <c r="C36" s="12">
        <v>73</v>
      </c>
      <c r="D36" s="8">
        <v>2.66</v>
      </c>
      <c r="E36" s="12">
        <v>49</v>
      </c>
      <c r="F36" s="8">
        <v>3.6</v>
      </c>
      <c r="G36" s="12">
        <v>24</v>
      </c>
      <c r="H36" s="8">
        <v>1.75</v>
      </c>
      <c r="I36" s="12">
        <v>0</v>
      </c>
    </row>
    <row r="37" spans="2:9" ht="15" customHeight="1" x14ac:dyDescent="0.2">
      <c r="B37" t="s">
        <v>89</v>
      </c>
      <c r="C37" s="12">
        <v>66</v>
      </c>
      <c r="D37" s="8">
        <v>2.41</v>
      </c>
      <c r="E37" s="12">
        <v>15</v>
      </c>
      <c r="F37" s="8">
        <v>1.1000000000000001</v>
      </c>
      <c r="G37" s="12">
        <v>51</v>
      </c>
      <c r="H37" s="8">
        <v>3.72</v>
      </c>
      <c r="I37" s="12">
        <v>0</v>
      </c>
    </row>
    <row r="38" spans="2:9" ht="15" customHeight="1" x14ac:dyDescent="0.2">
      <c r="B38" t="s">
        <v>76</v>
      </c>
      <c r="C38" s="12">
        <v>63</v>
      </c>
      <c r="D38" s="8">
        <v>2.2999999999999998</v>
      </c>
      <c r="E38" s="12">
        <v>26</v>
      </c>
      <c r="F38" s="8">
        <v>1.91</v>
      </c>
      <c r="G38" s="12">
        <v>37</v>
      </c>
      <c r="H38" s="8">
        <v>2.7</v>
      </c>
      <c r="I38" s="12">
        <v>0</v>
      </c>
    </row>
    <row r="39" spans="2:9" ht="15" customHeight="1" x14ac:dyDescent="0.2">
      <c r="B39" t="s">
        <v>80</v>
      </c>
      <c r="C39" s="12">
        <v>56</v>
      </c>
      <c r="D39" s="8">
        <v>2.04</v>
      </c>
      <c r="E39" s="12">
        <v>25</v>
      </c>
      <c r="F39" s="8">
        <v>1.84</v>
      </c>
      <c r="G39" s="12">
        <v>30</v>
      </c>
      <c r="H39" s="8">
        <v>2.19</v>
      </c>
      <c r="I39" s="12">
        <v>0</v>
      </c>
    </row>
    <row r="40" spans="2:9" ht="15" customHeight="1" x14ac:dyDescent="0.2">
      <c r="B40" t="s">
        <v>74</v>
      </c>
      <c r="C40" s="12">
        <v>51</v>
      </c>
      <c r="D40" s="8">
        <v>1.86</v>
      </c>
      <c r="E40" s="12">
        <v>36</v>
      </c>
      <c r="F40" s="8">
        <v>2.65</v>
      </c>
      <c r="G40" s="12">
        <v>15</v>
      </c>
      <c r="H40" s="8">
        <v>1.0900000000000001</v>
      </c>
      <c r="I40" s="12">
        <v>0</v>
      </c>
    </row>
    <row r="41" spans="2:9" ht="15" customHeight="1" x14ac:dyDescent="0.2">
      <c r="B41" t="s">
        <v>97</v>
      </c>
      <c r="C41" s="12">
        <v>35</v>
      </c>
      <c r="D41" s="8">
        <v>1.28</v>
      </c>
      <c r="E41" s="12">
        <v>1</v>
      </c>
      <c r="F41" s="8">
        <v>7.0000000000000007E-2</v>
      </c>
      <c r="G41" s="12">
        <v>34</v>
      </c>
      <c r="H41" s="8">
        <v>2.48</v>
      </c>
      <c r="I41" s="12">
        <v>0</v>
      </c>
    </row>
    <row r="42" spans="2:9" ht="15" customHeight="1" x14ac:dyDescent="0.2">
      <c r="B42" t="s">
        <v>96</v>
      </c>
      <c r="C42" s="12">
        <v>34</v>
      </c>
      <c r="D42" s="8">
        <v>1.24</v>
      </c>
      <c r="E42" s="12">
        <v>7</v>
      </c>
      <c r="F42" s="8">
        <v>0.51</v>
      </c>
      <c r="G42" s="12">
        <v>27</v>
      </c>
      <c r="H42" s="8">
        <v>1.97</v>
      </c>
      <c r="I42" s="12">
        <v>0</v>
      </c>
    </row>
    <row r="43" spans="2:9" ht="15" customHeight="1" x14ac:dyDescent="0.2">
      <c r="B43" t="s">
        <v>85</v>
      </c>
      <c r="C43" s="12">
        <v>34</v>
      </c>
      <c r="D43" s="8">
        <v>1.24</v>
      </c>
      <c r="E43" s="12">
        <v>19</v>
      </c>
      <c r="F43" s="8">
        <v>1.4</v>
      </c>
      <c r="G43" s="12">
        <v>15</v>
      </c>
      <c r="H43" s="8">
        <v>1.0900000000000001</v>
      </c>
      <c r="I43" s="12">
        <v>0</v>
      </c>
    </row>
    <row r="46" spans="2:9" ht="33" customHeight="1" x14ac:dyDescent="0.2">
      <c r="B46" t="s">
        <v>234</v>
      </c>
      <c r="C46" s="10" t="s">
        <v>59</v>
      </c>
      <c r="D46" s="10" t="s">
        <v>60</v>
      </c>
      <c r="E46" s="10" t="s">
        <v>61</v>
      </c>
      <c r="F46" s="10" t="s">
        <v>62</v>
      </c>
      <c r="G46" s="10" t="s">
        <v>63</v>
      </c>
      <c r="H46" s="10" t="s">
        <v>64</v>
      </c>
      <c r="I46" s="10" t="s">
        <v>65</v>
      </c>
    </row>
    <row r="47" spans="2:9" ht="15" customHeight="1" x14ac:dyDescent="0.2">
      <c r="B47" t="s">
        <v>126</v>
      </c>
      <c r="C47" s="12">
        <v>221</v>
      </c>
      <c r="D47" s="8">
        <v>8.06</v>
      </c>
      <c r="E47" s="12">
        <v>126</v>
      </c>
      <c r="F47" s="8">
        <v>9.26</v>
      </c>
      <c r="G47" s="12">
        <v>95</v>
      </c>
      <c r="H47" s="8">
        <v>6.93</v>
      </c>
      <c r="I47" s="12">
        <v>0</v>
      </c>
    </row>
    <row r="48" spans="2:9" ht="15" customHeight="1" x14ac:dyDescent="0.2">
      <c r="B48" t="s">
        <v>138</v>
      </c>
      <c r="C48" s="12">
        <v>117</v>
      </c>
      <c r="D48" s="8">
        <v>4.2699999999999996</v>
      </c>
      <c r="E48" s="12">
        <v>100</v>
      </c>
      <c r="F48" s="8">
        <v>7.35</v>
      </c>
      <c r="G48" s="12">
        <v>17</v>
      </c>
      <c r="H48" s="8">
        <v>1.24</v>
      </c>
      <c r="I48" s="12">
        <v>0</v>
      </c>
    </row>
    <row r="49" spans="2:9" ht="15" customHeight="1" x14ac:dyDescent="0.2">
      <c r="B49" t="s">
        <v>151</v>
      </c>
      <c r="C49" s="12">
        <v>106</v>
      </c>
      <c r="D49" s="8">
        <v>3.87</v>
      </c>
      <c r="E49" s="12">
        <v>45</v>
      </c>
      <c r="F49" s="8">
        <v>3.31</v>
      </c>
      <c r="G49" s="12">
        <v>61</v>
      </c>
      <c r="H49" s="8">
        <v>4.45</v>
      </c>
      <c r="I49" s="12">
        <v>0</v>
      </c>
    </row>
    <row r="50" spans="2:9" ht="15" customHeight="1" x14ac:dyDescent="0.2">
      <c r="B50" t="s">
        <v>136</v>
      </c>
      <c r="C50" s="12">
        <v>86</v>
      </c>
      <c r="D50" s="8">
        <v>3.14</v>
      </c>
      <c r="E50" s="12">
        <v>81</v>
      </c>
      <c r="F50" s="8">
        <v>5.95</v>
      </c>
      <c r="G50" s="12">
        <v>5</v>
      </c>
      <c r="H50" s="8">
        <v>0.36</v>
      </c>
      <c r="I50" s="12">
        <v>0</v>
      </c>
    </row>
    <row r="51" spans="2:9" ht="15" customHeight="1" x14ac:dyDescent="0.2">
      <c r="B51" t="s">
        <v>137</v>
      </c>
      <c r="C51" s="12">
        <v>80</v>
      </c>
      <c r="D51" s="8">
        <v>2.92</v>
      </c>
      <c r="E51" s="12">
        <v>77</v>
      </c>
      <c r="F51" s="8">
        <v>5.66</v>
      </c>
      <c r="G51" s="12">
        <v>3</v>
      </c>
      <c r="H51" s="8">
        <v>0.22</v>
      </c>
      <c r="I51" s="12">
        <v>0</v>
      </c>
    </row>
    <row r="52" spans="2:9" ht="15" customHeight="1" x14ac:dyDescent="0.2">
      <c r="B52" t="s">
        <v>140</v>
      </c>
      <c r="C52" s="12">
        <v>79</v>
      </c>
      <c r="D52" s="8">
        <v>2.88</v>
      </c>
      <c r="E52" s="12">
        <v>74</v>
      </c>
      <c r="F52" s="8">
        <v>5.44</v>
      </c>
      <c r="G52" s="12">
        <v>5</v>
      </c>
      <c r="H52" s="8">
        <v>0.36</v>
      </c>
      <c r="I52" s="12">
        <v>0</v>
      </c>
    </row>
    <row r="53" spans="2:9" ht="15" customHeight="1" x14ac:dyDescent="0.2">
      <c r="B53" t="s">
        <v>132</v>
      </c>
      <c r="C53" s="12">
        <v>72</v>
      </c>
      <c r="D53" s="8">
        <v>2.63</v>
      </c>
      <c r="E53" s="12">
        <v>28</v>
      </c>
      <c r="F53" s="8">
        <v>2.06</v>
      </c>
      <c r="G53" s="12">
        <v>43</v>
      </c>
      <c r="H53" s="8">
        <v>3.14</v>
      </c>
      <c r="I53" s="12">
        <v>1</v>
      </c>
    </row>
    <row r="54" spans="2:9" ht="15" customHeight="1" x14ac:dyDescent="0.2">
      <c r="B54" t="s">
        <v>139</v>
      </c>
      <c r="C54" s="12">
        <v>58</v>
      </c>
      <c r="D54" s="8">
        <v>2.12</v>
      </c>
      <c r="E54" s="12">
        <v>47</v>
      </c>
      <c r="F54" s="8">
        <v>3.45</v>
      </c>
      <c r="G54" s="12">
        <v>11</v>
      </c>
      <c r="H54" s="8">
        <v>0.8</v>
      </c>
      <c r="I54" s="12">
        <v>0</v>
      </c>
    </row>
    <row r="55" spans="2:9" ht="15" customHeight="1" x14ac:dyDescent="0.2">
      <c r="B55" t="s">
        <v>125</v>
      </c>
      <c r="C55" s="12">
        <v>56</v>
      </c>
      <c r="D55" s="8">
        <v>2.04</v>
      </c>
      <c r="E55" s="12">
        <v>18</v>
      </c>
      <c r="F55" s="8">
        <v>1.32</v>
      </c>
      <c r="G55" s="12">
        <v>38</v>
      </c>
      <c r="H55" s="8">
        <v>2.77</v>
      </c>
      <c r="I55" s="12">
        <v>0</v>
      </c>
    </row>
    <row r="56" spans="2:9" ht="15" customHeight="1" x14ac:dyDescent="0.2">
      <c r="B56" t="s">
        <v>122</v>
      </c>
      <c r="C56" s="12">
        <v>52</v>
      </c>
      <c r="D56" s="8">
        <v>1.9</v>
      </c>
      <c r="E56" s="12">
        <v>9</v>
      </c>
      <c r="F56" s="8">
        <v>0.66</v>
      </c>
      <c r="G56" s="12">
        <v>43</v>
      </c>
      <c r="H56" s="8">
        <v>3.14</v>
      </c>
      <c r="I56" s="12">
        <v>0</v>
      </c>
    </row>
    <row r="57" spans="2:9" ht="15" customHeight="1" x14ac:dyDescent="0.2">
      <c r="B57" t="s">
        <v>123</v>
      </c>
      <c r="C57" s="12">
        <v>52</v>
      </c>
      <c r="D57" s="8">
        <v>1.9</v>
      </c>
      <c r="E57" s="12">
        <v>8</v>
      </c>
      <c r="F57" s="8">
        <v>0.59</v>
      </c>
      <c r="G57" s="12">
        <v>44</v>
      </c>
      <c r="H57" s="8">
        <v>3.21</v>
      </c>
      <c r="I57" s="12">
        <v>0</v>
      </c>
    </row>
    <row r="58" spans="2:9" ht="15" customHeight="1" x14ac:dyDescent="0.2">
      <c r="B58" t="s">
        <v>131</v>
      </c>
      <c r="C58" s="12">
        <v>49</v>
      </c>
      <c r="D58" s="8">
        <v>1.79</v>
      </c>
      <c r="E58" s="12">
        <v>5</v>
      </c>
      <c r="F58" s="8">
        <v>0.37</v>
      </c>
      <c r="G58" s="12">
        <v>44</v>
      </c>
      <c r="H58" s="8">
        <v>3.21</v>
      </c>
      <c r="I58" s="12">
        <v>0</v>
      </c>
    </row>
    <row r="59" spans="2:9" ht="15" customHeight="1" x14ac:dyDescent="0.2">
      <c r="B59" t="s">
        <v>134</v>
      </c>
      <c r="C59" s="12">
        <v>48</v>
      </c>
      <c r="D59" s="8">
        <v>1.75</v>
      </c>
      <c r="E59" s="12">
        <v>35</v>
      </c>
      <c r="F59" s="8">
        <v>2.57</v>
      </c>
      <c r="G59" s="12">
        <v>13</v>
      </c>
      <c r="H59" s="8">
        <v>0.95</v>
      </c>
      <c r="I59" s="12">
        <v>0</v>
      </c>
    </row>
    <row r="60" spans="2:9" ht="15" customHeight="1" x14ac:dyDescent="0.2">
      <c r="B60" t="s">
        <v>130</v>
      </c>
      <c r="C60" s="12">
        <v>46</v>
      </c>
      <c r="D60" s="8">
        <v>1.68</v>
      </c>
      <c r="E60" s="12">
        <v>28</v>
      </c>
      <c r="F60" s="8">
        <v>2.06</v>
      </c>
      <c r="G60" s="12">
        <v>18</v>
      </c>
      <c r="H60" s="8">
        <v>1.31</v>
      </c>
      <c r="I60" s="12">
        <v>0</v>
      </c>
    </row>
    <row r="61" spans="2:9" ht="15" customHeight="1" x14ac:dyDescent="0.2">
      <c r="B61" t="s">
        <v>145</v>
      </c>
      <c r="C61" s="12">
        <v>46</v>
      </c>
      <c r="D61" s="8">
        <v>1.68</v>
      </c>
      <c r="E61" s="12">
        <v>28</v>
      </c>
      <c r="F61" s="8">
        <v>2.06</v>
      </c>
      <c r="G61" s="12">
        <v>18</v>
      </c>
      <c r="H61" s="8">
        <v>1.31</v>
      </c>
      <c r="I61" s="12">
        <v>0</v>
      </c>
    </row>
    <row r="62" spans="2:9" ht="15" customHeight="1" x14ac:dyDescent="0.2">
      <c r="B62" t="s">
        <v>150</v>
      </c>
      <c r="C62" s="12">
        <v>45</v>
      </c>
      <c r="D62" s="8">
        <v>1.64</v>
      </c>
      <c r="E62" s="12">
        <v>9</v>
      </c>
      <c r="F62" s="8">
        <v>0.66</v>
      </c>
      <c r="G62" s="12">
        <v>36</v>
      </c>
      <c r="H62" s="8">
        <v>2.63</v>
      </c>
      <c r="I62" s="12">
        <v>0</v>
      </c>
    </row>
    <row r="63" spans="2:9" ht="15" customHeight="1" x14ac:dyDescent="0.2">
      <c r="B63" t="s">
        <v>129</v>
      </c>
      <c r="C63" s="12">
        <v>41</v>
      </c>
      <c r="D63" s="8">
        <v>1.5</v>
      </c>
      <c r="E63" s="12">
        <v>14</v>
      </c>
      <c r="F63" s="8">
        <v>1.03</v>
      </c>
      <c r="G63" s="12">
        <v>27</v>
      </c>
      <c r="H63" s="8">
        <v>1.97</v>
      </c>
      <c r="I63" s="12">
        <v>0</v>
      </c>
    </row>
    <row r="64" spans="2:9" ht="15" customHeight="1" x14ac:dyDescent="0.2">
      <c r="B64" t="s">
        <v>128</v>
      </c>
      <c r="C64" s="12">
        <v>39</v>
      </c>
      <c r="D64" s="8">
        <v>1.42</v>
      </c>
      <c r="E64" s="12">
        <v>16</v>
      </c>
      <c r="F64" s="8">
        <v>1.18</v>
      </c>
      <c r="G64" s="12">
        <v>23</v>
      </c>
      <c r="H64" s="8">
        <v>1.68</v>
      </c>
      <c r="I64" s="12">
        <v>0</v>
      </c>
    </row>
    <row r="65" spans="2:9" ht="15" customHeight="1" x14ac:dyDescent="0.2">
      <c r="B65" t="s">
        <v>133</v>
      </c>
      <c r="C65" s="12">
        <v>38</v>
      </c>
      <c r="D65" s="8">
        <v>1.39</v>
      </c>
      <c r="E65" s="12">
        <v>15</v>
      </c>
      <c r="F65" s="8">
        <v>1.1000000000000001</v>
      </c>
      <c r="G65" s="12">
        <v>22</v>
      </c>
      <c r="H65" s="8">
        <v>1.61</v>
      </c>
      <c r="I65" s="12">
        <v>0</v>
      </c>
    </row>
    <row r="66" spans="2:9" ht="15" customHeight="1" x14ac:dyDescent="0.2">
      <c r="B66" t="s">
        <v>141</v>
      </c>
      <c r="C66" s="12">
        <v>34</v>
      </c>
      <c r="D66" s="8">
        <v>1.24</v>
      </c>
      <c r="E66" s="12">
        <v>19</v>
      </c>
      <c r="F66" s="8">
        <v>1.4</v>
      </c>
      <c r="G66" s="12">
        <v>15</v>
      </c>
      <c r="H66" s="8">
        <v>1.0900000000000001</v>
      </c>
      <c r="I66" s="12">
        <v>0</v>
      </c>
    </row>
    <row r="68" spans="2:9" ht="15" customHeight="1" x14ac:dyDescent="0.2">
      <c r="B68" t="s">
        <v>235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47</vt:i4>
      </vt:variant>
      <vt:variant>
        <vt:lpstr>名前付き一覧</vt:lpstr>
      </vt:variant>
      <vt:variant>
        <vt:i4>3</vt:i4>
      </vt:variant>
    </vt:vector>
  </HeadingPairs>
  <TitlesOfParts>
    <vt:vector size="50" baseType="lpstr">
      <vt:lpstr>目次</vt:lpstr>
      <vt:lpstr>産業大分類</vt:lpstr>
      <vt:lpstr>産業中分類</vt:lpstr>
      <vt:lpstr>産業小分類</vt:lpstr>
      <vt:lpstr>岐阜県</vt:lpstr>
      <vt:lpstr>岐阜市</vt:lpstr>
      <vt:lpstr>大垣市</vt:lpstr>
      <vt:lpstr>高山市</vt:lpstr>
      <vt:lpstr>多治見市</vt:lpstr>
      <vt:lpstr>関市</vt:lpstr>
      <vt:lpstr>中津川市</vt:lpstr>
      <vt:lpstr>美濃市</vt:lpstr>
      <vt:lpstr>瑞浪市</vt:lpstr>
      <vt:lpstr>羽島市</vt:lpstr>
      <vt:lpstr>恵那市</vt:lpstr>
      <vt:lpstr>美濃加茂市</vt:lpstr>
      <vt:lpstr>土岐市</vt:lpstr>
      <vt:lpstr>各務原市</vt:lpstr>
      <vt:lpstr>可児市</vt:lpstr>
      <vt:lpstr>山県市</vt:lpstr>
      <vt:lpstr>瑞穂市</vt:lpstr>
      <vt:lpstr>飛騨市</vt:lpstr>
      <vt:lpstr>本巣市</vt:lpstr>
      <vt:lpstr>郡上市</vt:lpstr>
      <vt:lpstr>下呂市</vt:lpstr>
      <vt:lpstr>海津市</vt:lpstr>
      <vt:lpstr>羽島郡岐南町</vt:lpstr>
      <vt:lpstr>羽島郡笠松町</vt:lpstr>
      <vt:lpstr>養老郡養老町</vt:lpstr>
      <vt:lpstr>不破郡垂井町</vt:lpstr>
      <vt:lpstr>不破郡関ケ原町</vt:lpstr>
      <vt:lpstr>安八郡神戸町</vt:lpstr>
      <vt:lpstr>安八郡輪之内町</vt:lpstr>
      <vt:lpstr>安八郡安八町</vt:lpstr>
      <vt:lpstr>揖斐郡揖斐川町</vt:lpstr>
      <vt:lpstr>揖斐郡大野町</vt:lpstr>
      <vt:lpstr>揖斐郡池田町</vt:lpstr>
      <vt:lpstr>本巣郡北方町</vt:lpstr>
      <vt:lpstr>加茂郡坂祝町</vt:lpstr>
      <vt:lpstr>加茂郡富加町</vt:lpstr>
      <vt:lpstr>加茂郡川辺町</vt:lpstr>
      <vt:lpstr>加茂郡七宗町</vt:lpstr>
      <vt:lpstr>加茂郡八百津町</vt:lpstr>
      <vt:lpstr>加茂郡白川町</vt:lpstr>
      <vt:lpstr>加茂郡東白川村</vt:lpstr>
      <vt:lpstr>可児郡御嵩町</vt:lpstr>
      <vt:lpstr>大野郡白川村</vt:lpstr>
      <vt:lpstr>産業小分類!Print_Titles</vt:lpstr>
      <vt:lpstr>産業大分類!Print_Titles</vt:lpstr>
      <vt:lpstr>産業中分類!Print_Titles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2023-08-17T02:22:30Z</dcterms:created>
  <dcterms:modified xsi:type="dcterms:W3CDTF">2023-08-17T02:22:30Z</dcterms:modified>
</cp:coreProperties>
</file>